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ПЭО\СМЕТНЫЙ ОТДЕЛ\ВЫПОЛНЕНИЕ СМР\4-  2020 год\43 Сентябрь  2020 г\5-5 СМ2002-МИП1\779\ОВ и ВК\"/>
    </mc:Choice>
  </mc:AlternateContent>
  <bookViews>
    <workbookView xWindow="-120" yWindow="-120" windowWidth="29040" windowHeight="15840"/>
  </bookViews>
  <sheets>
    <sheet name="КС-3" sheetId="11" r:id="rId1"/>
    <sheet name="Реестр" sheetId="10" r:id="rId2"/>
    <sheet name="1_11.1" sheetId="12" r:id="rId3"/>
    <sheet name="2_11.3" sheetId="13" r:id="rId4"/>
    <sheet name="3_11.4" sheetId="14" r:id="rId5"/>
    <sheet name="4_11.5" sheetId="15" r:id="rId6"/>
    <sheet name="5_11.21" sheetId="16" r:id="rId7"/>
    <sheet name="6_11.22" sheetId="17" r:id="rId8"/>
    <sheet name="7_11.23" sheetId="18" r:id="rId9"/>
    <sheet name="8_11.24" sheetId="19" r:id="rId10"/>
    <sheet name="9_11.25 " sheetId="22" r:id="rId11"/>
    <sheet name="10_11.26" sheetId="2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_">#REF!</definedName>
    <definedName name="__">#REF!</definedName>
    <definedName name="______________________________________________________________________________T17">#REF!</definedName>
    <definedName name="_____________________________________________________________________________T17">#REF!</definedName>
    <definedName name="____________________________________________________________________________T17">#REF!</definedName>
    <definedName name="_________________________________________________________________T17">#REF!</definedName>
    <definedName name="________________________________________________________________T17">#REF!</definedName>
    <definedName name="_______________________________________________________________T17">#REF!</definedName>
    <definedName name="______________________________________________________________T17">#REF!</definedName>
    <definedName name="_____________________________________________________________T17">#REF!</definedName>
    <definedName name="____________________________________________________________T17">#REF!</definedName>
    <definedName name="___________________________________________________________T17">#REF!</definedName>
    <definedName name="__________________________________________________________T17">#REF!</definedName>
    <definedName name="_________________________________________________________T17">#REF!</definedName>
    <definedName name="________________________________________________________T17">#REF!</definedName>
    <definedName name="_______________________________________________________T17">#REF!</definedName>
    <definedName name="______________________________________________________T17">#REF!</definedName>
    <definedName name="_____________________________________________________T17">#REF!</definedName>
    <definedName name="____________________________________________________T17">#REF!</definedName>
    <definedName name="____________________________________________________TT17">#REF!</definedName>
    <definedName name="___________________________________________________T17">#REF!</definedName>
    <definedName name="__________________________________________________T17">#REF!</definedName>
    <definedName name="_________________________________________________T17">#REF!</definedName>
    <definedName name="________________________________________________T17">#REF!</definedName>
    <definedName name="_______________________________________________T17">#REF!</definedName>
    <definedName name="______________________________________________T17">#REF!</definedName>
    <definedName name="_____________________________________________T17">#REF!</definedName>
    <definedName name="____________________________________________T17">#REF!</definedName>
    <definedName name="___________________________________________T17">#REF!</definedName>
    <definedName name="__________________________________________T17">#REF!</definedName>
    <definedName name="_________________________________________T17">#REF!</definedName>
    <definedName name="________________________________________T17">#REF!</definedName>
    <definedName name="_______________________________________T17">#REF!</definedName>
    <definedName name="______________________________________T17">#REF!</definedName>
    <definedName name="_____________________________________T17">#REF!</definedName>
    <definedName name="____________________________________T17">#REF!</definedName>
    <definedName name="___________________________________T17">#REF!</definedName>
    <definedName name="__________________________________T17">#REF!</definedName>
    <definedName name="_________________________________T17">#REF!</definedName>
    <definedName name="________________________________T17">#REF!</definedName>
    <definedName name="_______________________________T17">#REF!</definedName>
    <definedName name="______________________________T17">#REF!</definedName>
    <definedName name="_____________________________T17">#REF!</definedName>
    <definedName name="____________________________T17">#REF!</definedName>
    <definedName name="___________________________T17">#REF!</definedName>
    <definedName name="__________________________T17">#REF!</definedName>
    <definedName name="_________________________T17">#REF!</definedName>
    <definedName name="________________________T17">#REF!</definedName>
    <definedName name="_______________________T17">#REF!</definedName>
    <definedName name="______________________T17">#REF!</definedName>
    <definedName name="_____________________T17">#REF!</definedName>
    <definedName name="____________________T17">#REF!</definedName>
    <definedName name="___________________T17">#REF!</definedName>
    <definedName name="__________________T17">#REF!</definedName>
    <definedName name="_________________T17">#REF!</definedName>
    <definedName name="________________T17">#REF!</definedName>
    <definedName name="_______________T17">#REF!</definedName>
    <definedName name="______________T17">#REF!</definedName>
    <definedName name="_____________T17">#REF!</definedName>
    <definedName name="____________T17">#REF!</definedName>
    <definedName name="___________T17">#REF!</definedName>
    <definedName name="___________о">#REF!</definedName>
    <definedName name="__________T17">#REF!</definedName>
    <definedName name="_________T17">#REF!</definedName>
    <definedName name="________T17">#REF!</definedName>
    <definedName name="_______T17">#REF!</definedName>
    <definedName name="______T17">#REF!</definedName>
    <definedName name="______о45">#REF!</definedName>
    <definedName name="_____T17">#REF!</definedName>
    <definedName name="____T17">#REF!</definedName>
    <definedName name="___H">#REF!</definedName>
    <definedName name="___T17">#REF!</definedName>
    <definedName name="__1">#REF!</definedName>
    <definedName name="__1__">#REF!</definedName>
    <definedName name="__T17">#REF!</definedName>
    <definedName name="__xlnm.Print_Titles_1">#N/A</definedName>
    <definedName name="__а">#REF!</definedName>
    <definedName name="_1">#REF!</definedName>
    <definedName name="_125">#REF!</definedName>
    <definedName name="_K">#REF!</definedName>
    <definedName name="_T17">#REF!</definedName>
    <definedName name="_ааа">#REF!</definedName>
    <definedName name="_ж1">#REF!</definedName>
    <definedName name="_у1">#REF!</definedName>
    <definedName name="_Э">#REF!</definedName>
    <definedName name="a">#REF!</definedName>
    <definedName name="A_l_attention_de">#REF!</definedName>
    <definedName name="a01_СС_Титул_pre_rep">#REF!</definedName>
    <definedName name="a02_СС_Шапка_pre_rep">#REF!</definedName>
    <definedName name="a06_СС_Лимитированные_pre_rep" localSheetId="0">'[1]КС-2'!#REF!</definedName>
    <definedName name="a06_СС_Лимитированные_pre_rep" localSheetId="1">'[1]КС-2'!#REF!</definedName>
    <definedName name="a06_СС_Лимитированные_pre_rep">'[1]КС-2'!#REF!</definedName>
    <definedName name="a08_СС_ЗаголовокЛимит_pre_rep">#REF!</definedName>
    <definedName name="a16_О_Лимитированные_pre_rep">#REF!</definedName>
    <definedName name="a17_О_Концовка_pre_rep">#REF!</definedName>
    <definedName name="a23_С_Заголовок_pre_rep" localSheetId="0">'[1]КС-2'!#REF!</definedName>
    <definedName name="a23_С_Заголовок_pre_rep" localSheetId="1">'[1]КС-2'!#REF!</definedName>
    <definedName name="a23_С_Заголовок_pre_rep">'[1]КС-2'!#REF!</definedName>
    <definedName name="a24_С_ИтогГрафы_pre_rep">'[1]КС-2'!#REF!</definedName>
    <definedName name="a27_С_Концовка_pre_rep">#REF!</definedName>
    <definedName name="a33_Р_Заголовок_pre_rep">#REF!</definedName>
    <definedName name="a34_Р_ИтогГрафы_pre_rep">#REF!</definedName>
    <definedName name="a43_ПР_Заголовок_pre_rep">#REF!</definedName>
    <definedName name="a44_ПР_ИтогГрафы_pre_rep">#REF!</definedName>
    <definedName name="a51_Ст_Строка_pre_rep">#REF!</definedName>
    <definedName name="a54_Ст_НРиСП_pre_rep">#REF!</definedName>
    <definedName name="a61_ПСт_Подстрока_pre_rep">#REF!</definedName>
    <definedName name="a64_ПСт_НРиСП_pre_rep">#REF!</definedName>
    <definedName name="AA">#REF!</definedName>
    <definedName name="Adresse1_affaire">#REF!</definedName>
    <definedName name="Adresse2_affaire">#REF!</definedName>
    <definedName name="al" localSheetId="0" hidden="1">{#N/A,#N/A,TRUE,"Сводка балансов"}</definedName>
    <definedName name="al" localSheetId="1" hidden="1">{#N/A,#N/A,TRUE,"Сводка балансов"}</definedName>
    <definedName name="al" hidden="1">{#N/A,#N/A,TRUE,"Сводка балансов"}</definedName>
    <definedName name="aqaa">#REF!</definedName>
    <definedName name="ata4ew4tgretw" localSheetId="0">[2]Эл.энергия!#REF!</definedName>
    <definedName name="ata4ew4tgretw" localSheetId="1">[2]Эл.энергия!#REF!</definedName>
    <definedName name="ata4ew4tgretw">[2]Эл.энергия!#REF!</definedName>
    <definedName name="B_1">#REF!</definedName>
    <definedName name="Catégories">[3]Catégories!$B$5:$B$986</definedName>
    <definedName name="Code_affaire">#REF!</definedName>
    <definedName name="Code_client">#REF!</definedName>
    <definedName name="Code_Dossier">#REF!</definedName>
    <definedName name="Code_post_ville_pays_Affaire">#REF!</definedName>
    <definedName name="Code_post_ville_pays_Dossier">#REF!</definedName>
    <definedName name="Const_1_1">#REF!</definedName>
    <definedName name="Constr_1" localSheetId="0">[4]ЭН1_БНС!#REF!</definedName>
    <definedName name="Constr_1" localSheetId="1">[4]ЭН1_БНС!#REF!</definedName>
    <definedName name="Constr_1">[4]ЭН1_БНС!#REF!</definedName>
    <definedName name="Constr_1_1">[2]Эл.энергия!#REF!</definedName>
    <definedName name="Constr_1_25">[2]Эл.энергия!#REF!</definedName>
    <definedName name="Constr_11">[4]М2_БНС!#REF!</definedName>
    <definedName name="Constr_11_1">[5]М2_БНС!#REF!</definedName>
    <definedName name="Constr_12">[4]ЭН14_Ростверк!#REF!</definedName>
    <definedName name="Constr_12_1">[5]ЭН14_Ростверк!#REF!</definedName>
    <definedName name="Constr_13">[4]ЭН14_СВСиУ!#REF!</definedName>
    <definedName name="Constr_14">[4]ЭН15_БНС!#REF!</definedName>
    <definedName name="Constr_15">[4]ЭН13_БНС!#REF!</definedName>
    <definedName name="Constr_16">[4]ЭН13_СВСиУ!#REF!</definedName>
    <definedName name="Constr_17">[4]ЭН3_БНС!#REF!</definedName>
    <definedName name="Constr_18">[4]ЭН16_БНС!#REF!</definedName>
    <definedName name="Constr_2">[4]ЭН2_БНС!#REF!</definedName>
    <definedName name="Constr_2_1">'[2]аренда флота'!#REF!</definedName>
    <definedName name="Constr_2_25">'[2]аренда флота'!#REF!</definedName>
    <definedName name="Constr_22">'[4]Аренда флота'!#REF!</definedName>
    <definedName name="Constr_3">[4]ЭН14_БНС!#REF!</definedName>
    <definedName name="Constr_4">'[4]1-1-4'!#REF!</definedName>
    <definedName name="Constr_5">'[4]8-4_времен.дорога А-В'!#REF!</definedName>
    <definedName name="Constr_6">'[4]2-4-9_дорога 3'!#REF!</definedName>
    <definedName name="Constr_7">'[4]1-1-11_Зем.работы площадки'!#REF!</definedName>
    <definedName name="Constr_8">'[4]1-1-8_островки'!#REF!</definedName>
    <definedName name="Constr_9">'[4]9 навМОСТОВИК'!#REF!</definedName>
    <definedName name="d_0">#REF!</definedName>
    <definedName name="d_01">#REF!</definedName>
    <definedName name="d_02">#REF!</definedName>
    <definedName name="Date_alpha">#REF!</definedName>
    <definedName name="Date_base_de_prix">#REF!</definedName>
    <definedName name="Date_d_envoi">#REF!</definedName>
    <definedName name="Date_de_l_offre">#REF!</definedName>
    <definedName name="Date_de_valeur_des_prix">#REF!</definedName>
    <definedName name="Date_du_jour">#REF!</definedName>
    <definedName name="Desi_Dossier">#REF!</definedName>
    <definedName name="Designation_1_pour_agence">#REF!</definedName>
    <definedName name="Designation_2_pour_agence">#REF!</definedName>
    <definedName name="Designation_affaire">#REF!</definedName>
    <definedName name="Designation_client">#REF!</definedName>
    <definedName name="Designation_devis">#REF!</definedName>
    <definedName name="Ds_2">#REF!</definedName>
    <definedName name="EL_0">#REF!</definedName>
    <definedName name="Excel_BuiltIn_Print_Area">#REF!</definedName>
    <definedName name="Excel_BuiltIn_Print_Area_1">#N/A</definedName>
    <definedName name="Excel_BuiltIn_Print_Area_1_1">NA()</definedName>
    <definedName name="Excel_BuiltIn_Print_Area_4">#REF!</definedName>
    <definedName name="Excel_BuiltIn_Print_Titles">#REF!</definedName>
    <definedName name="Excel_BuiltIn_Print_Titles_1">#REF!</definedName>
    <definedName name="f">#REF!</definedName>
    <definedName name="Fax">#REF!</definedName>
    <definedName name="Fax_affaire">#REF!</definedName>
    <definedName name="Fax_dossier">#REF!</definedName>
    <definedName name="FOT_1" localSheetId="0">[4]ЭН1_БНС!#REF!</definedName>
    <definedName name="FOT_1" localSheetId="1">[4]ЭН1_БНС!#REF!</definedName>
    <definedName name="FOT_1">[4]ЭН1_БНС!#REF!</definedName>
    <definedName name="FOT_1_1">[2]Эл.энергия!#REF!</definedName>
    <definedName name="FOT_1_25">[2]Эл.энергия!#REF!</definedName>
    <definedName name="FOT_11">[4]М2_БНС!#REF!</definedName>
    <definedName name="FOT_12">[4]ЭН14_Ростверк!#REF!</definedName>
    <definedName name="FOT_13">[4]ЭН14_СВСиУ!#REF!</definedName>
    <definedName name="FOT_14">[4]ЭН15_БНС!#REF!</definedName>
    <definedName name="FOT_15">[4]ЭН13_БНС!#REF!</definedName>
    <definedName name="FOT_16">[4]ЭН13_СВСиУ!#REF!</definedName>
    <definedName name="FOT_17">[4]ЭН3_БНС!#REF!</definedName>
    <definedName name="FOT_18">[4]ЭН16_БНС!#REF!</definedName>
    <definedName name="FOT_2">[4]ЭН2_БНС!#REF!</definedName>
    <definedName name="FOT_2_1">'[2]аренда флота'!#REF!</definedName>
    <definedName name="FOT_2_25">'[2]аренда флота'!#REF!</definedName>
    <definedName name="FOT_22">'[4]Аренда флота'!#REF!</definedName>
    <definedName name="FOT_3">[4]ЭН14_БНС!#REF!</definedName>
    <definedName name="FOT_4">'[4]1-1-4'!#REF!</definedName>
    <definedName name="FOT_5">'[4]8-4_времен.дорога А-В'!#REF!</definedName>
    <definedName name="FOT_6">'[4]2-4-9_дорога 3'!#REF!</definedName>
    <definedName name="FOT_7">'[4]1-1-11_Зем.работы площадки'!#REF!</definedName>
    <definedName name="FOT_8">'[4]1-1-8_островки'!#REF!</definedName>
    <definedName name="FOT_9">'[4]9 навМОСТОВИК'!#REF!</definedName>
    <definedName name="gjjj">#REF!</definedName>
    <definedName name="Ind_1" localSheetId="0">[4]ЭН1_БНС!#REF!</definedName>
    <definedName name="Ind_1" localSheetId="1">[4]ЭН1_БНС!#REF!</definedName>
    <definedName name="Ind_1">[4]ЭН1_БНС!#REF!</definedName>
    <definedName name="Ind_1_1">[2]Эл.энергия!#REF!</definedName>
    <definedName name="Ind_1_25">[2]Эл.энергия!#REF!</definedName>
    <definedName name="Ind_11">[4]М2_БНС!#REF!</definedName>
    <definedName name="Ind_12">[4]ЭН14_Ростверк!#REF!</definedName>
    <definedName name="Ind_13">[4]ЭН14_СВСиУ!#REF!</definedName>
    <definedName name="Ind_14">[4]ЭН15_БНС!#REF!</definedName>
    <definedName name="Ind_15">[4]ЭН13_БНС!#REF!</definedName>
    <definedName name="Ind_16">[4]ЭН13_СВСиУ!#REF!</definedName>
    <definedName name="Ind_17">[4]ЭН3_БНС!#REF!</definedName>
    <definedName name="Ind_18">[4]ЭН16_БНС!#REF!</definedName>
    <definedName name="Ind_2">[4]ЭН2_БНС!#REF!</definedName>
    <definedName name="Ind_2_1">'[2]аренда флота'!#REF!</definedName>
    <definedName name="Ind_2_25">'[2]аренда флота'!#REF!</definedName>
    <definedName name="Ind_22">'[4]Аренда флота'!#REF!</definedName>
    <definedName name="Ind_3">[4]ЭН14_БНС!#REF!</definedName>
    <definedName name="Ind_4">'[4]1-1-4'!#REF!</definedName>
    <definedName name="Ind_5">'[4]8-4_времен.дорога А-В'!#REF!</definedName>
    <definedName name="Ind_6">'[4]2-4-9_дорога 3'!#REF!</definedName>
    <definedName name="Ind_7">'[4]1-1-11_Зем.работы площадки'!#REF!</definedName>
    <definedName name="Ind_8">'[4]1-1-8_островки'!#REF!</definedName>
    <definedName name="Ind_9">'[4]9 навМОСТОВИК'!#REF!</definedName>
    <definedName name="j">#REF!</definedName>
    <definedName name="jj">#REF!</definedName>
    <definedName name="K_012">#REF!</definedName>
    <definedName name="K_1">#REF!</definedName>
    <definedName name="K_10">#REF!</definedName>
    <definedName name="K_101">'[6]Тр.(пут)'!$P$20</definedName>
    <definedName name="K_102">'[6]Тр.(пут)'!$P$23</definedName>
    <definedName name="K_103">'[6]Тр.(пут)'!$P$26</definedName>
    <definedName name="K_104">'[6]Тр.(пут)'!$P$29</definedName>
    <definedName name="K_105">'[7]Тр.(пут)'!$P$32</definedName>
    <definedName name="K_106">'[6]Тр.(пут)'!$P$35</definedName>
    <definedName name="K_107">'[6]Тр.(пут)'!$P$38</definedName>
    <definedName name="K_108">'[6]Тр.(пут)'!$P$17</definedName>
    <definedName name="K_109">'[6]Тр.(пут)'!$P$41</definedName>
    <definedName name="K_11">#REF!</definedName>
    <definedName name="K_12">#REF!</definedName>
    <definedName name="K_122">#REF!</definedName>
    <definedName name="K_13">#REF!</definedName>
    <definedName name="K_14">#REF!</definedName>
    <definedName name="K_15">#REF!</definedName>
    <definedName name="K_16">#REF!</definedName>
    <definedName name="K_2">#REF!</definedName>
    <definedName name="K_20">#REF!</definedName>
    <definedName name="K_3">#REF!</definedName>
    <definedName name="K_31" localSheetId="0">'[8]ТрМ. '!#REF!</definedName>
    <definedName name="K_31" localSheetId="1">'[8]ТрМ. '!#REF!</definedName>
    <definedName name="K_31">'[8]ТрМ. '!#REF!</definedName>
    <definedName name="K_4">#REF!</definedName>
    <definedName name="K_400">#REF!</definedName>
    <definedName name="K_44">#REF!</definedName>
    <definedName name="K_48">'[9]Тр.(ж.д.)'!$F$43</definedName>
    <definedName name="K_49">#REF!</definedName>
    <definedName name="K_5">[10]Тр.!$H$36</definedName>
    <definedName name="K_55">#REF!</definedName>
    <definedName name="K_58">'[11]Тр.  (мост)'!$P$30</definedName>
    <definedName name="K_6">#REF!</definedName>
    <definedName name="K_6а">#REF!</definedName>
    <definedName name="K_7">#REF!</definedName>
    <definedName name="K_7а" localSheetId="0">'[8]ТрМ. '!#REF!</definedName>
    <definedName name="K_7а" localSheetId="1">'[8]ТрМ. '!#REF!</definedName>
    <definedName name="K_7а">'[8]ТрМ. '!#REF!</definedName>
    <definedName name="K_8">#REF!</definedName>
    <definedName name="K_80">#REF!</definedName>
    <definedName name="K_81">#REF!</definedName>
    <definedName name="K_85" localSheetId="0">'[12]тр '!#REF!</definedName>
    <definedName name="K_85" localSheetId="1">'[12]тр '!#REF!</definedName>
    <definedName name="K_85">'[12]тр '!#REF!</definedName>
    <definedName name="K_9">#REF!</definedName>
    <definedName name="K_91">#REF!</definedName>
    <definedName name="L_1">#REF!</definedName>
    <definedName name="L_2">#REF!</definedName>
    <definedName name="lh" localSheetId="0" hidden="1">{#N/A,#N/A,TRUE,"Сводка балансов"}</definedName>
    <definedName name="lh" localSheetId="1" hidden="1">{#N/A,#N/A,TRUE,"Сводка балансов"}</definedName>
    <definedName name="lh" hidden="1">{#N/A,#N/A,TRUE,"Сводка балансов"}</definedName>
    <definedName name="Ligne_1_commentaire_entete">#REF!</definedName>
    <definedName name="Ligne_1_desi_client">#REF!</definedName>
    <definedName name="Ligne_1_reference">#REF!</definedName>
    <definedName name="Ligne_2_commentaire_entete">#REF!</definedName>
    <definedName name="Ligne_2_desi_client">#REF!</definedName>
    <definedName name="Ligne_2_reference">#REF!</definedName>
    <definedName name="Ligne_3_desi_client">#REF!</definedName>
    <definedName name="Ligne_3_reference">#REF!</definedName>
    <definedName name="M__1">#REF!</definedName>
    <definedName name="M__66">#REF!</definedName>
    <definedName name="M__92">#REF!</definedName>
    <definedName name="M_1">#REF!</definedName>
    <definedName name="M_10">#REF!</definedName>
    <definedName name="M_100" localSheetId="0">[13]К.С.М.!#REF!</definedName>
    <definedName name="M_100" localSheetId="1">[13]К.С.М.!#REF!</definedName>
    <definedName name="M_100">[13]К.С.М.!#REF!</definedName>
    <definedName name="M_101">#REF!</definedName>
    <definedName name="M_107">#REF!</definedName>
    <definedName name="M_11">#REF!</definedName>
    <definedName name="M_119" localSheetId="0">[14]К.С.М.!#REF!</definedName>
    <definedName name="M_119" localSheetId="1">[14]К.С.М.!#REF!</definedName>
    <definedName name="M_119">[14]К.С.М.!#REF!</definedName>
    <definedName name="M_12">#REF!</definedName>
    <definedName name="M_122">'[15]К.С.М. (2)'!$P$49</definedName>
    <definedName name="M_12а">#REF!</definedName>
    <definedName name="M_12б">#REF!</definedName>
    <definedName name="M_13">#REF!</definedName>
    <definedName name="M_13а">#REF!</definedName>
    <definedName name="M_14">#REF!</definedName>
    <definedName name="M_15">#REF!</definedName>
    <definedName name="M_152" localSheetId="0">[16]К.С.М.!#REF!</definedName>
    <definedName name="M_152" localSheetId="1">[16]К.С.М.!#REF!</definedName>
    <definedName name="M_152">[16]К.С.М.!#REF!</definedName>
    <definedName name="M_16">#REF!</definedName>
    <definedName name="M_17">#REF!</definedName>
    <definedName name="M_17a">#REF!</definedName>
    <definedName name="M_17б">#REF!</definedName>
    <definedName name="M_18">[17]К.С.М.!$P$42</definedName>
    <definedName name="M_188">#REF!</definedName>
    <definedName name="M_19">#REF!</definedName>
    <definedName name="M_1д">#REF!</definedName>
    <definedName name="M_2">#REF!</definedName>
    <definedName name="M_20">#REF!</definedName>
    <definedName name="M_20a">#REF!</definedName>
    <definedName name="M_21">#REF!</definedName>
    <definedName name="M_22">#REF!</definedName>
    <definedName name="M_222">#REF!</definedName>
    <definedName name="M_23">#REF!</definedName>
    <definedName name="M_24">#REF!</definedName>
    <definedName name="M_25">#REF!</definedName>
    <definedName name="M_25а" localSheetId="0">[18]К.С.М.!#REF!</definedName>
    <definedName name="M_25а" localSheetId="1">[18]К.С.М.!#REF!</definedName>
    <definedName name="M_25а">[18]К.С.М.!#REF!</definedName>
    <definedName name="M_25Х">[13]К.С.М.!#REF!</definedName>
    <definedName name="M_26">#REF!</definedName>
    <definedName name="M_27">#REF!</definedName>
    <definedName name="M_27а">#REF!</definedName>
    <definedName name="M_27б" localSheetId="0">'[8]К.С.М. м'!#REF!</definedName>
    <definedName name="M_27б" localSheetId="1">'[8]К.С.М. м'!#REF!</definedName>
    <definedName name="M_27б">'[8]К.С.М. м'!#REF!</definedName>
    <definedName name="M_28">#REF!</definedName>
    <definedName name="M_29">#REF!</definedName>
    <definedName name="M_2а">#REF!</definedName>
    <definedName name="M_2б">#REF!</definedName>
    <definedName name="M_2в">#REF!</definedName>
    <definedName name="M_2д">#REF!</definedName>
    <definedName name="M_3">#REF!</definedName>
    <definedName name="M_30">#REF!</definedName>
    <definedName name="M_308">#REF!</definedName>
    <definedName name="M_31">#REF!</definedName>
    <definedName name="M_37" localSheetId="0">[18]К.С.М.!#REF!</definedName>
    <definedName name="M_37" localSheetId="1">[18]К.С.М.!#REF!</definedName>
    <definedName name="M_37">[18]К.С.М.!#REF!</definedName>
    <definedName name="M_37а">#REF!</definedName>
    <definedName name="M_3д">#REF!</definedName>
    <definedName name="M_4">#REF!</definedName>
    <definedName name="M_42">#REF!</definedName>
    <definedName name="M_421">[19]К.С.М.!$P$18</definedName>
    <definedName name="M_4а">#REF!</definedName>
    <definedName name="M_4д">#REF!</definedName>
    <definedName name="M_5">#REF!</definedName>
    <definedName name="M_50" localSheetId="0">[16]К.С.М.!#REF!</definedName>
    <definedName name="M_50" localSheetId="1">[16]К.С.М.!#REF!</definedName>
    <definedName name="M_50">[16]К.С.М.!#REF!</definedName>
    <definedName name="M_6">#REF!</definedName>
    <definedName name="M_61">#REF!</definedName>
    <definedName name="M_62">#REF!</definedName>
    <definedName name="M_63">#REF!</definedName>
    <definedName name="M_633">#REF!</definedName>
    <definedName name="M_634">#REF!</definedName>
    <definedName name="M_64">#REF!</definedName>
    <definedName name="M_66">#REF!</definedName>
    <definedName name="M_666" localSheetId="0">'[8]К.С.М. м'!#REF!</definedName>
    <definedName name="M_666" localSheetId="1">'[8]К.С.М. м'!#REF!</definedName>
    <definedName name="M_666">'[8]К.С.М. м'!#REF!</definedName>
    <definedName name="M_66б">[20]К.С.М.!#REF!</definedName>
    <definedName name="M_67">[18]К.С.М.!#REF!</definedName>
    <definedName name="M_69">#REF!</definedName>
    <definedName name="M_6a">#REF!</definedName>
    <definedName name="M_6а">[21]К.С.М.!$P$113</definedName>
    <definedName name="M_6б">[22]К.С.М.!$P$192</definedName>
    <definedName name="M_6бс">#REF!</definedName>
    <definedName name="M_7">#REF!</definedName>
    <definedName name="M_76a" localSheetId="0">[18]К.С.М.!#REF!</definedName>
    <definedName name="M_76a" localSheetId="1">[18]К.С.М.!#REF!</definedName>
    <definedName name="M_76a">[18]К.С.М.!#REF!</definedName>
    <definedName name="M_77">#REF!</definedName>
    <definedName name="M_78">#REF!</definedName>
    <definedName name="M_7а">#REF!</definedName>
    <definedName name="M_7б" localSheetId="0">[18]К.С.М.!#REF!</definedName>
    <definedName name="M_7б" localSheetId="1">[18]К.С.М.!#REF!</definedName>
    <definedName name="M_7б">[18]К.С.М.!#REF!</definedName>
    <definedName name="M_7к">[23]К.С.М.!#REF!</definedName>
    <definedName name="M_8">#REF!</definedName>
    <definedName name="M_81">#REF!</definedName>
    <definedName name="M_87">#REF!</definedName>
    <definedName name="M_88">#REF!</definedName>
    <definedName name="M_89">#REF!</definedName>
    <definedName name="M_8а" localSheetId="0">[12]К.С.М.!#REF!</definedName>
    <definedName name="M_8а" localSheetId="1">[12]К.С.М.!#REF!</definedName>
    <definedName name="M_8а">[12]К.С.М.!#REF!</definedName>
    <definedName name="M_8б">#REF!</definedName>
    <definedName name="M_8в" localSheetId="0">[12]К.С.М.!#REF!</definedName>
    <definedName name="M_8в" localSheetId="1">[12]К.С.М.!#REF!</definedName>
    <definedName name="M_8в">[12]К.С.М.!#REF!</definedName>
    <definedName name="M_8г">[12]К.С.М.!#REF!</definedName>
    <definedName name="M_9">#REF!</definedName>
    <definedName name="M_90" localSheetId="0">[12]К.С.М.!#REF!</definedName>
    <definedName name="M_90" localSheetId="1">[12]К.С.М.!#REF!</definedName>
    <definedName name="M_90">[12]К.С.М.!#REF!</definedName>
    <definedName name="M_91">#REF!</definedName>
    <definedName name="M_92">#REF!</definedName>
    <definedName name="M_9a">#REF!</definedName>
    <definedName name="Monnaie">#REF!</definedName>
    <definedName name="Montant_en_EURO_ligne_1">#REF!</definedName>
    <definedName name="Montant_en_EURO_ligne_2">#REF!</definedName>
    <definedName name="Montant_en_lettre_ligne_1">#REF!</definedName>
    <definedName name="Montant_en_lettre_ligne_2">#REF!</definedName>
    <definedName name="Montant_EURO_chiffres">#REF!</definedName>
    <definedName name="N_5">'[24]3'!$K$155</definedName>
    <definedName name="nnn">#REF!</definedName>
    <definedName name="Nom_du_responsable">#REF!</definedName>
    <definedName name="Nt_0">#REF!</definedName>
    <definedName name="Obj_1" localSheetId="0">[4]ЭН1_БНС!#REF!</definedName>
    <definedName name="Obj_1" localSheetId="1">[4]ЭН1_БНС!#REF!</definedName>
    <definedName name="Obj_1">[4]ЭН1_БНС!#REF!</definedName>
    <definedName name="Obj_1_1">[2]Эл.энергия!#REF!</definedName>
    <definedName name="Obj_1_25">[2]Эл.энергия!#REF!</definedName>
    <definedName name="Obj_11">[4]М2_БНС!#REF!</definedName>
    <definedName name="Obj_12">[4]ЭН14_Ростверк!#REF!</definedName>
    <definedName name="Obj_13">[4]ЭН14_СВСиУ!#REF!</definedName>
    <definedName name="Obj_14">[4]ЭН15_БНС!#REF!</definedName>
    <definedName name="Obj_15">[4]ЭН13_БНС!#REF!</definedName>
    <definedName name="Obj_16">[4]ЭН13_СВСиУ!#REF!</definedName>
    <definedName name="Obj_17">[4]ЭН3_БНС!#REF!</definedName>
    <definedName name="Obj_18">[4]ЭН16_БНС!#REF!</definedName>
    <definedName name="Obj_2">[4]ЭН2_БНС!#REF!</definedName>
    <definedName name="Obj_2_1">'[2]аренда флота'!#REF!</definedName>
    <definedName name="Obj_2_25">'[2]аренда флота'!#REF!</definedName>
    <definedName name="Obj_22">'[4]Аренда флота'!#REF!</definedName>
    <definedName name="Obj_3">[4]ЭН14_БНС!#REF!</definedName>
    <definedName name="Obj_4">'[4]1-1-4'!#REF!</definedName>
    <definedName name="Obj_5">'[4]8-4_времен.дорога А-В'!#REF!</definedName>
    <definedName name="Obj_6">'[4]2-4-9_дорога 3'!#REF!</definedName>
    <definedName name="Obj_7">'[4]1-1-11_Зем.работы площадки'!#REF!</definedName>
    <definedName name="Obj_8">'[4]1-1-8_островки'!#REF!</definedName>
    <definedName name="Obj_9">'[4]9 навМОСТОВИК'!#REF!</definedName>
    <definedName name="Objet_1">#REF!</definedName>
    <definedName name="Objet_2">#REF!</definedName>
    <definedName name="Objet_3">#REF!</definedName>
    <definedName name="Obosn_1" localSheetId="0">[4]ЭН1_БНС!#REF!</definedName>
    <definedName name="Obosn_1" localSheetId="1">[4]ЭН1_БНС!#REF!</definedName>
    <definedName name="Obosn_1">[4]ЭН1_БНС!#REF!</definedName>
    <definedName name="Obosn_1_1">[2]Эл.энергия!#REF!</definedName>
    <definedName name="Obosn_1_25">[2]Эл.энергия!#REF!</definedName>
    <definedName name="Obosn_11">[4]М2_БНС!#REF!</definedName>
    <definedName name="Obosn_12">[4]ЭН14_Ростверк!#REF!</definedName>
    <definedName name="Obosn_13">[4]ЭН14_СВСиУ!#REF!</definedName>
    <definedName name="Obosn_14">[4]ЭН15_БНС!#REF!</definedName>
    <definedName name="Obosn_15">[4]ЭН13_БНС!#REF!</definedName>
    <definedName name="Obosn_16">[4]ЭН13_СВСиУ!#REF!</definedName>
    <definedName name="Obosn_17">[4]ЭН3_БНС!#REF!</definedName>
    <definedName name="Obosn_18">[4]ЭН16_БНС!#REF!</definedName>
    <definedName name="Obosn_2">[4]ЭН2_БНС!#REF!</definedName>
    <definedName name="Obosn_2_1">'[2]аренда флота'!#REF!</definedName>
    <definedName name="Obosn_2_25">'[2]аренда флота'!#REF!</definedName>
    <definedName name="Obosn_22">'[4]Аренда флота'!#REF!</definedName>
    <definedName name="Obosn_3">[4]ЭН14_БНС!#REF!</definedName>
    <definedName name="Obosn_4">'[4]1-1-4'!#REF!</definedName>
    <definedName name="Obosn_5">'[4]8-4_времен.дорога А-В'!#REF!</definedName>
    <definedName name="Obosn_6">'[4]2-4-9_дорога 3'!#REF!</definedName>
    <definedName name="Obosn_7">'[4]1-1-11_Зем.работы площадки'!#REF!</definedName>
    <definedName name="Obosn_8">'[4]1-1-8_островки'!#REF!</definedName>
    <definedName name="Obosn_9">'[4]9 навМОСТОВИК'!#REF!</definedName>
    <definedName name="OnProcMacro">"UFW_Convertion"</definedName>
    <definedName name="P_03">[6]Фм!$H$24</definedName>
    <definedName name="P_04">[6]Фм!$H$26</definedName>
    <definedName name="P_05">[6]Фм!$H$28</definedName>
    <definedName name="P_06">[6]Фм!$H$30</definedName>
    <definedName name="P_07">[6]Фм!$H$32</definedName>
    <definedName name="P_08">[6]Фм!$H$34</definedName>
    <definedName name="P_09">[6]Фм!$H$36</definedName>
    <definedName name="P_091">[6]Фм!$H$38</definedName>
    <definedName name="P_092">[6]Фм!$H$40</definedName>
    <definedName name="P_093">[6]Фм!$H$42</definedName>
    <definedName name="P_1">#REF!</definedName>
    <definedName name="P_10">#REF!</definedName>
    <definedName name="P_100">#REF!</definedName>
    <definedName name="P_1000">#REF!</definedName>
    <definedName name="P_1001">#REF!</definedName>
    <definedName name="P_1002">#REF!</definedName>
    <definedName name="P_101">#REF!</definedName>
    <definedName name="P_103" localSheetId="0">[23]Ф!#REF!</definedName>
    <definedName name="P_103" localSheetId="1">[23]Ф!#REF!</definedName>
    <definedName name="P_103">[23]Ф!#REF!</definedName>
    <definedName name="P_104">[23]Ф!#REF!</definedName>
    <definedName name="P_10а">#REF!</definedName>
    <definedName name="P_10б">#REF!</definedName>
    <definedName name="P_10в">#REF!</definedName>
    <definedName name="P_10г">#REF!</definedName>
    <definedName name="P_11">#REF!</definedName>
    <definedName name="P_111">#REF!</definedName>
    <definedName name="P_112">#REF!</definedName>
    <definedName name="P_113">#REF!</definedName>
    <definedName name="P_113а">#REF!</definedName>
    <definedName name="P_114">#REF!</definedName>
    <definedName name="P_11а">#REF!</definedName>
    <definedName name="P_12">#REF!</definedName>
    <definedName name="P_122" localSheetId="0">[25]Ф!#REF!</definedName>
    <definedName name="P_122" localSheetId="1">[25]Ф!#REF!</definedName>
    <definedName name="P_122">[25]Ф!#REF!</definedName>
    <definedName name="P_129">#REF!</definedName>
    <definedName name="P_129а">#REF!</definedName>
    <definedName name="P_129б">#REF!</definedName>
    <definedName name="P_129в">#REF!</definedName>
    <definedName name="P_12а">#REF!</definedName>
    <definedName name="P_13">#REF!</definedName>
    <definedName name="P_133">#REF!</definedName>
    <definedName name="P_133а">#REF!</definedName>
    <definedName name="P_137" localSheetId="0">[13]Ф!#REF!</definedName>
    <definedName name="P_137" localSheetId="1">[13]Ф!#REF!</definedName>
    <definedName name="P_137">[13]Ф!#REF!</definedName>
    <definedName name="P_13a">#REF!</definedName>
    <definedName name="P_14">#REF!</definedName>
    <definedName name="P_140" localSheetId="0">[20]Ф!#REF!</definedName>
    <definedName name="P_140" localSheetId="1">[20]Ф!#REF!</definedName>
    <definedName name="P_140">[20]Ф!#REF!</definedName>
    <definedName name="P_141">#REF!</definedName>
    <definedName name="P_144">#REF!</definedName>
    <definedName name="P_14а">#REF!</definedName>
    <definedName name="P_14б">#REF!</definedName>
    <definedName name="P_15">#REF!</definedName>
    <definedName name="P_150" localSheetId="0">[23]Ф!#REF!</definedName>
    <definedName name="P_150" localSheetId="1">[23]Ф!#REF!</definedName>
    <definedName name="P_150">[23]Ф!#REF!</definedName>
    <definedName name="P_155">#REF!</definedName>
    <definedName name="P_157" localSheetId="0">[13]Ф!#REF!</definedName>
    <definedName name="P_157" localSheetId="1">[13]Ф!#REF!</definedName>
    <definedName name="P_157">[13]Ф!#REF!</definedName>
    <definedName name="P_159">#REF!</definedName>
    <definedName name="P_16">#REF!</definedName>
    <definedName name="P_17">#REF!</definedName>
    <definedName name="P_18">#REF!</definedName>
    <definedName name="P_19">#REF!</definedName>
    <definedName name="P_190">#REF!</definedName>
    <definedName name="P_1а">#REF!</definedName>
    <definedName name="P_2">#REF!</definedName>
    <definedName name="P_20">#REF!</definedName>
    <definedName name="P_21">#REF!</definedName>
    <definedName name="P_22">#REF!</definedName>
    <definedName name="P_22а" localSheetId="0">[8]Ф!#REF!</definedName>
    <definedName name="P_22а" localSheetId="1">[8]Ф!#REF!</definedName>
    <definedName name="P_22а">[8]Ф!#REF!</definedName>
    <definedName name="P_23">#REF!</definedName>
    <definedName name="P_23а" localSheetId="0">[8]Ф!#REF!</definedName>
    <definedName name="P_23а" localSheetId="1">[8]Ф!#REF!</definedName>
    <definedName name="P_23а">[8]Ф!#REF!</definedName>
    <definedName name="P_24">#REF!</definedName>
    <definedName name="P_24а">#REF!</definedName>
    <definedName name="P_25" localSheetId="0">[23]Ф!#REF!</definedName>
    <definedName name="P_25" localSheetId="1">[23]Ф!#REF!</definedName>
    <definedName name="P_25">[23]Ф!#REF!</definedName>
    <definedName name="P_26">#REF!</definedName>
    <definedName name="P_27">#REF!</definedName>
    <definedName name="P_28">#REF!</definedName>
    <definedName name="P_289">#REF!</definedName>
    <definedName name="P_28а">#REF!</definedName>
    <definedName name="P_29">#REF!</definedName>
    <definedName name="P_2a">#REF!</definedName>
    <definedName name="P_2ab">[26]Ф!$H$48</definedName>
    <definedName name="P_2aб">#REF!</definedName>
    <definedName name="P_2б">#REF!</definedName>
    <definedName name="P_3">#REF!</definedName>
    <definedName name="P_30">#REF!</definedName>
    <definedName name="P_302">#REF!</definedName>
    <definedName name="P_303">#REF!</definedName>
    <definedName name="P_304">#REF!</definedName>
    <definedName name="P_305">#REF!</definedName>
    <definedName name="P_306">#REF!</definedName>
    <definedName name="P_307">#REF!</definedName>
    <definedName name="P_308">#REF!</definedName>
    <definedName name="P_31">#REF!</definedName>
    <definedName name="P_310">#REF!</definedName>
    <definedName name="P_311">#REF!</definedName>
    <definedName name="P_313">#REF!</definedName>
    <definedName name="P_318">#REF!</definedName>
    <definedName name="P_32">#REF!</definedName>
    <definedName name="P_33">#REF!</definedName>
    <definedName name="P_330" localSheetId="0">[27]Ф!#REF!</definedName>
    <definedName name="P_330" localSheetId="1">[27]Ф!#REF!</definedName>
    <definedName name="P_330">[27]Ф!#REF!</definedName>
    <definedName name="P_334">[28]Ф!#REF!</definedName>
    <definedName name="P_337">[29]Ф!#REF!</definedName>
    <definedName name="P_339">[29]Ф!#REF!</definedName>
    <definedName name="P_34">#REF!</definedName>
    <definedName name="P_342" localSheetId="0">[29]Ф!#REF!</definedName>
    <definedName name="P_342" localSheetId="1">[29]Ф!#REF!</definedName>
    <definedName name="P_342">[29]Ф!#REF!</definedName>
    <definedName name="P_344">[28]Ф!#REF!</definedName>
    <definedName name="P_346">[30]Ф!$H$97</definedName>
    <definedName name="P_347">[29]Ф!#REF!</definedName>
    <definedName name="P_35">#REF!</definedName>
    <definedName name="P_36">#REF!</definedName>
    <definedName name="P_366" localSheetId="0">[13]Ф!#REF!</definedName>
    <definedName name="P_366" localSheetId="1">[13]Ф!#REF!</definedName>
    <definedName name="P_366">[13]Ф!#REF!</definedName>
    <definedName name="P_3666">[20]Ф!#REF!</definedName>
    <definedName name="P_36а">#REF!</definedName>
    <definedName name="P_37">#REF!</definedName>
    <definedName name="P_37а">#REF!</definedName>
    <definedName name="P_37б">#REF!</definedName>
    <definedName name="P_38">#REF!</definedName>
    <definedName name="P_39">#REF!</definedName>
    <definedName name="P_4">#REF!</definedName>
    <definedName name="P_40">#REF!</definedName>
    <definedName name="P_40а">#REF!</definedName>
    <definedName name="P_41">#REF!</definedName>
    <definedName name="P_418" localSheetId="0">[13]Ф!#REF!</definedName>
    <definedName name="P_418" localSheetId="1">[13]Ф!#REF!</definedName>
    <definedName name="P_418">[13]Ф!#REF!</definedName>
    <definedName name="P_419">[13]Ф!#REF!</definedName>
    <definedName name="P_42">#REF!</definedName>
    <definedName name="P_44" localSheetId="0">[23]Ф!#REF!</definedName>
    <definedName name="P_44" localSheetId="1">[23]Ф!#REF!</definedName>
    <definedName name="P_44">[23]Ф!#REF!</definedName>
    <definedName name="P_44а">[8]Ф!#REF!</definedName>
    <definedName name="P_46">#REF!</definedName>
    <definedName name="P_460" localSheetId="0">[20]Ф!#REF!</definedName>
    <definedName name="P_460" localSheetId="1">[20]Ф!#REF!</definedName>
    <definedName name="P_460">[20]Ф!#REF!</definedName>
    <definedName name="P_461">[20]Ф!#REF!</definedName>
    <definedName name="P_462">[20]Ф!#REF!</definedName>
    <definedName name="P_463">[20]Ф!#REF!</definedName>
    <definedName name="P_466">#REF!</definedName>
    <definedName name="P_467" localSheetId="0">[20]Ф!#REF!</definedName>
    <definedName name="P_467" localSheetId="1">[20]Ф!#REF!</definedName>
    <definedName name="P_467">[20]Ф!#REF!</definedName>
    <definedName name="P_468">[20]Ф!#REF!</definedName>
    <definedName name="P_469">[13]Ф!#REF!</definedName>
    <definedName name="P_49">[13]Ф!#REF!</definedName>
    <definedName name="P_4a">#REF!</definedName>
    <definedName name="P_4b">#REF!</definedName>
    <definedName name="P_4а">[31]Ф!$H$28</definedName>
    <definedName name="P_4б">[8]Ф!#REF!</definedName>
    <definedName name="P_4к">[13]Ф!#REF!</definedName>
    <definedName name="P_5">#REF!</definedName>
    <definedName name="P_50" localSheetId="0">[13]Ф!#REF!</definedName>
    <definedName name="P_50" localSheetId="1">[13]Ф!#REF!</definedName>
    <definedName name="P_50">[13]Ф!#REF!</definedName>
    <definedName name="P_51">#REF!</definedName>
    <definedName name="P_533" localSheetId="0">[16]Ф!#REF!</definedName>
    <definedName name="P_533" localSheetId="1">[16]Ф!#REF!</definedName>
    <definedName name="P_533">[16]Ф!#REF!</definedName>
    <definedName name="P_55">[23]Ф!#REF!</definedName>
    <definedName name="P_55a">[13]Ф!#REF!</definedName>
    <definedName name="P_55а">[13]Ф!#REF!</definedName>
    <definedName name="P_56">[13]Ф!#REF!</definedName>
    <definedName name="P_569">[13]Ф!#REF!</definedName>
    <definedName name="P_57">[13]Ф!#REF!</definedName>
    <definedName name="P_57а">#REF!</definedName>
    <definedName name="P_5а">#REF!</definedName>
    <definedName name="P_6">#REF!</definedName>
    <definedName name="P_600">#REF!</definedName>
    <definedName name="P_62" localSheetId="0">[13]Ф!#REF!</definedName>
    <definedName name="P_62" localSheetId="1">[13]Ф!#REF!</definedName>
    <definedName name="P_62">[13]Ф!#REF!</definedName>
    <definedName name="P_63">[13]Ф!#REF!</definedName>
    <definedName name="P_66">#REF!</definedName>
    <definedName name="P_6а">#REF!</definedName>
    <definedName name="P_7">#REF!</definedName>
    <definedName name="P_71" localSheetId="0">[13]Ф!#REF!</definedName>
    <definedName name="P_71" localSheetId="1">[13]Ф!#REF!</definedName>
    <definedName name="P_71">[13]Ф!#REF!</definedName>
    <definedName name="P_72">[14]Ф!#REF!</definedName>
    <definedName name="P_73">[14]Ф!#REF!</definedName>
    <definedName name="P_73а">[14]Ф!#REF!</definedName>
    <definedName name="P_74">[16]Ф!#REF!</definedName>
    <definedName name="P_76">#REF!</definedName>
    <definedName name="P_78">#REF!</definedName>
    <definedName name="P_8">#REF!</definedName>
    <definedName name="P_82">#REF!</definedName>
    <definedName name="P_88">#REF!</definedName>
    <definedName name="P_9">#REF!</definedName>
    <definedName name="P_91" localSheetId="0">[13]Ф!#REF!</definedName>
    <definedName name="P_91" localSheetId="1">[13]Ф!#REF!</definedName>
    <definedName name="P_91">[13]Ф!#REF!</definedName>
    <definedName name="P_910">[13]Ф!#REF!</definedName>
    <definedName name="P_911">#REF!</definedName>
    <definedName name="P_91а" localSheetId="0">[12]Ф!#REF!</definedName>
    <definedName name="P_91а" localSheetId="1">[12]Ф!#REF!</definedName>
    <definedName name="P_91а">[12]Ф!#REF!</definedName>
    <definedName name="P_92">[13]Ф!#REF!</definedName>
    <definedName name="P_93">[32]Ф!$H$77</definedName>
    <definedName name="P_98">#REF!</definedName>
    <definedName name="P_98а">#REF!</definedName>
    <definedName name="P_9a">#REF!</definedName>
    <definedName name="Pasp" localSheetId="0" hidden="1">{#N/A,#N/A,TRUE,"Сводка балансов"}</definedName>
    <definedName name="Pasp" localSheetId="1" hidden="1">{#N/A,#N/A,TRUE,"Сводка балансов"}</definedName>
    <definedName name="Pasp" hidden="1">{#N/A,#N/A,TRUE,"Сводка балансов"}</definedName>
    <definedName name="qwert" localSheetId="0" hidden="1">{#N/A,#N/A,TRUE,"Сводка балансов"}</definedName>
    <definedName name="qwert" localSheetId="1" hidden="1">{#N/A,#N/A,TRUE,"Сводка балансов"}</definedName>
    <definedName name="qwert" hidden="1">{#N/A,#N/A,TRUE,"Сводка балансов"}</definedName>
    <definedName name="R_1">#REF!</definedName>
    <definedName name="R_1a">#REF!</definedName>
    <definedName name="R_1b">#REF!</definedName>
    <definedName name="R_2">#REF!</definedName>
    <definedName name="S_0">#REF!</definedName>
    <definedName name="S_01">#REF!</definedName>
    <definedName name="S_02">#REF!</definedName>
    <definedName name="SDFGHJJ">#REF!</definedName>
    <definedName name="SmPr_1" localSheetId="0">[4]ЭН1_БНС!#REF!</definedName>
    <definedName name="SmPr_1" localSheetId="1">[4]ЭН1_БНС!#REF!</definedName>
    <definedName name="SmPr_1">[4]ЭН1_БНС!#REF!</definedName>
    <definedName name="SmPr_1_1">[2]Эл.энергия!#REF!</definedName>
    <definedName name="SmPr_1_25">[2]Эл.энергия!#REF!</definedName>
    <definedName name="SmPr_11">[4]М2_БНС!#REF!</definedName>
    <definedName name="SmPr_12">[4]ЭН14_Ростверк!#REF!</definedName>
    <definedName name="SmPr_13">[4]ЭН14_СВСиУ!#REF!</definedName>
    <definedName name="SmPr_14">[4]ЭН15_БНС!#REF!</definedName>
    <definedName name="SmPr_15">[4]ЭН13_БНС!#REF!</definedName>
    <definedName name="SmPr_16">[4]ЭН13_СВСиУ!#REF!</definedName>
    <definedName name="SmPr_17">[4]ЭН3_БНС!#REF!</definedName>
    <definedName name="SmPr_18">[4]ЭН16_БНС!#REF!</definedName>
    <definedName name="SmPr_2">[4]ЭН2_БНС!#REF!</definedName>
    <definedName name="SmPr_2_1">'[2]аренда флота'!#REF!</definedName>
    <definedName name="SmPr_2_25">'[2]аренда флота'!#REF!</definedName>
    <definedName name="SmPr_22">'[4]Аренда флота'!#REF!</definedName>
    <definedName name="SmPr_3">[4]ЭН14_БНС!#REF!</definedName>
    <definedName name="SmPr_4">'[4]1-1-4'!#REF!</definedName>
    <definedName name="SmPr_5">'[4]8-4_времен.дорога А-В'!#REF!</definedName>
    <definedName name="SmPr_6">'[4]2-4-9_дорога 3'!#REF!</definedName>
    <definedName name="SmPr_7">'[4]1-1-11_Зем.работы площадки'!#REF!</definedName>
    <definedName name="SmPr_8">'[4]1-1-8_островки'!#REF!</definedName>
    <definedName name="SmPr_9">'[4]9 навМОСТОВИК'!#REF!</definedName>
    <definedName name="Sp_0">#REF!</definedName>
    <definedName name="Sp_01">#REF!</definedName>
    <definedName name="Sp_1">#REF!</definedName>
    <definedName name="Ss_0">#REF!</definedName>
    <definedName name="st_0">#REF!</definedName>
    <definedName name="st_01">#REF!</definedName>
    <definedName name="st_02">#REF!</definedName>
    <definedName name="t_0">#REF!</definedName>
    <definedName name="T17_1">#REF!</definedName>
    <definedName name="Tel">#REF!</definedName>
    <definedName name="Tel_affaire">#REF!</definedName>
    <definedName name="Tel_Dossier">#REF!</definedName>
    <definedName name="Titre">#REF!</definedName>
    <definedName name="TVA">#REF!</definedName>
    <definedName name="v">#REF!</definedName>
    <definedName name="v_0">#REF!</definedName>
    <definedName name="Vers">#REF!</definedName>
    <definedName name="Ville_d_envoi">#REF!</definedName>
    <definedName name="Volgina" localSheetId="0" hidden="1">{#N/A,#N/A,TRUE,"Сводка балансов"}</definedName>
    <definedName name="Volgina" localSheetId="1" hidden="1">{#N/A,#N/A,TRUE,"Сводка балансов"}</definedName>
    <definedName name="Volgina" hidden="1">{#N/A,#N/A,TRUE,"Сводка балансов"}</definedName>
    <definedName name="VR_0">'[33]зим '!#REF!</definedName>
    <definedName name="Vr_1">#REF!</definedName>
    <definedName name="Vrt_1">#REF!</definedName>
    <definedName name="w_0">#REF!</definedName>
    <definedName name="wrn.Сводка." localSheetId="0" hidden="1">{#N/A,#N/A,TRUE,"Сводка балансов"}</definedName>
    <definedName name="wrn.Сводка." localSheetId="1" hidden="1">{#N/A,#N/A,TRUE,"Сводка балансов"}</definedName>
    <definedName name="wrn.Сводка." hidden="1">{#N/A,#N/A,TRUE,"Сводка балансов"}</definedName>
    <definedName name="www">#REF!</definedName>
    <definedName name="x">#REF!</definedName>
    <definedName name="Xcgg">#REF!</definedName>
    <definedName name="xx">#REF!</definedName>
    <definedName name="yty" localSheetId="0" hidden="1">{#N/A,#N/A,TRUE,"Сводка балансов"}</definedName>
    <definedName name="yty" localSheetId="1" hidden="1">{#N/A,#N/A,TRUE,"Сводка балансов"}</definedName>
    <definedName name="yty" hidden="1">{#N/A,#N/A,TRUE,"Сводка балансов"}</definedName>
    <definedName name="z_0">#REF!</definedName>
    <definedName name="z_01">#REF!</definedName>
    <definedName name="Z_1">#REF!</definedName>
    <definedName name="Z_3">#REF!</definedName>
    <definedName name="Z_4">#REF!</definedName>
    <definedName name="ZIM_0">'[34]зим '!$F$31</definedName>
    <definedName name="ZIM_03">'[34]зим '!$F$31</definedName>
    <definedName name="ZIM_1">#REF!</definedName>
    <definedName name="Zm_1" localSheetId="0">[35]Зима!#REF!</definedName>
    <definedName name="Zm_1" localSheetId="1">[35]Зима!#REF!</definedName>
    <definedName name="Zm_1">[35]Зима!#REF!</definedName>
    <definedName name="Zmt_1">#REF!</definedName>
    <definedName name="А">#REF!</definedName>
    <definedName name="А_1">#REF!</definedName>
    <definedName name="а1">#REF!</definedName>
    <definedName name="а111">#REF!</definedName>
    <definedName name="а123">#REF!</definedName>
    <definedName name="а24_С_Заголовок_pre_rep" localSheetId="0">[36]Лист1!#REF!</definedName>
    <definedName name="а24_С_Заголовок_pre_rep" localSheetId="1">[36]Лист1!#REF!</definedName>
    <definedName name="а24_С_Заголовок_pre_rep">[36]Лист1!#REF!</definedName>
    <definedName name="а45" localSheetId="0">[37]Лист1!#REF!</definedName>
    <definedName name="а45" localSheetId="1">[37]Лист1!#REF!</definedName>
    <definedName name="а45">[38]Лист1!#REF!</definedName>
    <definedName name="а54_и">#REF!</definedName>
    <definedName name="аа">#REF!</definedName>
    <definedName name="ааа">#REF!</definedName>
    <definedName name="аааа">#REF!</definedName>
    <definedName name="аааааа">#REF!</definedName>
    <definedName name="ааааааа">#REF!</definedName>
    <definedName name="ааааааааааа">#REF!</definedName>
    <definedName name="ааааааааааааа">#REF!</definedName>
    <definedName name="аааааааааааааааа">#REF!</definedName>
    <definedName name="аб">'[39]C.с '!$D$52</definedName>
    <definedName name="абв">#REF!</definedName>
    <definedName name="абс">'[40]C.с  (2)'!$H$44</definedName>
    <definedName name="ав">#REF!</definedName>
    <definedName name="Автоб.ост.">'[41]Обстановка дороги'!$AJ$103</definedName>
    <definedName name="Автопав.">[41]Автопавильон!$AJ$133</definedName>
    <definedName name="авторск">#REF!</definedName>
    <definedName name="аепапапа">#REF!</definedName>
    <definedName name="аммммммммммм">#REF!</definedName>
    <definedName name="анна_крА">#REF!</definedName>
    <definedName name="анна_крБ">#REF!</definedName>
    <definedName name="анна_крВ">#REF!</definedName>
    <definedName name="анна_крГ">#REF!</definedName>
    <definedName name="анна_крД">#REF!</definedName>
    <definedName name="анна_крЕ">#REF!</definedName>
    <definedName name="анна_крЖ">#REF!</definedName>
    <definedName name="ап">#REF!</definedName>
    <definedName name="апапаап">#REF!</definedName>
    <definedName name="АПАПАПА">#REF!</definedName>
    <definedName name="апапапп" localSheetId="0">'[8]К.С.М. м'!#REF!</definedName>
    <definedName name="апапапп" localSheetId="1">'[8]К.С.М. м'!#REF!</definedName>
    <definedName name="апапапп">'[8]К.С.М. м'!#REF!</definedName>
    <definedName name="АПАПВАПАПВ">#REF!</definedName>
    <definedName name="апапп">#REF!</definedName>
    <definedName name="апаппрп">#REF!</definedName>
    <definedName name="апекеаорпр">#REF!</definedName>
    <definedName name="апоапоапдол">#REF!</definedName>
    <definedName name="апорп">#REF!</definedName>
    <definedName name="АПППППППППППП">#REF!</definedName>
    <definedName name="АППППППППППППППППППП">#REF!</definedName>
    <definedName name="аппппппппппппппппппппп">#REF!</definedName>
    <definedName name="апр">#REF!</definedName>
    <definedName name="апрель">[42]Лист1!$C$418:$H$704</definedName>
    <definedName name="апро">#REF!</definedName>
    <definedName name="ара">#REF!</definedName>
    <definedName name="арара">#REF!</definedName>
    <definedName name="аренд">#REF!</definedName>
    <definedName name="Асф.покр.">'[41]Дорожная одежда'!$AJ$30</definedName>
    <definedName name="б">#REF!</definedName>
    <definedName name="Б_1">#REF!</definedName>
    <definedName name="_xlnm.Database">#REF!</definedName>
    <definedName name="бб">#REF!</definedName>
    <definedName name="ббб">#REF!</definedName>
    <definedName name="Блаблабла">#REF!</definedName>
    <definedName name="бласть_печати1">#REF!</definedName>
    <definedName name="бобров_крА">#REF!</definedName>
    <definedName name="бобров_крБ">#REF!</definedName>
    <definedName name="бобров_крВ">#REF!</definedName>
    <definedName name="бобров_крГ">#REF!</definedName>
    <definedName name="бобров_крД">#REF!</definedName>
    <definedName name="бобров_крЕ">#REF!</definedName>
    <definedName name="бобров_крЖ">#REF!</definedName>
    <definedName name="богучар_крА">#REF!</definedName>
    <definedName name="богучар_крБ">#REF!</definedName>
    <definedName name="богучар_крВ">#REF!</definedName>
    <definedName name="богучар_крГ">#REF!</definedName>
    <definedName name="богучар_крД">#REF!</definedName>
    <definedName name="богучар_крЕ">#REF!</definedName>
    <definedName name="богучар_крЖ">#REF!</definedName>
    <definedName name="борис_крА">#REF!</definedName>
    <definedName name="борис_крБ">#REF!</definedName>
    <definedName name="борис_крВ">#REF!</definedName>
    <definedName name="борис_крГ">#REF!</definedName>
    <definedName name="борис_крД">#REF!</definedName>
    <definedName name="борис_крЕ">#REF!</definedName>
    <definedName name="борис_крЖ">#REF!</definedName>
    <definedName name="бутур_крА">#REF!</definedName>
    <definedName name="бутур_крБ">#REF!</definedName>
    <definedName name="бутур_крВ">#REF!</definedName>
    <definedName name="бутур_крГ">#REF!</definedName>
    <definedName name="бутур_крД">#REF!</definedName>
    <definedName name="бутур_крЕ">#REF!</definedName>
    <definedName name="бутур_крЖ">#REF!</definedName>
    <definedName name="в">#REF!</definedName>
    <definedName name="В_1">#REF!</definedName>
    <definedName name="ВА">#REF!</definedName>
    <definedName name="вааааааааааа" localSheetId="0">[23]К.С.М.!#REF!</definedName>
    <definedName name="вааааааааааа" localSheetId="1">[23]К.С.М.!#REF!</definedName>
    <definedName name="вааааааааааа">[23]К.С.М.!#REF!</definedName>
    <definedName name="ваааааааааааааа">#REF!</definedName>
    <definedName name="ваапцуу">#REF!</definedName>
    <definedName name="вававава">#REF!</definedName>
    <definedName name="вавыпаа" localSheetId="0" hidden="1">{#N/A,#N/A,TRUE,"Сводка балансов"}</definedName>
    <definedName name="вавыпаа" localSheetId="1" hidden="1">{#N/A,#N/A,TRUE,"Сводка балансов"}</definedName>
    <definedName name="вавыпаа" hidden="1">{#N/A,#N/A,TRUE,"Сводка балансов"}</definedName>
    <definedName name="ВАПАИИВ">#REF!</definedName>
    <definedName name="ВАПВАП">#REF!</definedName>
    <definedName name="ВАППППППППППППППППППППП">#REF!</definedName>
    <definedName name="ВАППППППППППППППППППППППП">#REF!</definedName>
    <definedName name="вапр">#REF!</definedName>
    <definedName name="вах">[16]вах!$F$17</definedName>
    <definedName name="вах.т.">'[43]вах(б)'!$E$37</definedName>
    <definedName name="вахт">#REF!</definedName>
    <definedName name="ВАЫВАЫАФ">#REF!</definedName>
    <definedName name="вв\">#REF!</definedName>
    <definedName name="ВВ_1">#REF!</definedName>
    <definedName name="вва">#REF!</definedName>
    <definedName name="ввв">#REF!</definedName>
    <definedName name="вввв" localSheetId="0" hidden="1">{#N/A,#N/A,TRUE,"Сводка балансов"}</definedName>
    <definedName name="вввв" localSheetId="1" hidden="1">{#N/A,#N/A,TRUE,"Сводка балансов"}</definedName>
    <definedName name="вввв" hidden="1">{#N/A,#N/A,TRUE,"Сводка балансов"}</definedName>
    <definedName name="ввввв">#REF!</definedName>
    <definedName name="ВВВВВВВВВВВВВВВВВ">#REF!</definedName>
    <definedName name="ВВВВВВВВВВВВВВВВВАААААААААААААААА">#REF!</definedName>
    <definedName name="вввввввввввввввввввввв">#REF!</definedName>
    <definedName name="ввод">#REF!</definedName>
    <definedName name="вентк111">#REF!</definedName>
    <definedName name="Верт.план.">[41]Вертик.планировка!$AJ$32</definedName>
    <definedName name="Вест">#REF!</definedName>
    <definedName name="вестибюль">#REF!</definedName>
    <definedName name="вид_сметы">[44]база!$G$1:$G$65536</definedName>
    <definedName name="ВКПВАПВППЫПЫ">#REF!</definedName>
    <definedName name="вкпвв">#REF!</definedName>
    <definedName name="Вмамон_крА">#REF!</definedName>
    <definedName name="Вмамон_крБ">#REF!</definedName>
    <definedName name="Вмамон_крВ">#REF!</definedName>
    <definedName name="Вмамон_крГ">#REF!</definedName>
    <definedName name="Вмамон_крД">#REF!</definedName>
    <definedName name="Вмамон_крЕ">#REF!</definedName>
    <definedName name="Вмамон_крЖ">#REF!</definedName>
    <definedName name="во" localSheetId="0">'[45]C.с '!#REF!</definedName>
    <definedName name="во" localSheetId="1">'[45]C.с '!#REF!</definedName>
    <definedName name="во">'[45]C.с '!#REF!</definedName>
    <definedName name="Водоотвод">'[41]Дорожная одежда'!$AJ$75</definedName>
    <definedName name="Возм.убытков">'[41] Подготовительные работы'!$AJ$26</definedName>
    <definedName name="вороб_крА">#REF!</definedName>
    <definedName name="вороб_крБ">#REF!</definedName>
    <definedName name="вороб_крВ">#REF!</definedName>
    <definedName name="вороб_крГ">#REF!</definedName>
    <definedName name="вороб_крД">#REF!</definedName>
    <definedName name="вороб_крЕ">#REF!</definedName>
    <definedName name="вороб_крЖ">#REF!</definedName>
    <definedName name="Восст.трассы">'[41] Подготовительные работы'!$AJ$15</definedName>
    <definedName name="ВППППППППППППППП">#REF!</definedName>
    <definedName name="впрва" localSheetId="0">'[1]КС-2'!#REF!</definedName>
    <definedName name="впрва" localSheetId="1">'[1]КС-2'!#REF!</definedName>
    <definedName name="впрва">'[1]КС-2'!#REF!</definedName>
    <definedName name="ВПЫВП">#REF!</definedName>
    <definedName name="вр">[46]зим!$H$48</definedName>
    <definedName name="врем">#REF!</definedName>
    <definedName name="Врем.здан.">[41]Врем.здания!$G$11</definedName>
    <definedName name="времянка2">#REF!</definedName>
    <definedName name="вррр">#REF!</definedName>
    <definedName name="вс">#REF!</definedName>
    <definedName name="Вхава_крА">#REF!</definedName>
    <definedName name="Вхава_крБ">#REF!</definedName>
    <definedName name="Вхава_крВ">#REF!</definedName>
    <definedName name="Вхава_крГ">#REF!</definedName>
    <definedName name="Вхава_крД">#REF!</definedName>
    <definedName name="Вхава_крЕ">#REF!</definedName>
    <definedName name="Вхава_крЖ">#REF!</definedName>
    <definedName name="выдал">[44]база!$E$1:$E$65536</definedName>
    <definedName name="г">#REF!</definedName>
    <definedName name="ггшгшгшшш">#REF!</definedName>
    <definedName name="гнгнгкенкукцуфцуыувыв">#REF!</definedName>
    <definedName name="гриб_крА">#REF!</definedName>
    <definedName name="гриб_крБ">#REF!</definedName>
    <definedName name="гриб_крВ">#REF!</definedName>
    <definedName name="гриб_крГ">#REF!</definedName>
    <definedName name="гриб_крД">#REF!</definedName>
    <definedName name="гриб_крЕ">#REF!</definedName>
    <definedName name="гриб_крЖ">#REF!</definedName>
    <definedName name="гшгшгш">#REF!</definedName>
    <definedName name="д">#REF!</definedName>
    <definedName name="Д.ДЖ.ЖЭЛДЖЭ">#REF!</definedName>
    <definedName name="Д_1">#REF!</definedName>
    <definedName name="даша" localSheetId="0" hidden="1">{#N/A,#N/A,TRUE,"Сводка балансов"}</definedName>
    <definedName name="даша" localSheetId="1" hidden="1">{#N/A,#N/A,TRUE,"Сводка балансов"}</definedName>
    <definedName name="даша" hidden="1">{#N/A,#N/A,TRUE,"Сводка балансов"}</definedName>
    <definedName name="дд">#REF!</definedName>
    <definedName name="дддд">#REF!</definedName>
    <definedName name="ддддд">#REF!</definedName>
    <definedName name="ддддддддддддддддд">#REF!</definedName>
    <definedName name="Дем">#REF!</definedName>
    <definedName name="ДЖДЖЛДЖ">#REF!</definedName>
    <definedName name="Диапазон">'[47]КС-3'!$M$3:$M$3</definedName>
    <definedName name="дирекц">#REF!</definedName>
    <definedName name="длдлдддддддд">#REF!</definedName>
    <definedName name="длдлдл">#REF!</definedName>
    <definedName name="длш">#REF!</definedName>
    <definedName name="для">#REF!</definedName>
    <definedName name="до">#REF!</definedName>
    <definedName name="Дор.знаки">'[41]Обстановка дороги'!$AJ$42</definedName>
    <definedName name="дщшл">#REF!</definedName>
    <definedName name="е">#REF!</definedName>
    <definedName name="ё">#REF!</definedName>
    <definedName name="Е_1">#REF!</definedName>
    <definedName name="Е_2">#REF!</definedName>
    <definedName name="Е_3">[16]вр!$G$33</definedName>
    <definedName name="еанен">#REF!</definedName>
    <definedName name="еееееееее">#REF!</definedName>
    <definedName name="екг">#REF!</definedName>
    <definedName name="еноооооооооооооооооооооооооооооо">#REF!</definedName>
    <definedName name="енрррррррррррррр">#REF!</definedName>
    <definedName name="енррррррррррррррррррр">#REF!</definedName>
    <definedName name="енррррррррррррррррррррррр">#REF!</definedName>
    <definedName name="енрррррррррррррррррррррррррррр">#REF!</definedName>
    <definedName name="еп" localSheetId="0">'[1]КС-2'!#REF!</definedName>
    <definedName name="еп" localSheetId="1">'[1]КС-2'!#REF!</definedName>
    <definedName name="еп">'[1]КС-2'!#REF!</definedName>
    <definedName name="еркгкшдик">#REF!</definedName>
    <definedName name="ерррррррррррррррррррр">#REF!</definedName>
    <definedName name="ж">#REF!</definedName>
    <definedName name="ж1">#REF!</definedName>
    <definedName name="ждлэдж">#REF!</definedName>
    <definedName name="жж">#REF!</definedName>
    <definedName name="жжжжж">#REF!</definedName>
    <definedName name="жжжжжжжж">#REF!</definedName>
    <definedName name="жжжжжжжжжжжжжж" localSheetId="0">[16]К.С.М.!#REF!</definedName>
    <definedName name="жжжжжжжжжжжжжж" localSheetId="1">[16]К.С.М.!#REF!</definedName>
    <definedName name="жжжжжжжжжжжжжж">[16]К.С.М.!#REF!</definedName>
    <definedName name="з">#REF!</definedName>
    <definedName name="з_1">#REF!</definedName>
    <definedName name="за">'[48]12'!$G$1</definedName>
    <definedName name="_xlnm.Print_Titles" localSheetId="2">'1_11.1'!$38:$38</definedName>
    <definedName name="_xlnm.Print_Titles" localSheetId="11">'10_11.26'!$41:$41</definedName>
    <definedName name="_xlnm.Print_Titles" localSheetId="3">'2_11.3'!$41:$41</definedName>
    <definedName name="_xlnm.Print_Titles" localSheetId="4">'3_11.4'!$40:$40</definedName>
    <definedName name="_xlnm.Print_Titles" localSheetId="5">'4_11.5'!$40:$40</definedName>
    <definedName name="_xlnm.Print_Titles" localSheetId="6">'5_11.21'!$44:$44</definedName>
    <definedName name="_xlnm.Print_Titles" localSheetId="7">'6_11.22'!$40:$40</definedName>
    <definedName name="_xlnm.Print_Titles" localSheetId="8">'7_11.23'!$40:$40</definedName>
    <definedName name="_xlnm.Print_Titles" localSheetId="9">'8_11.24'!$40:$40</definedName>
    <definedName name="_xlnm.Print_Titles" localSheetId="10">'9_11.25 '!$40:$40</definedName>
    <definedName name="заказчики">[44]база!$A$1:$A$65536</definedName>
    <definedName name="Земработы">'[41]Земляное полотно'!$AJ$49</definedName>
    <definedName name="зим">#REF!</definedName>
    <definedName name="Зима">[41]Зима!$E$16</definedName>
    <definedName name="и">#REF!</definedName>
    <definedName name="и1">#REF!</definedName>
    <definedName name="и123">#REF!</definedName>
    <definedName name="изыск">#REF!</definedName>
    <definedName name="ии">#REF!</definedName>
    <definedName name="ИНД">#REF!</definedName>
    <definedName name="ИНД_1">#REF!</definedName>
    <definedName name="ИНД_4">#REF!</definedName>
    <definedName name="инж">#REF!</definedName>
    <definedName name="иоршпргшршщзщгзъшщхщъх">#REF!</definedName>
    <definedName name="иртрр">#REF!</definedName>
    <definedName name="ис">'[49]C.с'!$D$92</definedName>
    <definedName name="испрпрапр">#REF!</definedName>
    <definedName name="ИТОГИ_РI_ССР">'[50]Расчет стоимости'!$J$910:$O$910</definedName>
    <definedName name="итттттттттт">#REF!</definedName>
    <definedName name="ить">#REF!</definedName>
    <definedName name="иьбл">#REF!</definedName>
    <definedName name="й">#REF!</definedName>
    <definedName name="й1">#REF!</definedName>
    <definedName name="й2">#REF!</definedName>
    <definedName name="й3">#REF!</definedName>
    <definedName name="й4">#REF!</definedName>
    <definedName name="йй">#REF!</definedName>
    <definedName name="ййй">#REF!</definedName>
    <definedName name="йййй">#REF!</definedName>
    <definedName name="йййййййййййййййййууууууууууу">#REF!</definedName>
    <definedName name="ЙУВ">#REF!</definedName>
    <definedName name="йуцуйцуйцу">#REF!</definedName>
    <definedName name="йццццццццццццццццццццццццццццц">#REF!</definedName>
    <definedName name="к">#REF!</definedName>
    <definedName name="К_1">#REF!</definedName>
    <definedName name="К_10">#REF!</definedName>
    <definedName name="К_13">#REF!</definedName>
    <definedName name="К_15">#REF!</definedName>
    <definedName name="К_16">#REF!</definedName>
    <definedName name="К_17">[51]Тр.!$H$35</definedName>
    <definedName name="К_19">#REF!</definedName>
    <definedName name="К_2">[52]Тр.!$H$18</definedName>
    <definedName name="к_200">'[53]Тр. (2)'!#REF!</definedName>
    <definedName name="К_21">#REF!</definedName>
    <definedName name="К_22">#REF!</definedName>
    <definedName name="К_221">#REF!</definedName>
    <definedName name="К_23">[9]Тр.!$H$39</definedName>
    <definedName name="К_24">#REF!</definedName>
    <definedName name="К_25">#REF!</definedName>
    <definedName name="К_26">[9]Тр.!$H$42</definedName>
    <definedName name="К_27">#REF!</definedName>
    <definedName name="К_28">#REF!</definedName>
    <definedName name="К_29">[9]Тр.!$H$47</definedName>
    <definedName name="К_3">[52]Тр.!$H$21</definedName>
    <definedName name="К_31">#REF!</definedName>
    <definedName name="К_32">[9]Тр.!$H$50</definedName>
    <definedName name="К_34">#REF!</definedName>
    <definedName name="К_344">#REF!</definedName>
    <definedName name="К_35">[9]Тр.!$H$53</definedName>
    <definedName name="К_37">#REF!</definedName>
    <definedName name="К_38">[9]Тр.!$H$56</definedName>
    <definedName name="К_39">#REF!</definedName>
    <definedName name="К_4">#REF!</definedName>
    <definedName name="К_40">#REF!</definedName>
    <definedName name="К_41">[9]Тр.!$H$59</definedName>
    <definedName name="К_44">[9]Тр.!$H$62</definedName>
    <definedName name="К_47">[9]Тр.!$H$65</definedName>
    <definedName name="К_5">[52]Тр.!$H$27</definedName>
    <definedName name="К_6">[52]Тр.!$H$30</definedName>
    <definedName name="К_7">#REF!</definedName>
    <definedName name="К_78">[54]Тр.!$H$27</definedName>
    <definedName name="К_8">#REF!</definedName>
    <definedName name="К_88">#REF!</definedName>
    <definedName name="К_89" localSheetId="0">[55]Тр.!#REF!</definedName>
    <definedName name="К_89" localSheetId="1">[55]Тр.!#REF!</definedName>
    <definedName name="К_89">[55]Тр.!#REF!</definedName>
    <definedName name="К_9">[52]Тр.!$H$39</definedName>
    <definedName name="К_91">[56]Тр.!$H$31</definedName>
    <definedName name="какакак">#REF!</definedName>
    <definedName name="калач_крА">#REF!</definedName>
    <definedName name="калач_крБ">#REF!</definedName>
    <definedName name="калач_крВ">#REF!</definedName>
    <definedName name="калач_крГ">#REF!</definedName>
    <definedName name="калач_крД">#REF!</definedName>
    <definedName name="калач_крЕ">#REF!</definedName>
    <definedName name="калач_крЖ">#REF!</definedName>
    <definedName name="камен_крА">#REF!</definedName>
    <definedName name="камен_крБ">#REF!</definedName>
    <definedName name="камен_крВ">#REF!</definedName>
    <definedName name="камен_крГ">#REF!</definedName>
    <definedName name="камен_крД">#REF!</definedName>
    <definedName name="камен_крЕ">#REF!</definedName>
    <definedName name="камен_крЖ">#REF!</definedName>
    <definedName name="кантем_крА">#REF!</definedName>
    <definedName name="кантем_крБ">#REF!</definedName>
    <definedName name="кантем_крВ">#REF!</definedName>
    <definedName name="кантем_крГ">#REF!</definedName>
    <definedName name="кантем_крД">#REF!</definedName>
    <definedName name="кантем_крЕ">#REF!</definedName>
    <definedName name="кантем_крЖ">#REF!</definedName>
    <definedName name="капстр">#REF!</definedName>
    <definedName name="кашира_крА">#REF!</definedName>
    <definedName name="кашира_крБ">#REF!</definedName>
    <definedName name="кашира_крВ">#REF!</definedName>
    <definedName name="кашира_крГ">#REF!</definedName>
    <definedName name="кашира_крД">#REF!</definedName>
    <definedName name="кашира_крЕ">#REF!</definedName>
    <definedName name="кашира_крЖ">#REF!</definedName>
    <definedName name="кенррррррррррр">#REF!</definedName>
    <definedName name="кккк">#REF!</definedName>
    <definedName name="ККККККККККККК">#REF!</definedName>
    <definedName name="кккккккккккккккккккк">#REF!</definedName>
    <definedName name="книга8">#REF!</definedName>
    <definedName name="комп1" localSheetId="0" hidden="1">{#N/A,#N/A,TRUE,"Сводка балансов"}</definedName>
    <definedName name="комп1" localSheetId="1" hidden="1">{#N/A,#N/A,TRUE,"Сводка балансов"}</definedName>
    <definedName name="комп1" hidden="1">{#N/A,#N/A,TRUE,"Сводка балансов"}</definedName>
    <definedName name="Контруклон" localSheetId="0" hidden="1">{#N/A,#N/A,TRUE,"Сводка балансов"}</definedName>
    <definedName name="Контруклон" localSheetId="1" hidden="1">{#N/A,#N/A,TRUE,"Сводка балансов"}</definedName>
    <definedName name="Контруклон" hidden="1">{#N/A,#N/A,TRUE,"Сводка балансов"}</definedName>
    <definedName name="Коэф._перевода_в_цены_1991_г.">#REF!</definedName>
    <definedName name="Коэф.1_на_ремонт">#REF!</definedName>
    <definedName name="Коэф.2_на_ремонт">#REF!</definedName>
    <definedName name="КоэфИнф">1.1075</definedName>
    <definedName name="КПВКАП">#REF!</definedName>
    <definedName name="кпппппппппппппппппп">#REF!</definedName>
    <definedName name="кпппппппппппппппппппп">#REF!</definedName>
    <definedName name="крппппппппппппппук">#REF!</definedName>
    <definedName name="кс333">#REF!</definedName>
    <definedName name="кс3333">#REF!</definedName>
    <definedName name="КУ">'[57]КС-3'!$M$3:$M$3</definedName>
    <definedName name="куед">#REF!</definedName>
    <definedName name="л">#REF!</definedName>
    <definedName name="лд">[58]Лист1!$A$414:$O$414</definedName>
    <definedName name="ЛДЖЛДЖЛЖЛДЖ">#REF!</definedName>
    <definedName name="ЛЖОЖОЖО">#REF!</definedName>
    <definedName name="ЛЖОЛЖОЖ">#REF!</definedName>
    <definedName name="лиски_крА">#REF!</definedName>
    <definedName name="лиски_крБ">#REF!</definedName>
    <definedName name="лиски_крВ">#REF!</definedName>
    <definedName name="лиски_крГ">#REF!</definedName>
    <definedName name="лиски_крД">#REF!</definedName>
    <definedName name="лиски_крЕ">#REF!</definedName>
    <definedName name="лиски_крЖ">#REF!</definedName>
    <definedName name="лл">#REF!</definedName>
    <definedName name="лллл">#REF!</definedName>
    <definedName name="лллллллллллллллл">#REF!</definedName>
    <definedName name="лллллллллллллллллл">#REF!</definedName>
    <definedName name="ллллллллллллллллллллллл">#REF!</definedName>
    <definedName name="лю">#REF!</definedName>
    <definedName name="м">#REF!</definedName>
    <definedName name="М_01">'[6]К.С.М. (ПУТ)'!$P$106</definedName>
    <definedName name="М_02">'[6]К.С.М. (ПУТ)'!$P$110</definedName>
    <definedName name="М_03">'[6]К.С.М. (ПУТ)'!$P$113</definedName>
    <definedName name="М_04">'[6]К.С.М. (ПУТ)'!$P$86</definedName>
    <definedName name="М_05">'[6]К.С.М. (ПУТ)'!$P$90</definedName>
    <definedName name="М_06">'[6]К.С.М. (ПУТ)'!$P$94</definedName>
    <definedName name="М_07">'[6]К.С.М. (ПУТ)'!$P$98</definedName>
    <definedName name="М_08">'[6]К.С.М. (ПУТ)'!$P$102</definedName>
    <definedName name="М_1">#REF!</definedName>
    <definedName name="М_10">#REF!</definedName>
    <definedName name="М_100">#REF!</definedName>
    <definedName name="М_101">#REF!</definedName>
    <definedName name="М_102" localSheetId="0">'[59]К.С.М. (ПУТ)'!#REF!</definedName>
    <definedName name="М_102" localSheetId="1">'[59]К.С.М. (ПУТ)'!#REF!</definedName>
    <definedName name="М_102">'[59]К.С.М. (ПУТ)'!#REF!</definedName>
    <definedName name="М_103">#REF!</definedName>
    <definedName name="М_1033">#REF!</definedName>
    <definedName name="М_105">#REF!</definedName>
    <definedName name="М_106">#REF!</definedName>
    <definedName name="М_108" localSheetId="0">'[59]К.С.М. (ПУТ)'!#REF!</definedName>
    <definedName name="М_108" localSheetId="1">'[59]К.С.М. (ПУТ)'!#REF!</definedName>
    <definedName name="М_108">'[59]К.С.М. (ПУТ)'!#REF!</definedName>
    <definedName name="М_10а">[55]К.С.М.!#REF!</definedName>
    <definedName name="М_11">#REF!</definedName>
    <definedName name="М_110">#REF!</definedName>
    <definedName name="М_112" localSheetId="0">'[59]К.С.М. (ПУТ)'!#REF!</definedName>
    <definedName name="М_112" localSheetId="1">'[59]К.С.М. (ПУТ)'!#REF!</definedName>
    <definedName name="М_112">'[59]К.С.М. (ПУТ)'!#REF!</definedName>
    <definedName name="М_114">#REF!</definedName>
    <definedName name="М_116" localSheetId="0">'[59]К.С.М. (ПУТ)'!#REF!</definedName>
    <definedName name="М_116" localSheetId="1">'[59]К.С.М. (ПУТ)'!#REF!</definedName>
    <definedName name="М_116">'[59]К.С.М. (ПУТ)'!#REF!</definedName>
    <definedName name="М_119">#REF!</definedName>
    <definedName name="М_120">#REF!</definedName>
    <definedName name="М_121">#REF!</definedName>
    <definedName name="М_122">#REF!</definedName>
    <definedName name="М_123">#REF!</definedName>
    <definedName name="М_124">#REF!</definedName>
    <definedName name="М_126">#REF!</definedName>
    <definedName name="М_127">#REF!</definedName>
    <definedName name="М_13">#REF!</definedName>
    <definedName name="М_131">#REF!</definedName>
    <definedName name="М_136" localSheetId="0">'[59]К.С.М. (ПУТ)'!#REF!</definedName>
    <definedName name="М_136" localSheetId="1">'[59]К.С.М. (ПУТ)'!#REF!</definedName>
    <definedName name="М_136">'[59]К.С.М. (ПУТ)'!#REF!</definedName>
    <definedName name="М_14">#REF!</definedName>
    <definedName name="М_140">#REF!</definedName>
    <definedName name="М_144">#REF!</definedName>
    <definedName name="М_149">#REF!</definedName>
    <definedName name="М_15">#REF!</definedName>
    <definedName name="М_153">#REF!</definedName>
    <definedName name="М_154" localSheetId="0">'[59]К.С.М. (ПУТ)'!#REF!</definedName>
    <definedName name="М_154" localSheetId="1">'[59]К.С.М. (ПУТ)'!#REF!</definedName>
    <definedName name="М_154">'[59]К.С.М. (ПУТ)'!#REF!</definedName>
    <definedName name="М_155">[60]К.С.М.!$P$159</definedName>
    <definedName name="М_156">[60]К.С.М.!$P$163</definedName>
    <definedName name="М_157">[60]К.С.М.!$P$167</definedName>
    <definedName name="М_158">'[59]К.С.М. (ПУТ)'!#REF!</definedName>
    <definedName name="М_16">#REF!</definedName>
    <definedName name="М_161">#REF!</definedName>
    <definedName name="М_162" localSheetId="0">'[59]К.С.М. (ПУТ)'!#REF!</definedName>
    <definedName name="М_162" localSheetId="1">'[59]К.С.М. (ПУТ)'!#REF!</definedName>
    <definedName name="М_162">'[59]К.С.М. (ПУТ)'!#REF!</definedName>
    <definedName name="М_165">#REF!</definedName>
    <definedName name="М_166" localSheetId="0">'[59]К.С.М. (ПУТ)'!#REF!</definedName>
    <definedName name="М_166" localSheetId="1">'[59]К.С.М. (ПУТ)'!#REF!</definedName>
    <definedName name="М_166">'[59]К.С.М. (ПУТ)'!#REF!</definedName>
    <definedName name="М_169">#REF!</definedName>
    <definedName name="М_1691">#REF!</definedName>
    <definedName name="М_17" localSheetId="0">'[59]К.С.М. (ПУТ)'!#REF!</definedName>
    <definedName name="М_17" localSheetId="1">'[59]К.С.М. (ПУТ)'!#REF!</definedName>
    <definedName name="М_17">'[59]К.С.М. (ПУТ)'!#REF!</definedName>
    <definedName name="М_170">'[59]К.С.М. (ПУТ)'!#REF!</definedName>
    <definedName name="М_173">#REF!</definedName>
    <definedName name="М_174" localSheetId="0">'[59]К.С.М. (ПУТ)'!#REF!</definedName>
    <definedName name="М_174" localSheetId="1">'[59]К.С.М. (ПУТ)'!#REF!</definedName>
    <definedName name="М_174">'[59]К.С.М. (ПУТ)'!#REF!</definedName>
    <definedName name="М_177">#REF!</definedName>
    <definedName name="М_178" localSheetId="0">'[59]К.С.М. (ПУТ)'!#REF!</definedName>
    <definedName name="М_178" localSheetId="1">'[59]К.С.М. (ПУТ)'!#REF!</definedName>
    <definedName name="М_178">'[59]К.С.М. (ПУТ)'!#REF!</definedName>
    <definedName name="М_18">[61]К.С.М.!$P$33</definedName>
    <definedName name="М_181">#REF!</definedName>
    <definedName name="М_182" localSheetId="0">'[59]К.С.М. (ПУТ)'!#REF!</definedName>
    <definedName name="М_182" localSheetId="1">'[59]К.С.М. (ПУТ)'!#REF!</definedName>
    <definedName name="М_182">'[59]К.С.М. (ПУТ)'!#REF!</definedName>
    <definedName name="М_185">#REF!</definedName>
    <definedName name="М_186" localSheetId="0">'[59]К.С.М. (ПУТ)'!#REF!</definedName>
    <definedName name="М_186" localSheetId="1">'[59]К.С.М. (ПУТ)'!#REF!</definedName>
    <definedName name="М_186">'[59]К.С.М. (ПУТ)'!#REF!</definedName>
    <definedName name="М_19">#REF!</definedName>
    <definedName name="М_190" localSheetId="0">'[59]К.С.М. (ПУТ)'!#REF!</definedName>
    <definedName name="М_190" localSheetId="1">'[59]К.С.М. (ПУТ)'!#REF!</definedName>
    <definedName name="М_190">'[59]К.С.М. (ПУТ)'!#REF!</definedName>
    <definedName name="М_195">'[59]К.С.М. (ПУТ)'!#REF!</definedName>
    <definedName name="М_196">#REF!</definedName>
    <definedName name="М_2">#REF!</definedName>
    <definedName name="М_20">#REF!</definedName>
    <definedName name="М_200" localSheetId="0">'[59]К.С.М. (ПУТ)'!#REF!</definedName>
    <definedName name="М_200" localSheetId="1">'[59]К.С.М. (ПУТ)'!#REF!</definedName>
    <definedName name="М_200">'[59]К.С.М. (ПУТ)'!#REF!</definedName>
    <definedName name="М_202">[18]К.С.М.!#REF!</definedName>
    <definedName name="М_203">[18]К.С.М.!#REF!</definedName>
    <definedName name="М_204">[18]К.С.М.!#REF!</definedName>
    <definedName name="М_205">'[59]К.С.М. (ПУТ)'!#REF!</definedName>
    <definedName name="М_208">#REF!</definedName>
    <definedName name="М_209" localSheetId="0">'[59]К.С.М. (ПУТ)'!#REF!</definedName>
    <definedName name="М_209" localSheetId="1">'[59]К.С.М. (ПУТ)'!#REF!</definedName>
    <definedName name="М_209">'[59]К.С.М. (ПУТ)'!#REF!</definedName>
    <definedName name="М_21">#REF!</definedName>
    <definedName name="М_212">#REF!</definedName>
    <definedName name="М_213" localSheetId="0">'[59]К.С.М. (ПУТ)'!#REF!</definedName>
    <definedName name="М_213" localSheetId="1">'[59]К.С.М. (ПУТ)'!#REF!</definedName>
    <definedName name="М_213">'[59]К.С.М. (ПУТ)'!#REF!</definedName>
    <definedName name="М_216">#REF!</definedName>
    <definedName name="М_217" localSheetId="0">'[59]К.С.М. (ПУТ)'!#REF!</definedName>
    <definedName name="М_217" localSheetId="1">'[59]К.С.М. (ПУТ)'!#REF!</definedName>
    <definedName name="М_217">'[59]К.С.М. (ПУТ)'!#REF!</definedName>
    <definedName name="М_22">#REF!</definedName>
    <definedName name="М_221" localSheetId="0">'[59]К.С.М. (ПУТ)'!#REF!</definedName>
    <definedName name="М_221" localSheetId="1">'[59]К.С.М. (ПУТ)'!#REF!</definedName>
    <definedName name="М_221">'[59]К.С.М. (ПУТ)'!#REF!</definedName>
    <definedName name="М_222">#REF!</definedName>
    <definedName name="М_225" localSheetId="0">'[59]К.С.М. (ПУТ)'!#REF!</definedName>
    <definedName name="М_225" localSheetId="1">'[59]К.С.М. (ПУТ)'!#REF!</definedName>
    <definedName name="М_225">'[59]К.С.М. (ПУТ)'!#REF!</definedName>
    <definedName name="М_226">#REF!</definedName>
    <definedName name="М_227">#REF!</definedName>
    <definedName name="М_228">#REF!</definedName>
    <definedName name="М_229" localSheetId="0">'[59]К.С.М. (ПУТ)'!#REF!</definedName>
    <definedName name="М_229" localSheetId="1">'[59]К.С.М. (ПУТ)'!#REF!</definedName>
    <definedName name="М_229">'[59]К.С.М. (ПУТ)'!#REF!</definedName>
    <definedName name="М_230">#REF!</definedName>
    <definedName name="М_231">#REF!</definedName>
    <definedName name="М_233" localSheetId="0">'[59]К.С.М. (ПУТ)'!#REF!</definedName>
    <definedName name="М_233" localSheetId="1">'[59]К.С.М. (ПУТ)'!#REF!</definedName>
    <definedName name="М_233">'[59]К.С.М. (ПУТ)'!#REF!</definedName>
    <definedName name="М_237">'[59]К.С.М. (ПУТ)'!#REF!</definedName>
    <definedName name="М_24">#REF!</definedName>
    <definedName name="М_241" localSheetId="0">'[59]К.С.М. (ПУТ)'!#REF!</definedName>
    <definedName name="М_241" localSheetId="1">'[59]К.С.М. (ПУТ)'!#REF!</definedName>
    <definedName name="М_241">'[59]К.С.М. (ПУТ)'!#REF!</definedName>
    <definedName name="М_245">'[59]К.С.М. (ПУТ)'!#REF!</definedName>
    <definedName name="М_249">'[59]К.С.М. (ПУТ)'!#REF!</definedName>
    <definedName name="М_25">#REF!</definedName>
    <definedName name="М_253" localSheetId="0">'[59]К.С.М. (ПУТ)'!#REF!</definedName>
    <definedName name="М_253" localSheetId="1">'[59]К.С.М. (ПУТ)'!#REF!</definedName>
    <definedName name="М_253">'[59]К.С.М. (ПУТ)'!#REF!</definedName>
    <definedName name="М_257">'[59]К.С.М. (ПУТ)'!#REF!</definedName>
    <definedName name="М_25ш">#REF!</definedName>
    <definedName name="М_261" localSheetId="0">'[59]К.С.М. (ПУТ)'!#REF!</definedName>
    <definedName name="М_261" localSheetId="1">'[59]К.С.М. (ПУТ)'!#REF!</definedName>
    <definedName name="М_261">'[59]К.С.М. (ПУТ)'!#REF!</definedName>
    <definedName name="М_265">'[59]К.С.М. (ПУТ)'!#REF!</definedName>
    <definedName name="М_269">'[59]К.С.М. (ПУТ)'!#REF!</definedName>
    <definedName name="М_27">[62]К.С.М.!#REF!</definedName>
    <definedName name="М_273">'[59]К.С.М. (ПУТ)'!#REF!</definedName>
    <definedName name="М_277">'[59]К.С.М. (ПУТ)'!#REF!</definedName>
    <definedName name="М_281">#REF!</definedName>
    <definedName name="М_282" localSheetId="0">'[59]К.С.М. (ПУТ)'!#REF!</definedName>
    <definedName name="М_282" localSheetId="1">'[59]К.С.М. (ПУТ)'!#REF!</definedName>
    <definedName name="М_282">'[59]К.С.М. (ПУТ)'!#REF!</definedName>
    <definedName name="М_282а">'[59]К.С.М. (ПУТ)'!#REF!</definedName>
    <definedName name="М_285">'[59]К.С.М. (ПУТ)'!#REF!</definedName>
    <definedName name="М_289">#REF!</definedName>
    <definedName name="М_29">#REF!</definedName>
    <definedName name="М_293" localSheetId="0">'[59]К.С.М. (ПУТ)'!#REF!</definedName>
    <definedName name="М_293" localSheetId="1">'[59]К.С.М. (ПУТ)'!#REF!</definedName>
    <definedName name="М_293">'[59]К.С.М. (ПУТ)'!#REF!</definedName>
    <definedName name="М_297">[63]К.С.М.!$P$319</definedName>
    <definedName name="М_3">[64]К.С.М.!#REF!</definedName>
    <definedName name="М_30">#REF!</definedName>
    <definedName name="М_301" localSheetId="0">'[59]К.С.М. (ПУТ)'!#REF!</definedName>
    <definedName name="М_301" localSheetId="1">'[59]К.С.М. (ПУТ)'!#REF!</definedName>
    <definedName name="М_301">'[59]К.С.М. (ПУТ)'!#REF!</definedName>
    <definedName name="М_305">'[59]К.С.М. (ПУТ)'!#REF!</definedName>
    <definedName name="М_309">'[59]К.С.М. (ПУТ)'!#REF!</definedName>
    <definedName name="М_31">#REF!</definedName>
    <definedName name="М_313" localSheetId="0">'[59]К.С.М. (ПУТ)'!#REF!</definedName>
    <definedName name="М_313" localSheetId="1">'[59]К.С.М. (ПУТ)'!#REF!</definedName>
    <definedName name="М_313">'[59]К.С.М. (ПУТ)'!#REF!</definedName>
    <definedName name="М_317">'[59]К.С.М. (ПУТ)'!#REF!</definedName>
    <definedName name="М_32">[62]К.С.М.!#REF!</definedName>
    <definedName name="М_320">'[59]К.С.М. (ПУТ)'!#REF!</definedName>
    <definedName name="М_323">'[59]К.С.М. (ПУТ)'!#REF!</definedName>
    <definedName name="М_326">'[59]К.С.М. (ПУТ)'!#REF!</definedName>
    <definedName name="М_33">#REF!</definedName>
    <definedName name="М_330">[65]К.С.М.!$P$354</definedName>
    <definedName name="М_334">'[59]К.С.М. (ПУТ)'!#REF!</definedName>
    <definedName name="М_33Б">#REF!</definedName>
    <definedName name="М_34">#REF!</definedName>
    <definedName name="М_35">#REF!</definedName>
    <definedName name="М_36" localSheetId="0">[62]К.С.М.!#REF!</definedName>
    <definedName name="М_36" localSheetId="1">[62]К.С.М.!#REF!</definedName>
    <definedName name="М_36">[62]К.С.М.!#REF!</definedName>
    <definedName name="М_37">[66]К.С.М.!$P$51</definedName>
    <definedName name="М_38">#REF!</definedName>
    <definedName name="М_4">#REF!</definedName>
    <definedName name="М_40">#REF!</definedName>
    <definedName name="М_41">#REF!</definedName>
    <definedName name="М_42">#REF!</definedName>
    <definedName name="М_45" localSheetId="0">[67]ф9!#REF!</definedName>
    <definedName name="М_45" localSheetId="1">[67]ф9!#REF!</definedName>
    <definedName name="М_45">[67]ф9!#REF!</definedName>
    <definedName name="М_46">#REF!</definedName>
    <definedName name="М_47" localSheetId="0">'[59]К.С.М. (ПУТ)'!#REF!</definedName>
    <definedName name="М_47" localSheetId="1">'[59]К.С.М. (ПУТ)'!#REF!</definedName>
    <definedName name="М_47">'[59]К.С.М. (ПУТ)'!#REF!</definedName>
    <definedName name="М_49">[61]К.С.М.!$P$64</definedName>
    <definedName name="М_4д">#REF!</definedName>
    <definedName name="М_5">#REF!</definedName>
    <definedName name="М_50">#REF!</definedName>
    <definedName name="М_51">#REF!</definedName>
    <definedName name="М_52">#REF!</definedName>
    <definedName name="М_522" localSheetId="0">[27]К.С.М.!#REF!</definedName>
    <definedName name="М_522" localSheetId="1">[27]К.С.М.!#REF!</definedName>
    <definedName name="М_522">[27]К.С.М.!#REF!</definedName>
    <definedName name="М_53">[61]К.С.М.!$P$68</definedName>
    <definedName name="М_54">#REF!</definedName>
    <definedName name="М_55" localSheetId="0">[68]К.С.М.!#REF!</definedName>
    <definedName name="М_55" localSheetId="1">[68]К.С.М.!#REF!</definedName>
    <definedName name="М_55">[68]К.С.М.!#REF!</definedName>
    <definedName name="М_57">#REF!</definedName>
    <definedName name="М_577">#REF!</definedName>
    <definedName name="М_6">#REF!</definedName>
    <definedName name="М_60" localSheetId="0">[68]К.С.М.!#REF!</definedName>
    <definedName name="М_60" localSheetId="1">[68]К.С.М.!#REF!</definedName>
    <definedName name="М_60">[68]К.С.М.!#REF!</definedName>
    <definedName name="М_61">#REF!</definedName>
    <definedName name="М_62">#REF!</definedName>
    <definedName name="М_63" localSheetId="0">'[59]К.С.М. (ПУТ)'!#REF!</definedName>
    <definedName name="М_63" localSheetId="1">'[59]К.С.М. (ПУТ)'!#REF!</definedName>
    <definedName name="М_63">'[59]К.С.М. (ПУТ)'!#REF!</definedName>
    <definedName name="М_64">[66]К.С.М.!$P$78</definedName>
    <definedName name="М_65">[45]К.С.М.!#REF!</definedName>
    <definedName name="М_69">[45]К.С.М.!#REF!</definedName>
    <definedName name="М_7">#REF!</definedName>
    <definedName name="М_70">#REF!</definedName>
    <definedName name="М_71">#REF!</definedName>
    <definedName name="М_72">#REF!</definedName>
    <definedName name="М_73" localSheetId="0">[45]К.С.М.!#REF!</definedName>
    <definedName name="М_73" localSheetId="1">[45]К.С.М.!#REF!</definedName>
    <definedName name="М_73">[45]К.С.М.!#REF!</definedName>
    <definedName name="М_74">#REF!</definedName>
    <definedName name="М_75" localSheetId="0">'[59]К.С.М. (ПУТ)'!#REF!</definedName>
    <definedName name="М_75" localSheetId="1">'[59]К.С.М. (ПУТ)'!#REF!</definedName>
    <definedName name="М_75">'[59]К.С.М. (ПУТ)'!#REF!</definedName>
    <definedName name="М_77">#REF!</definedName>
    <definedName name="М_771">#REF!</definedName>
    <definedName name="М_78" localSheetId="0">[68]К.С.М.!#REF!</definedName>
    <definedName name="М_78" localSheetId="1">[68]К.С.М.!#REF!</definedName>
    <definedName name="М_78">[68]К.С.М.!#REF!</definedName>
    <definedName name="М_79">#REF!</definedName>
    <definedName name="М_80">[61]К.С.М.!$P$83</definedName>
    <definedName name="М_81">#REF!</definedName>
    <definedName name="М_83">#REF!</definedName>
    <definedName name="М_84">[61]К.С.М.!$P$87</definedName>
    <definedName name="М_85">#REF!</definedName>
    <definedName name="М_86" localSheetId="0">'[59]К.С.М. (ПУТ)'!#REF!</definedName>
    <definedName name="М_86" localSheetId="1">'[59]К.С.М. (ПУТ)'!#REF!</definedName>
    <definedName name="М_86">'[59]К.С.М. (ПУТ)'!#REF!</definedName>
    <definedName name="М_87">#REF!</definedName>
    <definedName name="М_88">[61]К.С.М.!$P$91</definedName>
    <definedName name="М_89">#REF!</definedName>
    <definedName name="М_9">#REF!</definedName>
    <definedName name="М_91" localSheetId="0">'[59]К.С.М. (ПУТ)'!#REF!</definedName>
    <definedName name="М_91" localSheetId="1">'[59]К.С.М. (ПУТ)'!#REF!</definedName>
    <definedName name="М_91">'[59]К.С.М. (ПУТ)'!#REF!</definedName>
    <definedName name="М_93">#REF!</definedName>
    <definedName name="М_97">#REF!</definedName>
    <definedName name="М12">#REF!</definedName>
    <definedName name="май">[42]Лист1!$C$936:$H$1175</definedName>
    <definedName name="маша" localSheetId="0" hidden="1">{#N/A,#N/A,TRUE,"Сводка балансов"}</definedName>
    <definedName name="маша" localSheetId="1" hidden="1">{#N/A,#N/A,TRUE,"Сводка балансов"}</definedName>
    <definedName name="маша" hidden="1">{#N/A,#N/A,TRUE,"Сводка балансов"}</definedName>
    <definedName name="метро" localSheetId="0" hidden="1">{#N/A,#N/A,TRUE,"Сводка балансов"}</definedName>
    <definedName name="метро" localSheetId="1" hidden="1">{#N/A,#N/A,TRUE,"Сводка балансов"}</definedName>
    <definedName name="метро" hidden="1">{#N/A,#N/A,TRUE,"Сводка балансов"}</definedName>
    <definedName name="ми" localSheetId="0">[37]Лист1!#REF!</definedName>
    <definedName name="ми" localSheetId="1">[37]Лист1!#REF!</definedName>
    <definedName name="ми">[38]Лист1!#REF!</definedName>
    <definedName name="миииииииии">#REF!</definedName>
    <definedName name="митьбьотрипма">#REF!</definedName>
    <definedName name="млол">#REF!</definedName>
    <definedName name="мм">#REF!</definedName>
    <definedName name="мо">#REF!</definedName>
    <definedName name="монтаж">#REF!</definedName>
    <definedName name="мост">#REF!</definedName>
    <definedName name="мп">'[39]C.с '!$D$21</definedName>
    <definedName name="н">#REF!</definedName>
    <definedName name="Названия">'[47]КС-3'!$N$3:$N$3</definedName>
    <definedName name="Наименование_объекта">#REF!</definedName>
    <definedName name="Накладные_расходы_1">#REF!</definedName>
    <definedName name="Накладные_расходы_2">#REF!</definedName>
    <definedName name="налпольз">#REF!</definedName>
    <definedName name="Ндевицк_крА">#REF!</definedName>
    <definedName name="Ндевицк_крБ">#REF!</definedName>
    <definedName name="Ндевицк_крВ">#REF!</definedName>
    <definedName name="Ндевицк_крГ">#REF!</definedName>
    <definedName name="Ндевицк_крД">#REF!</definedName>
    <definedName name="Ндевицк_крЕ">#REF!</definedName>
    <definedName name="Ндевицк_крЖ">#REF!</definedName>
    <definedName name="НДС">'[47]КС-3'!$J$1</definedName>
    <definedName name="не" localSheetId="0">[37]Лист1!#REF!</definedName>
    <definedName name="не" localSheetId="1">[37]Лист1!#REF!</definedName>
    <definedName name="не">[38]Лист1!#REF!</definedName>
    <definedName name="неет">#REF!</definedName>
    <definedName name="неошл">#REF!</definedName>
    <definedName name="нет">#REF!</definedName>
    <definedName name="нн45ни">#REF!</definedName>
    <definedName name="ннннннннннннн">#REF!</definedName>
    <definedName name="нннннннннннннннннннннннннннннннн">#REF!</definedName>
    <definedName name="нннннннннннт">#REF!</definedName>
    <definedName name="ноооооооооооооооооооо">#REF!</definedName>
    <definedName name="нрогнлгн" localSheetId="0">[69]Лист1!#REF!</definedName>
    <definedName name="нрогнлгн" localSheetId="1">[69]Лист1!#REF!</definedName>
    <definedName name="нрогнлгн">[69]Лист1!#REF!</definedName>
    <definedName name="НТС">[50]Лист1!$M$138</definedName>
    <definedName name="НУ">'[57]КС-3'!$N$3:$N$3</definedName>
    <definedName name="Нусмань_крА">#REF!</definedName>
    <definedName name="Нусмань_крБ">#REF!</definedName>
    <definedName name="Нусмань_крВ">#REF!</definedName>
    <definedName name="Нусмань_крГ">#REF!</definedName>
    <definedName name="Нусмань_крД">#REF!</definedName>
    <definedName name="Нусмань_крЕ">#REF!</definedName>
    <definedName name="Нусмань_крЖ">#REF!</definedName>
    <definedName name="Нхопер_крА">#REF!</definedName>
    <definedName name="Нхопер_крБ">#REF!</definedName>
    <definedName name="Нхопер_крВ">#REF!</definedName>
    <definedName name="Нхопер_крГ">#REF!</definedName>
    <definedName name="Нхопер_крД">#REF!</definedName>
    <definedName name="Нхопер_крЕ">#REF!</definedName>
    <definedName name="Нхопер_крЖ">#REF!</definedName>
    <definedName name="о">#REF!</definedName>
    <definedName name="О_1">#REF!</definedName>
    <definedName name="об">'[39]C.с '!$F$36</definedName>
    <definedName name="обл">#REF!</definedName>
    <definedName name="_xlnm.Print_Area" localSheetId="2">'1_11.1'!$A$1:$L$136</definedName>
    <definedName name="_xlnm.Print_Area" localSheetId="11">'10_11.26'!$A$1:$L$436</definedName>
    <definedName name="_xlnm.Print_Area" localSheetId="3">'2_11.3'!$A$1:$L$128,'2_11.3'!$AT$112</definedName>
    <definedName name="_xlnm.Print_Area" localSheetId="4">'3_11.4'!$A$1:$L$117</definedName>
    <definedName name="_xlnm.Print_Area" localSheetId="5">'4_11.5'!$A$1:$L$185</definedName>
    <definedName name="_xlnm.Print_Area" localSheetId="6">'5_11.21'!$A$1:$L$201</definedName>
    <definedName name="_xlnm.Print_Area" localSheetId="7">'6_11.22'!$A$1:$L$158</definedName>
    <definedName name="_xlnm.Print_Area" localSheetId="8">'7_11.23'!$A$1:$L$144</definedName>
    <definedName name="_xlnm.Print_Area" localSheetId="9">'8_11.24'!$A$1:$L$215</definedName>
    <definedName name="_xlnm.Print_Area" localSheetId="10">'9_11.25 '!$A$1:$L$297</definedName>
    <definedName name="_xlnm.Print_Area" localSheetId="0">'КС-3'!$A$1:$H$79</definedName>
    <definedName name="_xlnm.Print_Area" localSheetId="1">Реестр!$A$1:$X$35</definedName>
    <definedName name="_xlnm.Print_Area">#REF!</definedName>
    <definedName name="обс">#REF!</definedName>
    <definedName name="обсл">#REF!</definedName>
    <definedName name="обслуга">#REF!</definedName>
    <definedName name="обслуж">#REF!</definedName>
    <definedName name="Объездн.дор.">'[41]Объездные дороги'!$AJ$41</definedName>
    <definedName name="объем">#REF!</definedName>
    <definedName name="оз">#REF!</definedName>
    <definedName name="Озел.">[41]Озеленение!$AJ$40</definedName>
    <definedName name="окно.б.">#REF!</definedName>
    <definedName name="ол">#REF!</definedName>
    <definedName name="ОЛЖОЛЖО">#REF!</definedName>
    <definedName name="ололо">#REF!</definedName>
    <definedName name="ольхов_крА">#REF!</definedName>
    <definedName name="ольхов_крБ">#REF!</definedName>
    <definedName name="ольхов_крВ">#REF!</definedName>
    <definedName name="ольхов_крГ">#REF!</definedName>
    <definedName name="ольхов_крД">#REF!</definedName>
    <definedName name="ольхов_крЕ">#REF!</definedName>
    <definedName name="ольхов_крЖ">#REF!</definedName>
    <definedName name="оо">#REF!</definedName>
    <definedName name="ооо">#REF!</definedName>
    <definedName name="оооо">#REF!</definedName>
    <definedName name="ооооо">#REF!</definedName>
    <definedName name="оооооо">#REF!</definedName>
    <definedName name="ОП1">#REF!</definedName>
    <definedName name="ор" localSheetId="0">'[45]C.с '!#REF!</definedName>
    <definedName name="ор" localSheetId="1">'[45]C.с '!#REF!</definedName>
    <definedName name="ор">'[45]C.с '!#REF!</definedName>
    <definedName name="орпророо">#REF!</definedName>
    <definedName name="орь">#REF!</definedName>
    <definedName name="острог_крА">#REF!</definedName>
    <definedName name="острог_крБ">#REF!</definedName>
    <definedName name="острог_крВ">#REF!</definedName>
    <definedName name="острог_крГ">#REF!</definedName>
    <definedName name="острог_крД">#REF!</definedName>
    <definedName name="острог_крЕ">#REF!</definedName>
    <definedName name="острог_крЖ">#REF!</definedName>
    <definedName name="Отделы">#REF!</definedName>
    <definedName name="Оформл.отвода">'[41] Подготовительные работы'!$AJ$20</definedName>
    <definedName name="охот_клуб" localSheetId="0" hidden="1">{#N/A,#N/A,TRUE,"Сводка балансов"}</definedName>
    <definedName name="охот_клуб" localSheetId="1" hidden="1">{#N/A,#N/A,TRUE,"Сводка балансов"}</definedName>
    <definedName name="охот_клуб" hidden="1">{#N/A,#N/A,TRUE,"Сводка балансов"}</definedName>
    <definedName name="охр">#REF!</definedName>
    <definedName name="охрана">#REF!</definedName>
    <definedName name="охрана2">#REF!</definedName>
    <definedName name="п">#REF!</definedName>
    <definedName name="П_1">#REF!</definedName>
    <definedName name="П1">#REF!</definedName>
    <definedName name="паапа">#REF!</definedName>
    <definedName name="павлов_крА">#REF!</definedName>
    <definedName name="павлов_крБ">#REF!</definedName>
    <definedName name="павлов_крВ">#REF!</definedName>
    <definedName name="павлов_крГ">#REF!</definedName>
    <definedName name="павлов_крД">#REF!</definedName>
    <definedName name="павлов_крЕ">#REF!</definedName>
    <definedName name="павлов_крЖ">#REF!</definedName>
    <definedName name="павод">#REF!</definedName>
    <definedName name="панино_крА">#REF!</definedName>
    <definedName name="панино_крБ">#REF!</definedName>
    <definedName name="панино_крВ">#REF!</definedName>
    <definedName name="панино_крГ">#REF!</definedName>
    <definedName name="панино_крД">#REF!</definedName>
    <definedName name="панино_крЕ">#REF!</definedName>
    <definedName name="панино_крЖ">#REF!</definedName>
    <definedName name="ПАПАИПАПА">#REF!</definedName>
    <definedName name="папап">#REF!</definedName>
    <definedName name="папвуу">#REF!</definedName>
    <definedName name="пар">#REF!</definedName>
    <definedName name="параша" localSheetId="0" hidden="1">{#N/A,#N/A,TRUE,"Сводка балансов"}</definedName>
    <definedName name="параша" localSheetId="1" hidden="1">{#N/A,#N/A,TRUE,"Сводка балансов"}</definedName>
    <definedName name="параша" hidden="1">{#N/A,#N/A,TRUE,"Сводка балансов"}</definedName>
    <definedName name="партия2">#REF!</definedName>
    <definedName name="паша" localSheetId="0" hidden="1">{#N/A,#N/A,TRUE,"Сводка балансов"}</definedName>
    <definedName name="паша" localSheetId="1" hidden="1">{#N/A,#N/A,TRUE,"Сводка балансов"}</definedName>
    <definedName name="паша" hidden="1">{#N/A,#N/A,TRUE,"Сводка балансов"}</definedName>
    <definedName name="пв" localSheetId="0">[37]Лист1!#REF!</definedName>
    <definedName name="пв" localSheetId="1">[37]Лист1!#REF!</definedName>
    <definedName name="пв">[38]Лист1!#REF!</definedName>
    <definedName name="пд">'[49]C.с'!$D$123</definedName>
    <definedName name="перевозка">#REF!</definedName>
    <definedName name="Пересеч.">'[41]Пересечения и примыкания'!$AJ$58</definedName>
    <definedName name="петроп_крА">#REF!</definedName>
    <definedName name="петроп_крБ">#REF!</definedName>
    <definedName name="петроп_крВ">#REF!</definedName>
    <definedName name="петроп_крГ">#REF!</definedName>
    <definedName name="петроп_крД">#REF!</definedName>
    <definedName name="петроп_крЕ">#REF!</definedName>
    <definedName name="петроп_крЖ">#REF!</definedName>
    <definedName name="пеш">#REF!</definedName>
    <definedName name="Пеш.дорожки">'[41]Обстановка дороги'!$AJ$66</definedName>
    <definedName name="ПИР">[70]ПИР!$F$20</definedName>
    <definedName name="пкапв">#REF!</definedName>
    <definedName name="пквпппппппппппп">#REF!</definedName>
    <definedName name="плрайдшогкуп">#REF!</definedName>
    <definedName name="плс" localSheetId="0">'[45]C.с '!#REF!</definedName>
    <definedName name="плс" localSheetId="1">'[45]C.с '!#REF!</definedName>
    <definedName name="плс">'[45]C.с '!#REF!</definedName>
    <definedName name="пм">'[49]C.с'!$D$39</definedName>
    <definedName name="пмрпрпрр">#REF!</definedName>
    <definedName name="ПНР" localSheetId="0">#REF!,#REF!,#REF!,#REF!,#REF!,#REF!,#REF!</definedName>
    <definedName name="ПНР" localSheetId="1">#REF!,#REF!,#REF!,#REF!,#REF!,#REF!,#REF!</definedName>
    <definedName name="ПНР">#REF!,#REF!,#REF!,#REF!,#REF!,#REF!,#REF!</definedName>
    <definedName name="ПНР_О_И" localSheetId="0">#REF!,#REF!,#REF!,#REF!,#REF!,#REF!,#REF!</definedName>
    <definedName name="ПНР_О_И" localSheetId="1">#REF!,#REF!,#REF!,#REF!,#REF!,#REF!,#REF!</definedName>
    <definedName name="ПНР_О_И">#REF!,#REF!,#REF!,#REF!,#REF!,#REF!,#REF!</definedName>
    <definedName name="повор_крА">#REF!</definedName>
    <definedName name="повор_крБ">#REF!</definedName>
    <definedName name="повор_крВ">#REF!</definedName>
    <definedName name="повор_крГ">#REF!</definedName>
    <definedName name="повор_крД">#REF!</definedName>
    <definedName name="повор_крЕ">#REF!</definedName>
    <definedName name="повор_крЖ">#REF!</definedName>
    <definedName name="под">#REF!</definedName>
    <definedName name="подгор_крА">#REF!</definedName>
    <definedName name="подгор_крБ">#REF!</definedName>
    <definedName name="подгор_крВ">#REF!</definedName>
    <definedName name="подгор_крГ">#REF!</definedName>
    <definedName name="подгор_крД">#REF!</definedName>
    <definedName name="подгор_крЕ">#REF!</definedName>
    <definedName name="подгор_крЖ">#REF!</definedName>
    <definedName name="пожар">#REF!</definedName>
    <definedName name="понпш">#REF!</definedName>
    <definedName name="попопоппп">#REF!</definedName>
    <definedName name="пор">#REF!</definedName>
    <definedName name="ПОРЛ">#REF!</definedName>
    <definedName name="Посад.площ.">'[41]Обстановка дороги'!$AJ$121</definedName>
    <definedName name="пп">#REF!</definedName>
    <definedName name="ппп">#REF!</definedName>
    <definedName name="ппп.">#REF!</definedName>
    <definedName name="пппп">#REF!</definedName>
    <definedName name="ппппппппппп">#REF!</definedName>
    <definedName name="пппппппппппп">#REF!</definedName>
    <definedName name="ппппппппппппп">#REF!</definedName>
    <definedName name="пппппппппппппппппппва">#REF!</definedName>
    <definedName name="ппппппппппппппппппппп">#REF!</definedName>
    <definedName name="пппрр">#REF!</definedName>
    <definedName name="пр">'[39]C.с '!$D$69</definedName>
    <definedName name="пр1">'[16]C.с'!$E$58</definedName>
    <definedName name="преапреапрар">#REF!</definedName>
    <definedName name="прно">[71]Лист1!$A$316:$O$318</definedName>
    <definedName name="про" localSheetId="0">[36]Лист1!#REF!</definedName>
    <definedName name="про" localSheetId="1">[36]Лист1!#REF!</definedName>
    <definedName name="про">[36]Лист1!#REF!</definedName>
    <definedName name="проект">#REF!</definedName>
    <definedName name="прол">'[40]C.с  (2)'!$I$80</definedName>
    <definedName name="пролл">#REF!</definedName>
    <definedName name="ПРОТОКОЛ_ИТОГИ_БНДС">'[50]Протокол ДЦ'!$E$11,'[50]Протокол ДЦ'!$E$22</definedName>
    <definedName name="прп">#REF!</definedName>
    <definedName name="ПРППОРЛОРЛО">#REF!</definedName>
    <definedName name="прпр.эж">#REF!</definedName>
    <definedName name="ПРПРП">#REF!</definedName>
    <definedName name="прпрпрп">#REF!</definedName>
    <definedName name="ПРРР">#REF!</definedName>
    <definedName name="прррррррр">#REF!</definedName>
    <definedName name="р">#REF!</definedName>
    <definedName name="Р_01">[6]Фм!$H$17</definedName>
    <definedName name="Р_02">[6]Фм!$H$22</definedName>
    <definedName name="Р_1">#REF!</definedName>
    <definedName name="Р_10">#REF!</definedName>
    <definedName name="Р_100" localSheetId="0">[20]Ф!#REF!</definedName>
    <definedName name="Р_100" localSheetId="1">[20]Ф!#REF!</definedName>
    <definedName name="Р_100">[20]Ф!#REF!</definedName>
    <definedName name="Р_101">#REF!</definedName>
    <definedName name="Р_11">#REF!</definedName>
    <definedName name="Р_111" localSheetId="0">[27]Ф!#REF!</definedName>
    <definedName name="Р_111" localSheetId="1">[27]Ф!#REF!</definedName>
    <definedName name="Р_111">[27]Ф!#REF!</definedName>
    <definedName name="Р_11а">[13]Ф!#REF!</definedName>
    <definedName name="Р_13">#REF!</definedName>
    <definedName name="Р_14">#REF!</definedName>
    <definedName name="Р_15" localSheetId="0">[72]Ф!#REF!</definedName>
    <definedName name="Р_15" localSheetId="1">[72]Ф!#REF!</definedName>
    <definedName name="Р_15">[72]Ф!#REF!</definedName>
    <definedName name="Р_150">[13]Ф!#REF!</definedName>
    <definedName name="Р_151">#REF!</definedName>
    <definedName name="Р_152">#REF!</definedName>
    <definedName name="Р_153">#REF!</definedName>
    <definedName name="Р_154">#REF!</definedName>
    <definedName name="Р_15а" localSheetId="0">[20]Ф!#REF!</definedName>
    <definedName name="Р_15а" localSheetId="1">[20]Ф!#REF!</definedName>
    <definedName name="Р_15а">[20]Ф!#REF!</definedName>
    <definedName name="Р_16">#REF!</definedName>
    <definedName name="Р_17" localSheetId="0">[72]Ф!#REF!</definedName>
    <definedName name="Р_17" localSheetId="1">[72]Ф!#REF!</definedName>
    <definedName name="Р_17">[72]Ф!#REF!</definedName>
    <definedName name="Р_17а">[20]Ф!#REF!</definedName>
    <definedName name="Р_18">[62]Ф!#REF!</definedName>
    <definedName name="Р_19">#REF!</definedName>
    <definedName name="Р_190">#REF!</definedName>
    <definedName name="Р_2">#REF!</definedName>
    <definedName name="Р_20">#REF!</definedName>
    <definedName name="Р_21">#REF!</definedName>
    <definedName name="Р_210">#REF!</definedName>
    <definedName name="Р_211" localSheetId="0">[12]Ф!#REF!</definedName>
    <definedName name="Р_211" localSheetId="1">[12]Ф!#REF!</definedName>
    <definedName name="Р_211">[12]Ф!#REF!</definedName>
    <definedName name="Р_211а">[12]Ф!#REF!</definedName>
    <definedName name="Р_212">[12]Ф!#REF!</definedName>
    <definedName name="Р_22">#REF!</definedName>
    <definedName name="Р_23">#REF!</definedName>
    <definedName name="Р_233">#REF!</definedName>
    <definedName name="Р_24">#REF!</definedName>
    <definedName name="Р_241">#REF!</definedName>
    <definedName name="Р_25">#REF!</definedName>
    <definedName name="Р_26">#REF!</definedName>
    <definedName name="Р_29">#REF!</definedName>
    <definedName name="Р_3">#REF!</definedName>
    <definedName name="Р_300">#REF!</definedName>
    <definedName name="Р_301">#REF!</definedName>
    <definedName name="Р_31" localSheetId="0">[68]Ф!#REF!</definedName>
    <definedName name="Р_31" localSheetId="1">[68]Ф!#REF!</definedName>
    <definedName name="Р_31">[68]Ф!#REF!</definedName>
    <definedName name="Р_311">#REF!</definedName>
    <definedName name="Р_32" localSheetId="0">[72]Ф!#REF!</definedName>
    <definedName name="Р_32" localSheetId="1">[72]Ф!#REF!</definedName>
    <definedName name="Р_32">[72]Ф!#REF!</definedName>
    <definedName name="Р_33">#REF!</definedName>
    <definedName name="Р_333">#REF!</definedName>
    <definedName name="Р_34" localSheetId="0">[68]Ф!#REF!</definedName>
    <definedName name="Р_34" localSheetId="1">[68]Ф!#REF!</definedName>
    <definedName name="Р_34">[68]Ф!#REF!</definedName>
    <definedName name="Р_35">[72]Ф!#REF!</definedName>
    <definedName name="Р_36">#REF!</definedName>
    <definedName name="Р_37">#REF!</definedName>
    <definedName name="Р_38">#REF!</definedName>
    <definedName name="Р_39">[51]Ф!$H$52</definedName>
    <definedName name="Р_4">#REF!</definedName>
    <definedName name="Р_40">#REF!</definedName>
    <definedName name="Р_401">#REF!</definedName>
    <definedName name="Р_402">#REF!</definedName>
    <definedName name="Р_41">[63]Ф!$H$57</definedName>
    <definedName name="Р_411">#REF!</definedName>
    <definedName name="Р_43" localSheetId="0">[68]Ф!#REF!</definedName>
    <definedName name="Р_43" localSheetId="1">[68]Ф!#REF!</definedName>
    <definedName name="Р_43">[68]Ф!#REF!</definedName>
    <definedName name="Р_44">[72]Ф!#REF!</definedName>
    <definedName name="Р_44а">[12]Ф!#REF!</definedName>
    <definedName name="Р_45">#REF!</definedName>
    <definedName name="Р_46">#REF!</definedName>
    <definedName name="Р_47">#REF!</definedName>
    <definedName name="Р_48">#REF!</definedName>
    <definedName name="Р_49" localSheetId="0">[72]Ф!#REF!</definedName>
    <definedName name="Р_49" localSheetId="1">[72]Ф!#REF!</definedName>
    <definedName name="Р_49">[72]Ф!#REF!</definedName>
    <definedName name="Р_49а">[72]Ф!#REF!</definedName>
    <definedName name="Р_5">#REF!</definedName>
    <definedName name="Р_50">#REF!</definedName>
    <definedName name="Р_51">#REF!</definedName>
    <definedName name="Р_52">#REF!</definedName>
    <definedName name="Р_53" localSheetId="0">[72]Ф!#REF!</definedName>
    <definedName name="Р_53" localSheetId="1">[72]Ф!#REF!</definedName>
    <definedName name="Р_53">[72]Ф!#REF!</definedName>
    <definedName name="Р_532">[64]Ф!#REF!</definedName>
    <definedName name="Р_54">#REF!</definedName>
    <definedName name="Р_55">#REF!</definedName>
    <definedName name="Р_57">#REF!</definedName>
    <definedName name="Р_58">#REF!</definedName>
    <definedName name="Р_59">#REF!</definedName>
    <definedName name="Р_59а" localSheetId="0">[72]Ф!#REF!</definedName>
    <definedName name="Р_59а" localSheetId="1">[72]Ф!#REF!</definedName>
    <definedName name="Р_59а">[72]Ф!#REF!</definedName>
    <definedName name="Р_6">[73]Ф!#REF!</definedName>
    <definedName name="Р_60">#REF!</definedName>
    <definedName name="Р_63">#REF!</definedName>
    <definedName name="Р_64">#REF!</definedName>
    <definedName name="Р_68">#REF!</definedName>
    <definedName name="Р_69">#REF!</definedName>
    <definedName name="Р_69а" localSheetId="0">[13]Ф!#REF!</definedName>
    <definedName name="Р_69а" localSheetId="1">[13]Ф!#REF!</definedName>
    <definedName name="Р_69а">[13]Ф!#REF!</definedName>
    <definedName name="Р_7">#REF!</definedName>
    <definedName name="Р_72">#REF!</definedName>
    <definedName name="Р_720">#REF!</definedName>
    <definedName name="Р_74">#REF!</definedName>
    <definedName name="Р_79">#REF!</definedName>
    <definedName name="Р_790">#REF!</definedName>
    <definedName name="Р_791">#REF!</definedName>
    <definedName name="Р_8">#REF!</definedName>
    <definedName name="Р_83">#REF!</definedName>
    <definedName name="Р_88">#REF!</definedName>
    <definedName name="Р_9">#REF!</definedName>
    <definedName name="Р_900" localSheetId="0">[13]Ф!#REF!</definedName>
    <definedName name="Р_900" localSheetId="1">[13]Ф!#REF!</definedName>
    <definedName name="Р_900">[13]Ф!#REF!</definedName>
    <definedName name="Р_901">[13]Ф!#REF!</definedName>
    <definedName name="Р_9а">[13]Ф!#REF!</definedName>
    <definedName name="р1">#REF!</definedName>
    <definedName name="раа">#REF!</definedName>
    <definedName name="разборка">#REF!</definedName>
    <definedName name="рамонь_крА">#REF!</definedName>
    <definedName name="рамонь_крБ">#REF!</definedName>
    <definedName name="рамонь_крВ">#REF!</definedName>
    <definedName name="рамонь_крГ">#REF!</definedName>
    <definedName name="рамонь_крД">#REF!</definedName>
    <definedName name="рамонь_крЕ">#REF!</definedName>
    <definedName name="рамонь_крЖ">#REF!</definedName>
    <definedName name="рарарар">#REF!</definedName>
    <definedName name="рвпар">#REF!</definedName>
    <definedName name="регцентр">#REF!</definedName>
    <definedName name="Реес">#REF!</definedName>
    <definedName name="реест1">#REF!</definedName>
    <definedName name="реестр">#REF!</definedName>
    <definedName name="реестр1">#REF!</definedName>
    <definedName name="реестр11">#REF!</definedName>
    <definedName name="реестртаблица">#REF!</definedName>
    <definedName name="Рекульт.БЭ">[41]Рекультивация!$AJ$51</definedName>
    <definedName name="Рекульт.ТЭ">[41]Рекультивация!$AJ$24</definedName>
    <definedName name="рено" localSheetId="0" hidden="1">{#N/A,#N/A,TRUE,"Сводка балансов"}</definedName>
    <definedName name="рено" localSheetId="1" hidden="1">{#N/A,#N/A,TRUE,"Сводка балансов"}</definedName>
    <definedName name="рено" hidden="1">{#N/A,#N/A,TRUE,"Сводка балансов"}</definedName>
    <definedName name="репьев_крА">#REF!</definedName>
    <definedName name="репьев_крБ">#REF!</definedName>
    <definedName name="репьев_крВ">#REF!</definedName>
    <definedName name="репьев_крГ">#REF!</definedName>
    <definedName name="репьев_крД">#REF!</definedName>
    <definedName name="репьев_крЕ">#REF!</definedName>
    <definedName name="репьев_крЖ">#REF!</definedName>
    <definedName name="рзщр">#REF!</definedName>
    <definedName name="рм">'[39]C.с '!$D$28</definedName>
    <definedName name="рмп">'[39]C.с '!$D$25</definedName>
    <definedName name="ро">[74]Лист1!#REF!</definedName>
    <definedName name="РОЛРОЛР">#REF!</definedName>
    <definedName name="рооооооооо">#REF!</definedName>
    <definedName name="рооооооооооооо">#REF!</definedName>
    <definedName name="рор">#REF!</definedName>
    <definedName name="россошь_крА">#REF!</definedName>
    <definedName name="россошь_крБ">#REF!</definedName>
    <definedName name="россошь_крВ">#REF!</definedName>
    <definedName name="россошь_крГ">#REF!</definedName>
    <definedName name="россошь_крД">#REF!</definedName>
    <definedName name="россошь_крЕ">#REF!</definedName>
    <definedName name="россошь_крЖ">#REF!</definedName>
    <definedName name="рпа">#REF!</definedName>
    <definedName name="рпп">'[39]C.с '!$D$49</definedName>
    <definedName name="рпрпрррпрпрпр">#REF!</definedName>
    <definedName name="РПТ" localSheetId="0" hidden="1">{#N/A,#N/A,TRUE,"Сводка балансов"}</definedName>
    <definedName name="РПТ" localSheetId="1" hidden="1">{#N/A,#N/A,TRUE,"Сводка балансов"}</definedName>
    <definedName name="РПТ" hidden="1">{#N/A,#N/A,TRUE,"Сводка балансов"}</definedName>
    <definedName name="рпуп">#REF!</definedName>
    <definedName name="рр">#REF!</definedName>
    <definedName name="Рр_1">#REF!</definedName>
    <definedName name="ррп" localSheetId="0">'[45]C.с '!#REF!</definedName>
    <definedName name="ррп" localSheetId="1">'[45]C.с '!#REF!</definedName>
    <definedName name="ррп">'[45]C.с '!#REF!</definedName>
    <definedName name="ррр">#REF!</definedName>
    <definedName name="рррпр">#REF!</definedName>
    <definedName name="рррр">#REF!</definedName>
    <definedName name="ррррр">#REF!</definedName>
    <definedName name="рррррр">#REF!</definedName>
    <definedName name="рррррррррррр" localSheetId="0">[18]К.С.М.!#REF!</definedName>
    <definedName name="рррррррррррр" localSheetId="1">[18]К.С.М.!#REF!</definedName>
    <definedName name="рррррррррррр">[18]К.С.М.!#REF!</definedName>
    <definedName name="ррррррррррррр">#REF!</definedName>
    <definedName name="рррррррррррррр">#REF!</definedName>
    <definedName name="ррррррррррррррррр">#REF!</definedName>
    <definedName name="ррррррррррррррррррррр">#REF!</definedName>
    <definedName name="рррррррррррррррррррррррррррррр">#REF!</definedName>
    <definedName name="рсп" localSheetId="0">'[45]C.с '!#REF!</definedName>
    <definedName name="рсп" localSheetId="1">'[45]C.с '!#REF!</definedName>
    <definedName name="рсп">'[45]C.с '!#REF!</definedName>
    <definedName name="Рубка_леса">'[41] Подготовительные работы'!$AJ$71</definedName>
    <definedName name="с">#REF!</definedName>
    <definedName name="С112">#REF!</definedName>
    <definedName name="С113">#REF!</definedName>
    <definedName name="С120">#REF!</definedName>
    <definedName name="сапрсапр">#REF!</definedName>
    <definedName name="сваи">#REF!</definedName>
    <definedName name="семил_крА">#REF!</definedName>
    <definedName name="семил_крБ">#REF!</definedName>
    <definedName name="семил_крВ">#REF!</definedName>
    <definedName name="семил_крГ">#REF!</definedName>
    <definedName name="семил_крД">#REF!</definedName>
    <definedName name="семил_крЕ">#REF!</definedName>
    <definedName name="семил_крЖ">#REF!</definedName>
    <definedName name="си">'[16]C.с'!$I$28</definedName>
    <definedName name="Сигн.столбики">'[41]Обстановка дороги'!$AJ$24</definedName>
    <definedName name="см.158нов">#REF!</definedName>
    <definedName name="см110нов">#REF!</definedName>
    <definedName name="см129нов">#REF!</definedName>
    <definedName name="смммммммммм" localSheetId="0">[18]К.С.М.!#REF!</definedName>
    <definedName name="смммммммммм" localSheetId="1">[18]К.С.М.!#REF!</definedName>
    <definedName name="смммммммммм">[18]К.С.М.!#REF!</definedName>
    <definedName name="смр">#REF!</definedName>
    <definedName name="Снятие">#REF!</definedName>
    <definedName name="сп2">#REF!</definedName>
    <definedName name="спр2">#REF!</definedName>
    <definedName name="спр22">#REF!</definedName>
    <definedName name="спр33">#REF!</definedName>
    <definedName name="сроки">[44]Коэффициенты!$A$1:$A$65536</definedName>
    <definedName name="сс">#REF!</definedName>
    <definedName name="стадия_П">[44]база!$J$1:$J$65536</definedName>
    <definedName name="стд">#REF!</definedName>
    <definedName name="страх">#REF!</definedName>
    <definedName name="сттт">#REF!</definedName>
    <definedName name="т">#REF!</definedName>
    <definedName name="Т.а.">#REF!</definedName>
    <definedName name="Т_1">#REF!</definedName>
    <definedName name="Т_10">#REF!</definedName>
    <definedName name="Т_13">#REF!</definedName>
    <definedName name="Т_16">#REF!</definedName>
    <definedName name="Т_25">#REF!</definedName>
    <definedName name="Т_28">#REF!</definedName>
    <definedName name="Т_31">#REF!</definedName>
    <definedName name="Т_35">#REF!</definedName>
    <definedName name="Т_351">#REF!</definedName>
    <definedName name="Т_352">#REF!</definedName>
    <definedName name="Т_353">#REF!</definedName>
    <definedName name="Т_354">#REF!</definedName>
    <definedName name="Т_355">#REF!</definedName>
    <definedName name="Т_372">#REF!</definedName>
    <definedName name="Т_39">#REF!</definedName>
    <definedName name="Т_4">#REF!</definedName>
    <definedName name="Т_40">#REF!</definedName>
    <definedName name="Т_43">#REF!</definedName>
    <definedName name="Т_44">#REF!</definedName>
    <definedName name="Т_46">#REF!</definedName>
    <definedName name="Т_461">#REF!</definedName>
    <definedName name="Т_49">#REF!</definedName>
    <definedName name="Т_52">#REF!</definedName>
    <definedName name="Т_56">#REF!</definedName>
    <definedName name="Т_59">#REF!</definedName>
    <definedName name="Т_590">#REF!</definedName>
    <definedName name="Т_5901">#REF!</definedName>
    <definedName name="Т_63">#REF!</definedName>
    <definedName name="Т_67">#REF!</definedName>
    <definedName name="Т_7">#REF!</definedName>
    <definedName name="Т_70">#REF!</definedName>
    <definedName name="Т_72">#REF!</definedName>
    <definedName name="Т_74">#REF!</definedName>
    <definedName name="Т12">#REF!</definedName>
    <definedName name="Т12_1">#REF!</definedName>
    <definedName name="Т12_4">#REF!</definedName>
    <definedName name="Т13">#REF!</definedName>
    <definedName name="Т14">#REF!</definedName>
    <definedName name="Т14_1">#REF!</definedName>
    <definedName name="Т14_4">#REF!</definedName>
    <definedName name="Т14_6">#REF!</definedName>
    <definedName name="Т14_7">#REF!</definedName>
    <definedName name="т17">#REF!</definedName>
    <definedName name="Т18">#REF!</definedName>
    <definedName name="Т200">#REF!</definedName>
    <definedName name="Т25">#REF!</definedName>
    <definedName name="талов_крА">#REF!</definedName>
    <definedName name="талов_крБ">#REF!</definedName>
    <definedName name="талов_крВ">#REF!</definedName>
    <definedName name="талов_крГ">#REF!</definedName>
    <definedName name="талов_крД">#REF!</definedName>
    <definedName name="талов_крЕ">#REF!</definedName>
    <definedName name="талов_крЖ">#REF!</definedName>
    <definedName name="ТендСниж">0.985</definedName>
    <definedName name="тернов_крА">#REF!</definedName>
    <definedName name="тернов_крБ">#REF!</definedName>
    <definedName name="тернов_крВ">#REF!</definedName>
    <definedName name="тернов_крГ">#REF!</definedName>
    <definedName name="тернов_крД">#REF!</definedName>
    <definedName name="тернов_крЕ">#REF!</definedName>
    <definedName name="тернов_крЖ">#REF!</definedName>
    <definedName name="тз">#REF!</definedName>
    <definedName name="тимс" localSheetId="0" hidden="1">{#N/A,#N/A,TRUE,"Сводка балансов"}</definedName>
    <definedName name="тимс" localSheetId="1" hidden="1">{#N/A,#N/A,TRUE,"Сводка балансов"}</definedName>
    <definedName name="тимс" hidden="1">{#N/A,#N/A,TRUE,"Сводка балансов"}</definedName>
    <definedName name="тип2">#REF!</definedName>
    <definedName name="торг">#REF!</definedName>
    <definedName name="Тощ.бет.">#REF!</definedName>
    <definedName name="трог" localSheetId="0" hidden="1">{#N/A,#N/A,TRUE,"Сводка балансов"}</definedName>
    <definedName name="трог" localSheetId="1" hidden="1">{#N/A,#N/A,TRUE,"Сводка балансов"}</definedName>
    <definedName name="трог" hidden="1">{#N/A,#N/A,TRUE,"Сводка балансов"}</definedName>
    <definedName name="тррррррртрт">#REF!</definedName>
    <definedName name="Трубы">'[41]Искусственные сооружения'!$AJ$182</definedName>
    <definedName name="тт">#REF!</definedName>
    <definedName name="тт45ни">#REF!</definedName>
    <definedName name="ттт">#REF!</definedName>
    <definedName name="тттт">#REF!</definedName>
    <definedName name="тттттттттттттттттттттттттттт">#REF!</definedName>
    <definedName name="тьтььььььььььььььььььь">#REF!</definedName>
    <definedName name="у">#REF!</definedName>
    <definedName name="у1">#REF!</definedName>
    <definedName name="у2">#REF!</definedName>
    <definedName name="уке">#REF!</definedName>
    <definedName name="укккккккккккккккккккккккк">#REF!</definedName>
    <definedName name="Укр.обочин">'[41]Дорожная одежда'!$AJ$51</definedName>
    <definedName name="Укреп.оаботы">'[41]Земляное полотно'!$AJ$70</definedName>
    <definedName name="укук">#REF!</definedName>
    <definedName name="УМ1">#REF!</definedName>
    <definedName name="умгкр">#REF!</definedName>
    <definedName name="умгкр1">#REF!</definedName>
    <definedName name="УПВКАП">#REF!</definedName>
    <definedName name="уперп">#REF!</definedName>
    <definedName name="ууу">#REF!</definedName>
    <definedName name="уууууууууав">#REF!</definedName>
    <definedName name="уууууууууук">#REF!</definedName>
    <definedName name="уууууууууууу">#REF!</definedName>
    <definedName name="ууууууууууууууууу">#REF!</definedName>
    <definedName name="уууууууууууууууууууу">#REF!</definedName>
    <definedName name="УЦ">#REF!</definedName>
    <definedName name="уыпыыыыыыыыыыыыыыыыыыы">#REF!</definedName>
    <definedName name="ф">#REF!</definedName>
    <definedName name="Ф_10" localSheetId="0">[67]ф10!#REF!</definedName>
    <definedName name="Ф_10" localSheetId="1">[67]ф10!#REF!</definedName>
    <definedName name="Ф_10">[67]ф10!#REF!</definedName>
    <definedName name="Ф_11">[67]ф10!#REF!</definedName>
    <definedName name="Ф_12">[67]ф10!#REF!</definedName>
    <definedName name="Ф_13">[67]ф10!#REF!</definedName>
    <definedName name="Ф_14">[67]ф10!#REF!</definedName>
    <definedName name="Ф_15">[67]ф10!#REF!</definedName>
    <definedName name="Ф_16">[67]ф10!#REF!</definedName>
    <definedName name="Ф_160">[75]ф10!#REF!</definedName>
    <definedName name="Ф_193">[75]ф10!#REF!</definedName>
    <definedName name="Ф_2">[67]ф10!#REF!</definedName>
    <definedName name="Ф_3">[67]ф10!#REF!</definedName>
    <definedName name="Ф_31">[67]ф10!#REF!</definedName>
    <definedName name="Ф_32">[67]ф10!#REF!</definedName>
    <definedName name="Ф_38">[75]ф10!#REF!</definedName>
    <definedName name="Ф_4">[67]ф10!#REF!</definedName>
    <definedName name="Ф_5">[67]ф10!#REF!</definedName>
    <definedName name="Ф_6">[67]ф10!#REF!</definedName>
    <definedName name="Ф_7">[67]ф10!#REF!</definedName>
    <definedName name="Ф_8">[67]ф10!#REF!</definedName>
    <definedName name="Ф_83">[67]ф10!#REF!</definedName>
    <definedName name="Ф_9">[67]ф10!#REF!</definedName>
    <definedName name="Ф_98">[75]ф10!#REF!</definedName>
    <definedName name="ф1">#REF!</definedName>
    <definedName name="ф2">'[76]C.с '!$H$86</definedName>
    <definedName name="ф4">#REF!</definedName>
    <definedName name="ФААААААААААААААА">#REF!</definedName>
    <definedName name="фввввввввв">#REF!</definedName>
    <definedName name="фвввввввввввввввввввв">#REF!</definedName>
    <definedName name="фвввввввввуууууууууууп">#REF!</definedName>
    <definedName name="февраль">#REF!</definedName>
    <definedName name="фф">#REF!</definedName>
    <definedName name="ффф">#REF!</definedName>
    <definedName name="фффф">#REF!</definedName>
    <definedName name="ффффффффвасссссссссссссс">#REF!</definedName>
    <definedName name="ФФФФФФФФФФФФФФФ">#REF!</definedName>
    <definedName name="ФФФФФФФФФФФЫЫЫЫЫЫЫ">#REF!</definedName>
    <definedName name="фцыв">#REF!</definedName>
    <definedName name="ФЫАЫАВЫ">#REF!</definedName>
    <definedName name="ФЫВВВВВ">#REF!</definedName>
    <definedName name="фыыыыыыыыыыыыыа">#REF!</definedName>
    <definedName name="х">#REF!</definedName>
    <definedName name="хзщ">#REF!</definedName>
    <definedName name="хохол_крА">#REF!</definedName>
    <definedName name="хохол_крБ">#REF!</definedName>
    <definedName name="хохол_крВ">#REF!</definedName>
    <definedName name="хохол_крГ">#REF!</definedName>
    <definedName name="хохол_крД">#REF!</definedName>
    <definedName name="хохол_крЕ">#REF!</definedName>
    <definedName name="хохол_крЖ">#REF!</definedName>
    <definedName name="хххх">#REF!</definedName>
    <definedName name="хшнир">#REF!</definedName>
    <definedName name="ц">#REF!</definedName>
    <definedName name="цкеен">#REF!</definedName>
    <definedName name="цкрт">#REF!</definedName>
    <definedName name="цол">#REF!</definedName>
    <definedName name="цуауыыыыыыыыыыыыыыыыы">#REF!</definedName>
    <definedName name="цуенгш">#REF!</definedName>
    <definedName name="цуецкуе" localSheetId="0" hidden="1">{#N/A,#N/A,TRUE,"Сводка балансов"}</definedName>
    <definedName name="цуецкуе" localSheetId="1" hidden="1">{#N/A,#N/A,TRUE,"Сводка балансов"}</definedName>
    <definedName name="цуецкуе" hidden="1">{#N/A,#N/A,TRUE,"Сводка балансов"}</definedName>
    <definedName name="цуккккккккккккккккккк">#REF!</definedName>
    <definedName name="цукчфффффффффффф">#REF!</definedName>
    <definedName name="цууууууууууууууууууууу">#REF!</definedName>
    <definedName name="цфввввввввввввввв">#REF!</definedName>
    <definedName name="цц">#REF!</definedName>
    <definedName name="цццц">#REF!</definedName>
    <definedName name="ццццц">#REF!</definedName>
    <definedName name="ццццццццццццууууууууууууууууу">#REF!</definedName>
    <definedName name="ццццццццццццццццц">#REF!</definedName>
    <definedName name="ч">#REF!</definedName>
    <definedName name="Ч_Щ_1">#REF!</definedName>
    <definedName name="Ч_Щ_2">'[9]ч. щ. 2'!$F$29</definedName>
    <definedName name="чапр">#REF!</definedName>
    <definedName name="Чспп">#REF!</definedName>
    <definedName name="чсссссссссс">#REF!</definedName>
    <definedName name="чч">#REF!</definedName>
    <definedName name="ччч">#REF!</definedName>
    <definedName name="ш">#REF!</definedName>
    <definedName name="шзшзхх">#REF!</definedName>
    <definedName name="ШЛЮЖОЛО">#REF!</definedName>
    <definedName name="шшщз">#REF!</definedName>
    <definedName name="щ">#REF!</definedName>
    <definedName name="щшг">#REF!</definedName>
    <definedName name="ъ">#REF!</definedName>
    <definedName name="ъъъъ">#REF!</definedName>
    <definedName name="ы">#REF!</definedName>
    <definedName name="ыаааааааааааа">#REF!</definedName>
    <definedName name="ыаааыыыыыыыыыыыыыыыыыы">#REF!</definedName>
    <definedName name="ыаов">[77]hx_abc4!$A$20:$IV$20</definedName>
    <definedName name="ыаов_1" localSheetId="0">[78]hx_abc4!$20:$20</definedName>
    <definedName name="ыаов_1" localSheetId="1">[78]hx_abc4!$20:$20</definedName>
    <definedName name="ыаов_1">[79]hx_abc4!$20:$20</definedName>
    <definedName name="ыасяавааааааааааааааааааа">#REF!</definedName>
    <definedName name="ыв">#REF!</definedName>
    <definedName name="ывааааааа">#REF!</definedName>
    <definedName name="ывапроорпавыываппавывапрпа">#REF!</definedName>
    <definedName name="ываы">#REF!</definedName>
    <definedName name="ыввыфвфвф">#REF!</definedName>
    <definedName name="ЫВПАПАПАПАПАПАПАПАПАПАПАПАПАПАПА">#REF!</definedName>
    <definedName name="ЫВПВПЫВП">#REF!</definedName>
    <definedName name="ЫВППЫВП">#REF!</definedName>
    <definedName name="ЫПВВПВАП">#REF!</definedName>
    <definedName name="ыуааауаааааааааааааа">#REF!</definedName>
    <definedName name="ЫУВКП">#REF!</definedName>
    <definedName name="ыупаааааааааааааааа">#REF!</definedName>
    <definedName name="ыфввввввввввввввввв">#REF!</definedName>
    <definedName name="ыцвввввввввввв">#REF!</definedName>
    <definedName name="ыы">#REF!</definedName>
    <definedName name="ыыы">#REF!</definedName>
    <definedName name="ь">#REF!</definedName>
    <definedName name="ьлдщгрш7нш">#REF!</definedName>
    <definedName name="ьтьть">#REF!</definedName>
    <definedName name="ьь">#REF!</definedName>
    <definedName name="ьььь">#REF!</definedName>
    <definedName name="ььььь">#REF!</definedName>
    <definedName name="ьььььь">#REF!</definedName>
    <definedName name="ьььььььь">#REF!</definedName>
    <definedName name="ььььььььььььььььь">#REF!</definedName>
    <definedName name="ьььььььььььььььььь">#REF!</definedName>
    <definedName name="э">#REF!</definedName>
    <definedName name="эксперт">#REF!</definedName>
    <definedName name="эл">'[39]C.с '!$I$39</definedName>
    <definedName name="элт">#REF!</definedName>
    <definedName name="эртиль_крА">#REF!</definedName>
    <definedName name="эртиль_крБ">#REF!</definedName>
    <definedName name="эртиль_крВ">#REF!</definedName>
    <definedName name="эртиль_крГ">#REF!</definedName>
    <definedName name="эртиль_крД">#REF!</definedName>
    <definedName name="эртиль_крЕ">#REF!</definedName>
    <definedName name="эртиль_крЖ">#REF!</definedName>
    <definedName name="ээ">#REF!</definedName>
    <definedName name="ю">#REF!</definedName>
    <definedName name="юж">#REF!</definedName>
    <definedName name="юля">#REF!</definedName>
    <definedName name="юю">#REF!</definedName>
    <definedName name="ююююю">#REF!</definedName>
    <definedName name="я">#REF!</definedName>
    <definedName name="яччччччччч">#REF!</definedName>
    <definedName name="яя">#REF!</definedName>
    <definedName name="яяя">#REF!</definedName>
  </definedNames>
  <calcPr calcId="162913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" i="11" l="1"/>
  <c r="D16" i="10" l="1"/>
  <c r="K269" i="22" l="1"/>
  <c r="D269" i="22"/>
  <c r="K268" i="22"/>
  <c r="D268" i="22"/>
  <c r="K267" i="22"/>
  <c r="D267" i="22"/>
  <c r="K266" i="22"/>
  <c r="D266" i="22"/>
  <c r="K265" i="22"/>
  <c r="L278" i="22" s="1"/>
  <c r="L287" i="22" s="1"/>
  <c r="D265" i="22"/>
  <c r="K264" i="22"/>
  <c r="J264" i="22"/>
  <c r="K263" i="22"/>
  <c r="J263" i="22"/>
  <c r="AL262" i="22"/>
  <c r="A262" i="22"/>
  <c r="K260" i="22"/>
  <c r="J260" i="22"/>
  <c r="K259" i="22"/>
  <c r="J259" i="22"/>
  <c r="K257" i="22"/>
  <c r="J257" i="22"/>
  <c r="K256" i="22"/>
  <c r="J256" i="22"/>
  <c r="A255" i="22"/>
  <c r="K253" i="22"/>
  <c r="J253" i="22"/>
  <c r="K252" i="22"/>
  <c r="J252" i="22"/>
  <c r="A251" i="22"/>
  <c r="AA247" i="22"/>
  <c r="Z247" i="22"/>
  <c r="Y247" i="22"/>
  <c r="K246" i="22"/>
  <c r="F246" i="22"/>
  <c r="K245" i="22"/>
  <c r="K244" i="22" s="1"/>
  <c r="I245" i="22"/>
  <c r="I244" i="22" s="1"/>
  <c r="G245" i="22"/>
  <c r="G244" i="22" s="1"/>
  <c r="H244" i="22"/>
  <c r="AA242" i="22"/>
  <c r="Z242" i="22"/>
  <c r="Y242" i="22"/>
  <c r="J241" i="22"/>
  <c r="I241" i="22"/>
  <c r="H241" i="22"/>
  <c r="F241" i="22"/>
  <c r="K240" i="22"/>
  <c r="F240" i="22"/>
  <c r="K239" i="22"/>
  <c r="F239" i="22"/>
  <c r="K238" i="22"/>
  <c r="F238" i="22"/>
  <c r="AA237" i="22"/>
  <c r="Z237" i="22"/>
  <c r="Y237" i="22"/>
  <c r="V237" i="22"/>
  <c r="U237" i="22"/>
  <c r="T237" i="22"/>
  <c r="S237" i="22"/>
  <c r="R237" i="22"/>
  <c r="Q237" i="22"/>
  <c r="L237" i="22"/>
  <c r="K237" i="22"/>
  <c r="J237" i="22"/>
  <c r="I237" i="22"/>
  <c r="G237" i="22"/>
  <c r="F237" i="22"/>
  <c r="E237" i="22"/>
  <c r="C237" i="22"/>
  <c r="B237" i="22"/>
  <c r="L236" i="22"/>
  <c r="K236" i="22"/>
  <c r="J236" i="22"/>
  <c r="I236" i="22"/>
  <c r="H236" i="22"/>
  <c r="G236" i="22"/>
  <c r="K235" i="22"/>
  <c r="I235" i="22"/>
  <c r="H235" i="22"/>
  <c r="G235" i="22"/>
  <c r="K234" i="22"/>
  <c r="I234" i="22"/>
  <c r="H234" i="22"/>
  <c r="G234" i="22"/>
  <c r="L233" i="22"/>
  <c r="K233" i="22"/>
  <c r="J233" i="22"/>
  <c r="I233" i="22"/>
  <c r="H233" i="22"/>
  <c r="G233" i="22"/>
  <c r="D232" i="22"/>
  <c r="V231" i="22"/>
  <c r="U231" i="22"/>
  <c r="T231" i="22"/>
  <c r="L239" i="22" s="1"/>
  <c r="S231" i="22"/>
  <c r="J239" i="22" s="1"/>
  <c r="R231" i="22"/>
  <c r="L238" i="22" s="1"/>
  <c r="Q231" i="22"/>
  <c r="F231" i="22"/>
  <c r="E231" i="22"/>
  <c r="B231" i="22"/>
  <c r="AA228" i="22"/>
  <c r="Z228" i="22"/>
  <c r="Y228" i="22"/>
  <c r="K227" i="22"/>
  <c r="F227" i="22"/>
  <c r="K226" i="22"/>
  <c r="K225" i="22" s="1"/>
  <c r="I226" i="22"/>
  <c r="I225" i="22" s="1"/>
  <c r="G226" i="22"/>
  <c r="H225" i="22"/>
  <c r="AA223" i="22"/>
  <c r="Z223" i="22"/>
  <c r="Y223" i="22"/>
  <c r="J222" i="22"/>
  <c r="I222" i="22"/>
  <c r="H222" i="22"/>
  <c r="F222" i="22"/>
  <c r="K221" i="22"/>
  <c r="F221" i="22"/>
  <c r="K220" i="22"/>
  <c r="F220" i="22"/>
  <c r="K219" i="22"/>
  <c r="F219" i="22"/>
  <c r="AA218" i="22"/>
  <c r="Z218" i="22"/>
  <c r="Y218" i="22"/>
  <c r="V218" i="22"/>
  <c r="U218" i="22"/>
  <c r="T218" i="22"/>
  <c r="S218" i="22"/>
  <c r="R218" i="22"/>
  <c r="Q218" i="22"/>
  <c r="L218" i="22"/>
  <c r="K218" i="22"/>
  <c r="J218" i="22"/>
  <c r="X218" i="22" s="1"/>
  <c r="I218" i="22"/>
  <c r="G218" i="22"/>
  <c r="F218" i="22"/>
  <c r="E218" i="22"/>
  <c r="C218" i="22"/>
  <c r="B218" i="22"/>
  <c r="L217" i="22"/>
  <c r="K217" i="22"/>
  <c r="J217" i="22"/>
  <c r="I217" i="22"/>
  <c r="H217" i="22"/>
  <c r="G217" i="22"/>
  <c r="K216" i="22"/>
  <c r="I216" i="22"/>
  <c r="H216" i="22"/>
  <c r="G216" i="22"/>
  <c r="K215" i="22"/>
  <c r="I215" i="22"/>
  <c r="H215" i="22"/>
  <c r="G215" i="22"/>
  <c r="L214" i="22"/>
  <c r="K214" i="22"/>
  <c r="J214" i="22"/>
  <c r="W214" i="22" s="1"/>
  <c r="I214" i="22"/>
  <c r="H214" i="22"/>
  <c r="G214" i="22"/>
  <c r="D213" i="22"/>
  <c r="V212" i="22"/>
  <c r="U212" i="22"/>
  <c r="T212" i="22"/>
  <c r="L220" i="22" s="1"/>
  <c r="S212" i="22"/>
  <c r="R212" i="22"/>
  <c r="Q212" i="22"/>
  <c r="J219" i="22" s="1"/>
  <c r="F212" i="22"/>
  <c r="E212" i="22"/>
  <c r="B212" i="22"/>
  <c r="AA209" i="22"/>
  <c r="Z209" i="22"/>
  <c r="Y209" i="22"/>
  <c r="K208" i="22"/>
  <c r="F208" i="22"/>
  <c r="K207" i="22"/>
  <c r="K206" i="22" s="1"/>
  <c r="I207" i="22"/>
  <c r="I206" i="22" s="1"/>
  <c r="G207" i="22"/>
  <c r="G206" i="22" s="1"/>
  <c r="H206" i="22"/>
  <c r="AA204" i="22"/>
  <c r="Z204" i="22"/>
  <c r="Y204" i="22"/>
  <c r="X204" i="22"/>
  <c r="P204" i="22"/>
  <c r="O204" i="22"/>
  <c r="K204" i="22"/>
  <c r="I204" i="22"/>
  <c r="J203" i="22"/>
  <c r="I203" i="22"/>
  <c r="H203" i="22"/>
  <c r="F203" i="22"/>
  <c r="K202" i="22"/>
  <c r="F202" i="22"/>
  <c r="K201" i="22"/>
  <c r="F201" i="22"/>
  <c r="K200" i="22"/>
  <c r="F200" i="22"/>
  <c r="AA199" i="22"/>
  <c r="Z199" i="22"/>
  <c r="Y199" i="22"/>
  <c r="X199" i="22"/>
  <c r="V199" i="22"/>
  <c r="U199" i="22"/>
  <c r="T199" i="22"/>
  <c r="S199" i="22"/>
  <c r="R199" i="22"/>
  <c r="Q199" i="22"/>
  <c r="K199" i="22"/>
  <c r="I199" i="22"/>
  <c r="G199" i="22"/>
  <c r="F199" i="22"/>
  <c r="E199" i="22"/>
  <c r="C199" i="22"/>
  <c r="B199" i="22"/>
  <c r="K198" i="22"/>
  <c r="I198" i="22"/>
  <c r="H198" i="22"/>
  <c r="G198" i="22"/>
  <c r="W197" i="22"/>
  <c r="K197" i="22"/>
  <c r="I197" i="22"/>
  <c r="H197" i="22"/>
  <c r="G197" i="22"/>
  <c r="K196" i="22"/>
  <c r="I196" i="22"/>
  <c r="H196" i="22"/>
  <c r="G196" i="22"/>
  <c r="W195" i="22"/>
  <c r="K195" i="22"/>
  <c r="I195" i="22"/>
  <c r="H195" i="22"/>
  <c r="G195" i="22"/>
  <c r="D194" i="22"/>
  <c r="V193" i="22"/>
  <c r="U193" i="22"/>
  <c r="T193" i="22"/>
  <c r="S193" i="22"/>
  <c r="R193" i="22"/>
  <c r="Q193" i="22"/>
  <c r="F193" i="22"/>
  <c r="E193" i="22"/>
  <c r="B193" i="22"/>
  <c r="AA190" i="22"/>
  <c r="Z190" i="22"/>
  <c r="Y190" i="22"/>
  <c r="K189" i="22"/>
  <c r="F189" i="22"/>
  <c r="K188" i="22"/>
  <c r="K187" i="22" s="1"/>
  <c r="I188" i="22"/>
  <c r="I187" i="22" s="1"/>
  <c r="G188" i="22"/>
  <c r="H187" i="22"/>
  <c r="AA185" i="22"/>
  <c r="Z185" i="22"/>
  <c r="Y185" i="22"/>
  <c r="J184" i="22"/>
  <c r="I184" i="22"/>
  <c r="H184" i="22"/>
  <c r="F184" i="22"/>
  <c r="K183" i="22"/>
  <c r="F183" i="22"/>
  <c r="K182" i="22"/>
  <c r="F182" i="22"/>
  <c r="K181" i="22"/>
  <c r="F181" i="22"/>
  <c r="AA180" i="22"/>
  <c r="Z180" i="22"/>
  <c r="Y180" i="22"/>
  <c r="V180" i="22"/>
  <c r="U180" i="22"/>
  <c r="T180" i="22"/>
  <c r="S180" i="22"/>
  <c r="R180" i="22"/>
  <c r="Q180" i="22"/>
  <c r="L180" i="22"/>
  <c r="K180" i="22"/>
  <c r="J180" i="22"/>
  <c r="X180" i="22" s="1"/>
  <c r="I180" i="22"/>
  <c r="G180" i="22"/>
  <c r="F180" i="22"/>
  <c r="E180" i="22"/>
  <c r="C180" i="22"/>
  <c r="B180" i="22"/>
  <c r="L179" i="22"/>
  <c r="K179" i="22"/>
  <c r="J179" i="22"/>
  <c r="I179" i="22"/>
  <c r="H179" i="22"/>
  <c r="G179" i="22"/>
  <c r="K178" i="22"/>
  <c r="I178" i="22"/>
  <c r="H178" i="22"/>
  <c r="G178" i="22"/>
  <c r="K177" i="22"/>
  <c r="I177" i="22"/>
  <c r="H177" i="22"/>
  <c r="G177" i="22"/>
  <c r="L176" i="22"/>
  <c r="K176" i="22"/>
  <c r="J176" i="22"/>
  <c r="W176" i="22" s="1"/>
  <c r="I176" i="22"/>
  <c r="H176" i="22"/>
  <c r="G176" i="22"/>
  <c r="D175" i="22"/>
  <c r="V174" i="22"/>
  <c r="U174" i="22"/>
  <c r="T174" i="22"/>
  <c r="S174" i="22"/>
  <c r="J182" i="22" s="1"/>
  <c r="R174" i="22"/>
  <c r="L181" i="22" s="1"/>
  <c r="Q174" i="22"/>
  <c r="J181" i="22" s="1"/>
  <c r="F174" i="22"/>
  <c r="E174" i="22"/>
  <c r="B174" i="22"/>
  <c r="AA171" i="22"/>
  <c r="Z171" i="22"/>
  <c r="Y171" i="22"/>
  <c r="K170" i="22"/>
  <c r="F170" i="22"/>
  <c r="K169" i="22"/>
  <c r="K168" i="22" s="1"/>
  <c r="I169" i="22"/>
  <c r="I168" i="22" s="1"/>
  <c r="G169" i="22"/>
  <c r="G168" i="22" s="1"/>
  <c r="H168" i="22"/>
  <c r="AA166" i="22"/>
  <c r="Z166" i="22"/>
  <c r="Y166" i="22"/>
  <c r="J165" i="22"/>
  <c r="I165" i="22"/>
  <c r="H165" i="22"/>
  <c r="F165" i="22"/>
  <c r="K164" i="22"/>
  <c r="F164" i="22"/>
  <c r="K163" i="22"/>
  <c r="F163" i="22"/>
  <c r="K162" i="22"/>
  <c r="F162" i="22"/>
  <c r="AA161" i="22"/>
  <c r="Z161" i="22"/>
  <c r="Y161" i="22"/>
  <c r="V161" i="22"/>
  <c r="U161" i="22"/>
  <c r="T161" i="22"/>
  <c r="S161" i="22"/>
  <c r="R161" i="22"/>
  <c r="Q161" i="22"/>
  <c r="L161" i="22"/>
  <c r="K161" i="22"/>
  <c r="J161" i="22"/>
  <c r="X161" i="22" s="1"/>
  <c r="I161" i="22"/>
  <c r="G161" i="22"/>
  <c r="F161" i="22"/>
  <c r="E161" i="22"/>
  <c r="C161" i="22"/>
  <c r="B161" i="22"/>
  <c r="L160" i="22"/>
  <c r="K160" i="22"/>
  <c r="J160" i="22"/>
  <c r="I160" i="22"/>
  <c r="H160" i="22"/>
  <c r="G160" i="22"/>
  <c r="K159" i="22"/>
  <c r="I159" i="22"/>
  <c r="H159" i="22"/>
  <c r="G159" i="22"/>
  <c r="K158" i="22"/>
  <c r="I158" i="22"/>
  <c r="H158" i="22"/>
  <c r="G158" i="22"/>
  <c r="L157" i="22"/>
  <c r="K157" i="22"/>
  <c r="J157" i="22"/>
  <c r="W157" i="22" s="1"/>
  <c r="I157" i="22"/>
  <c r="H157" i="22"/>
  <c r="G157" i="22"/>
  <c r="D156" i="22"/>
  <c r="V155" i="22"/>
  <c r="U155" i="22"/>
  <c r="T155" i="22"/>
  <c r="S155" i="22"/>
  <c r="J163" i="22" s="1"/>
  <c r="R155" i="22"/>
  <c r="Q155" i="22"/>
  <c r="F155" i="22"/>
  <c r="E155" i="22"/>
  <c r="B155" i="22"/>
  <c r="AA152" i="22"/>
  <c r="Z152" i="22"/>
  <c r="Y152" i="22"/>
  <c r="K151" i="22"/>
  <c r="F151" i="22"/>
  <c r="K150" i="22"/>
  <c r="K149" i="22" s="1"/>
  <c r="I150" i="22"/>
  <c r="I149" i="22" s="1"/>
  <c r="G150" i="22"/>
  <c r="G149" i="22" s="1"/>
  <c r="H149" i="22"/>
  <c r="AA147" i="22"/>
  <c r="Z147" i="22"/>
  <c r="Y147" i="22"/>
  <c r="J146" i="22"/>
  <c r="I146" i="22"/>
  <c r="H146" i="22"/>
  <c r="F146" i="22"/>
  <c r="K145" i="22"/>
  <c r="F145" i="22"/>
  <c r="K144" i="22"/>
  <c r="F144" i="22"/>
  <c r="K143" i="22"/>
  <c r="F143" i="22"/>
  <c r="AA142" i="22"/>
  <c r="Z142" i="22"/>
  <c r="Y142" i="22"/>
  <c r="V142" i="22"/>
  <c r="U142" i="22"/>
  <c r="T142" i="22"/>
  <c r="S142" i="22"/>
  <c r="R142" i="22"/>
  <c r="Q142" i="22"/>
  <c r="L142" i="22"/>
  <c r="K142" i="22"/>
  <c r="J142" i="22"/>
  <c r="X142" i="22" s="1"/>
  <c r="I142" i="22"/>
  <c r="G142" i="22"/>
  <c r="F142" i="22"/>
  <c r="E142" i="22"/>
  <c r="C142" i="22"/>
  <c r="B142" i="22"/>
  <c r="L141" i="22"/>
  <c r="K141" i="22"/>
  <c r="J141" i="22"/>
  <c r="I141" i="22"/>
  <c r="H141" i="22"/>
  <c r="G141" i="22"/>
  <c r="K140" i="22"/>
  <c r="I140" i="22"/>
  <c r="H140" i="22"/>
  <c r="G140" i="22"/>
  <c r="K139" i="22"/>
  <c r="I139" i="22"/>
  <c r="H139" i="22"/>
  <c r="G139" i="22"/>
  <c r="L138" i="22"/>
  <c r="K138" i="22"/>
  <c r="J138" i="22"/>
  <c r="W138" i="22" s="1"/>
  <c r="I138" i="22"/>
  <c r="H138" i="22"/>
  <c r="G138" i="22"/>
  <c r="D137" i="22"/>
  <c r="V136" i="22"/>
  <c r="U136" i="22"/>
  <c r="T136" i="22"/>
  <c r="L144" i="22" s="1"/>
  <c r="S136" i="22"/>
  <c r="R136" i="22"/>
  <c r="Q136" i="22"/>
  <c r="F136" i="22"/>
  <c r="E136" i="22"/>
  <c r="B136" i="22"/>
  <c r="AA135" i="22"/>
  <c r="Z135" i="22"/>
  <c r="Y135" i="22"/>
  <c r="X135" i="22"/>
  <c r="P135" i="22"/>
  <c r="O135" i="22"/>
  <c r="K135" i="22"/>
  <c r="I135" i="22"/>
  <c r="V134" i="22"/>
  <c r="U134" i="22"/>
  <c r="T134" i="22"/>
  <c r="S134" i="22"/>
  <c r="R134" i="22"/>
  <c r="Q134" i="22"/>
  <c r="I134" i="22"/>
  <c r="H134" i="22"/>
  <c r="G134" i="22"/>
  <c r="F134" i="22"/>
  <c r="E134" i="22"/>
  <c r="C134" i="22"/>
  <c r="B134" i="22"/>
  <c r="AA133" i="22"/>
  <c r="Z133" i="22"/>
  <c r="Y133" i="22"/>
  <c r="V132" i="22"/>
  <c r="U132" i="22"/>
  <c r="T132" i="22"/>
  <c r="S132" i="22"/>
  <c r="R132" i="22"/>
  <c r="Q132" i="22"/>
  <c r="L132" i="22"/>
  <c r="K133" i="22" s="1"/>
  <c r="K132" i="22"/>
  <c r="J132" i="22"/>
  <c r="I132" i="22"/>
  <c r="H132" i="22"/>
  <c r="G132" i="22"/>
  <c r="F132" i="22"/>
  <c r="E132" i="22"/>
  <c r="C132" i="22"/>
  <c r="B132" i="22"/>
  <c r="AA129" i="22"/>
  <c r="Z129" i="22"/>
  <c r="Y129" i="22"/>
  <c r="K128" i="22"/>
  <c r="F128" i="22"/>
  <c r="K127" i="22"/>
  <c r="K126" i="22" s="1"/>
  <c r="I127" i="22"/>
  <c r="I126" i="22" s="1"/>
  <c r="G127" i="22"/>
  <c r="G126" i="22" s="1"/>
  <c r="H126" i="22"/>
  <c r="AA124" i="22"/>
  <c r="Z124" i="22"/>
  <c r="Y124" i="22"/>
  <c r="J123" i="22"/>
  <c r="I123" i="22"/>
  <c r="H123" i="22"/>
  <c r="F123" i="22"/>
  <c r="K122" i="22"/>
  <c r="F122" i="22"/>
  <c r="K121" i="22"/>
  <c r="F121" i="22"/>
  <c r="K120" i="22"/>
  <c r="F120" i="22"/>
  <c r="L119" i="22"/>
  <c r="K119" i="22"/>
  <c r="J119" i="22"/>
  <c r="I119" i="22"/>
  <c r="H119" i="22"/>
  <c r="G119" i="22"/>
  <c r="K118" i="22"/>
  <c r="I118" i="22"/>
  <c r="H118" i="22"/>
  <c r="G118" i="22"/>
  <c r="K117" i="22"/>
  <c r="I117" i="22"/>
  <c r="H117" i="22"/>
  <c r="G117" i="22"/>
  <c r="L116" i="22"/>
  <c r="K116" i="22"/>
  <c r="J116" i="22"/>
  <c r="W116" i="22" s="1"/>
  <c r="I116" i="22"/>
  <c r="H116" i="22"/>
  <c r="G116" i="22"/>
  <c r="V115" i="22"/>
  <c r="U115" i="22"/>
  <c r="T115" i="22"/>
  <c r="L121" i="22" s="1"/>
  <c r="S115" i="22"/>
  <c r="J121" i="22" s="1"/>
  <c r="R115" i="22"/>
  <c r="L120" i="22" s="1"/>
  <c r="Q115" i="22"/>
  <c r="J120" i="22" s="1"/>
  <c r="F115" i="22"/>
  <c r="E115" i="22"/>
  <c r="B115" i="22"/>
  <c r="AA114" i="22"/>
  <c r="Z114" i="22"/>
  <c r="Y114" i="22"/>
  <c r="X114" i="22"/>
  <c r="P114" i="22"/>
  <c r="O114" i="22"/>
  <c r="K114" i="22"/>
  <c r="I114" i="22"/>
  <c r="V113" i="22"/>
  <c r="U113" i="22"/>
  <c r="T113" i="22"/>
  <c r="S113" i="22"/>
  <c r="R113" i="22"/>
  <c r="Q113" i="22"/>
  <c r="I113" i="22"/>
  <c r="H113" i="22"/>
  <c r="G113" i="22"/>
  <c r="F113" i="22"/>
  <c r="E113" i="22"/>
  <c r="C113" i="22"/>
  <c r="B113" i="22"/>
  <c r="AA110" i="22"/>
  <c r="Z110" i="22"/>
  <c r="Y110" i="22"/>
  <c r="K109" i="22"/>
  <c r="F109" i="22"/>
  <c r="K108" i="22"/>
  <c r="K107" i="22" s="1"/>
  <c r="I108" i="22"/>
  <c r="I107" i="22" s="1"/>
  <c r="G108" i="22"/>
  <c r="G107" i="22" s="1"/>
  <c r="H107" i="22"/>
  <c r="AA105" i="22"/>
  <c r="Z105" i="22"/>
  <c r="Y105" i="22"/>
  <c r="J104" i="22"/>
  <c r="I104" i="22"/>
  <c r="H104" i="22"/>
  <c r="F104" i="22"/>
  <c r="K103" i="22"/>
  <c r="F103" i="22"/>
  <c r="K102" i="22"/>
  <c r="F102" i="22"/>
  <c r="K101" i="22"/>
  <c r="F101" i="22"/>
  <c r="L100" i="22"/>
  <c r="K100" i="22"/>
  <c r="J100" i="22"/>
  <c r="I100" i="22"/>
  <c r="H100" i="22"/>
  <c r="G100" i="22"/>
  <c r="K99" i="22"/>
  <c r="I99" i="22"/>
  <c r="H99" i="22"/>
  <c r="G99" i="22"/>
  <c r="K98" i="22"/>
  <c r="I98" i="22"/>
  <c r="H98" i="22"/>
  <c r="G98" i="22"/>
  <c r="L97" i="22"/>
  <c r="K97" i="22"/>
  <c r="J97" i="22"/>
  <c r="W97" i="22" s="1"/>
  <c r="I97" i="22"/>
  <c r="H97" i="22"/>
  <c r="G97" i="22"/>
  <c r="V96" i="22"/>
  <c r="U96" i="22"/>
  <c r="T96" i="22"/>
  <c r="L102" i="22" s="1"/>
  <c r="S96" i="22"/>
  <c r="J102" i="22" s="1"/>
  <c r="R96" i="22"/>
  <c r="L101" i="22" s="1"/>
  <c r="Q96" i="22"/>
  <c r="J101" i="22" s="1"/>
  <c r="F96" i="22"/>
  <c r="E96" i="22"/>
  <c r="B96" i="22"/>
  <c r="AA95" i="22"/>
  <c r="Z95" i="22"/>
  <c r="Y95" i="22"/>
  <c r="X95" i="22"/>
  <c r="P95" i="22"/>
  <c r="O95" i="22"/>
  <c r="K95" i="22"/>
  <c r="I95" i="22"/>
  <c r="V94" i="22"/>
  <c r="U94" i="22"/>
  <c r="T94" i="22"/>
  <c r="S94" i="22"/>
  <c r="R94" i="22"/>
  <c r="Q94" i="22"/>
  <c r="I94" i="22"/>
  <c r="H94" i="22"/>
  <c r="G94" i="22"/>
  <c r="F94" i="22"/>
  <c r="E94" i="22"/>
  <c r="C94" i="22"/>
  <c r="B94" i="22"/>
  <c r="AA93" i="22"/>
  <c r="Z93" i="22"/>
  <c r="Y93" i="22"/>
  <c r="P93" i="22"/>
  <c r="K93" i="22"/>
  <c r="V92" i="22"/>
  <c r="U92" i="22"/>
  <c r="T92" i="22"/>
  <c r="S92" i="22"/>
  <c r="R92" i="22"/>
  <c r="Q92" i="22"/>
  <c r="K92" i="22"/>
  <c r="J92" i="22"/>
  <c r="X93" i="22" s="1"/>
  <c r="I92" i="22"/>
  <c r="H92" i="22"/>
  <c r="G92" i="22"/>
  <c r="F92" i="22"/>
  <c r="E92" i="22"/>
  <c r="C92" i="22"/>
  <c r="B92" i="22"/>
  <c r="AA91" i="22"/>
  <c r="Z91" i="22"/>
  <c r="Y91" i="22"/>
  <c r="X91" i="22"/>
  <c r="P91" i="22"/>
  <c r="O91" i="22"/>
  <c r="K91" i="22"/>
  <c r="I91" i="22"/>
  <c r="V90" i="22"/>
  <c r="U90" i="22"/>
  <c r="T90" i="22"/>
  <c r="S90" i="22"/>
  <c r="R90" i="22"/>
  <c r="Q90" i="22"/>
  <c r="K90" i="22"/>
  <c r="I90" i="22"/>
  <c r="H90" i="22"/>
  <c r="G90" i="22"/>
  <c r="F90" i="22"/>
  <c r="E90" i="22"/>
  <c r="C90" i="22"/>
  <c r="B90" i="22"/>
  <c r="AA87" i="22"/>
  <c r="Z87" i="22"/>
  <c r="Y87" i="22"/>
  <c r="K86" i="22"/>
  <c r="F86" i="22"/>
  <c r="K85" i="22"/>
  <c r="I85" i="22"/>
  <c r="I84" i="22" s="1"/>
  <c r="G85" i="22"/>
  <c r="G84" i="22" s="1"/>
  <c r="H84" i="22"/>
  <c r="AA82" i="22"/>
  <c r="Z82" i="22"/>
  <c r="Y82" i="22"/>
  <c r="J81" i="22"/>
  <c r="I81" i="22"/>
  <c r="H81" i="22"/>
  <c r="F81" i="22"/>
  <c r="K80" i="22"/>
  <c r="F80" i="22"/>
  <c r="K79" i="22"/>
  <c r="F79" i="22"/>
  <c r="K78" i="22"/>
  <c r="F78" i="22"/>
  <c r="L77" i="22"/>
  <c r="K77" i="22"/>
  <c r="J77" i="22"/>
  <c r="I77" i="22"/>
  <c r="H77" i="22"/>
  <c r="G77" i="22"/>
  <c r="K76" i="22"/>
  <c r="I76" i="22"/>
  <c r="H76" i="22"/>
  <c r="G76" i="22"/>
  <c r="K75" i="22"/>
  <c r="I75" i="22"/>
  <c r="H75" i="22"/>
  <c r="G75" i="22"/>
  <c r="L74" i="22"/>
  <c r="K74" i="22"/>
  <c r="J74" i="22"/>
  <c r="W74" i="22" s="1"/>
  <c r="I74" i="22"/>
  <c r="H74" i="22"/>
  <c r="G74" i="22"/>
  <c r="V73" i="22"/>
  <c r="U73" i="22"/>
  <c r="T73" i="22"/>
  <c r="L79" i="22" s="1"/>
  <c r="S73" i="22"/>
  <c r="J79" i="22" s="1"/>
  <c r="R73" i="22"/>
  <c r="L78" i="22" s="1"/>
  <c r="Q73" i="22"/>
  <c r="J78" i="22" s="1"/>
  <c r="F73" i="22"/>
  <c r="E73" i="22"/>
  <c r="B73" i="22"/>
  <c r="AA72" i="22"/>
  <c r="Z72" i="22"/>
  <c r="Y72" i="22"/>
  <c r="V71" i="22"/>
  <c r="U71" i="22"/>
  <c r="T71" i="22"/>
  <c r="S71" i="22"/>
  <c r="R71" i="22"/>
  <c r="Q71" i="22"/>
  <c r="L71" i="22"/>
  <c r="K72" i="22" s="1"/>
  <c r="K71" i="22"/>
  <c r="J71" i="22"/>
  <c r="O72" i="22" s="1"/>
  <c r="I71" i="22"/>
  <c r="H71" i="22"/>
  <c r="G71" i="22"/>
  <c r="F71" i="22"/>
  <c r="E71" i="22"/>
  <c r="B71" i="22"/>
  <c r="AA68" i="22"/>
  <c r="Z68" i="22"/>
  <c r="Y68" i="22"/>
  <c r="K67" i="22"/>
  <c r="F67" i="22"/>
  <c r="K66" i="22"/>
  <c r="K65" i="22" s="1"/>
  <c r="I66" i="22"/>
  <c r="I65" i="22" s="1"/>
  <c r="G66" i="22"/>
  <c r="G65" i="22" s="1"/>
  <c r="H65" i="22"/>
  <c r="AA63" i="22"/>
  <c r="Z63" i="22"/>
  <c r="Y63" i="22"/>
  <c r="J62" i="22"/>
  <c r="I62" i="22"/>
  <c r="H62" i="22"/>
  <c r="F62" i="22"/>
  <c r="K61" i="22"/>
  <c r="F61" i="22"/>
  <c r="K60" i="22"/>
  <c r="F60" i="22"/>
  <c r="K59" i="22"/>
  <c r="F59" i="22"/>
  <c r="L58" i="22"/>
  <c r="K58" i="22"/>
  <c r="J58" i="22"/>
  <c r="I58" i="22"/>
  <c r="H58" i="22"/>
  <c r="G58" i="22"/>
  <c r="K57" i="22"/>
  <c r="I57" i="22"/>
  <c r="H57" i="22"/>
  <c r="G57" i="22"/>
  <c r="K56" i="22"/>
  <c r="I56" i="22"/>
  <c r="H56" i="22"/>
  <c r="G56" i="22"/>
  <c r="L55" i="22"/>
  <c r="K55" i="22"/>
  <c r="J55" i="22"/>
  <c r="W55" i="22" s="1"/>
  <c r="I55" i="22"/>
  <c r="H55" i="22"/>
  <c r="G55" i="22"/>
  <c r="V54" i="22"/>
  <c r="U54" i="22"/>
  <c r="T54" i="22"/>
  <c r="L60" i="22" s="1"/>
  <c r="S54" i="22"/>
  <c r="J60" i="22" s="1"/>
  <c r="R54" i="22"/>
  <c r="L59" i="22" s="1"/>
  <c r="Q54" i="22"/>
  <c r="J59" i="22" s="1"/>
  <c r="F54" i="22"/>
  <c r="E54" i="22"/>
  <c r="B54" i="22"/>
  <c r="D53" i="22"/>
  <c r="A52" i="22"/>
  <c r="A50" i="22"/>
  <c r="J24" i="22"/>
  <c r="J21" i="22"/>
  <c r="AJ19" i="22"/>
  <c r="J18" i="22"/>
  <c r="A1" i="22"/>
  <c r="O21" i="10" l="1"/>
  <c r="X237" i="22"/>
  <c r="I265" i="22"/>
  <c r="J278" i="22" s="1"/>
  <c r="J150" i="22"/>
  <c r="J149" i="22" s="1"/>
  <c r="J139" i="22" s="1"/>
  <c r="L277" i="22"/>
  <c r="L280" i="22" s="1"/>
  <c r="Q21" i="10" s="1"/>
  <c r="J188" i="22"/>
  <c r="J189" i="22" s="1"/>
  <c r="I190" i="22" s="1"/>
  <c r="X190" i="22" s="1"/>
  <c r="J66" i="22"/>
  <c r="J67" i="22" s="1"/>
  <c r="I68" i="22" s="1"/>
  <c r="O68" i="22" s="1"/>
  <c r="L226" i="22"/>
  <c r="J108" i="22"/>
  <c r="J99" i="22" s="1"/>
  <c r="W99" i="22" s="1"/>
  <c r="L188" i="22"/>
  <c r="L187" i="22" s="1"/>
  <c r="L177" i="22" s="1"/>
  <c r="L162" i="22"/>
  <c r="L182" i="22"/>
  <c r="G187" i="22"/>
  <c r="L143" i="22"/>
  <c r="J238" i="22"/>
  <c r="L127" i="22"/>
  <c r="L219" i="22"/>
  <c r="L85" i="22"/>
  <c r="L84" i="22" s="1"/>
  <c r="L75" i="22" s="1"/>
  <c r="O93" i="22"/>
  <c r="L108" i="22"/>
  <c r="L107" i="22" s="1"/>
  <c r="L98" i="22" s="1"/>
  <c r="J127" i="22"/>
  <c r="J118" i="22" s="1"/>
  <c r="W118" i="22" s="1"/>
  <c r="L150" i="22"/>
  <c r="L149" i="22" s="1"/>
  <c r="L139" i="22" s="1"/>
  <c r="L163" i="22"/>
  <c r="J226" i="22"/>
  <c r="J225" i="22" s="1"/>
  <c r="J215" i="22" s="1"/>
  <c r="P72" i="22"/>
  <c r="K84" i="22"/>
  <c r="P133" i="22"/>
  <c r="J162" i="22"/>
  <c r="G225" i="22"/>
  <c r="L86" i="22"/>
  <c r="J151" i="22"/>
  <c r="J140" i="22"/>
  <c r="W140" i="22" s="1"/>
  <c r="W233" i="22"/>
  <c r="I267" i="22"/>
  <c r="I72" i="22"/>
  <c r="O133" i="22"/>
  <c r="I133" i="22"/>
  <c r="L225" i="22"/>
  <c r="L215" i="22" s="1"/>
  <c r="L216" i="22"/>
  <c r="L227" i="22"/>
  <c r="W150" i="22"/>
  <c r="L66" i="22"/>
  <c r="X72" i="22"/>
  <c r="X133" i="22"/>
  <c r="J143" i="22"/>
  <c r="L286" i="22"/>
  <c r="L289" i="22" s="1"/>
  <c r="R21" i="10" s="1"/>
  <c r="L207" i="22"/>
  <c r="J207" i="22"/>
  <c r="J245" i="22"/>
  <c r="J169" i="22"/>
  <c r="J220" i="22"/>
  <c r="L245" i="22"/>
  <c r="J85" i="22"/>
  <c r="I93" i="22"/>
  <c r="J144" i="22"/>
  <c r="I269" i="22" s="1"/>
  <c r="L169" i="22"/>
  <c r="O190" i="22" l="1"/>
  <c r="J183" i="22"/>
  <c r="L151" i="22"/>
  <c r="L140" i="22"/>
  <c r="J287" i="22"/>
  <c r="N21" i="10"/>
  <c r="X68" i="22"/>
  <c r="W188" i="22"/>
  <c r="J178" i="22"/>
  <c r="W178" i="22" s="1"/>
  <c r="J65" i="22"/>
  <c r="J56" i="22" s="1"/>
  <c r="O63" i="22" s="1"/>
  <c r="L76" i="22"/>
  <c r="J61" i="22"/>
  <c r="J57" i="22"/>
  <c r="W57" i="22" s="1"/>
  <c r="J187" i="22"/>
  <c r="J177" i="22" s="1"/>
  <c r="I185" i="22" s="1"/>
  <c r="I192" i="22" s="1"/>
  <c r="J128" i="22"/>
  <c r="W66" i="22"/>
  <c r="W108" i="22"/>
  <c r="J126" i="22"/>
  <c r="J117" i="22" s="1"/>
  <c r="L109" i="22"/>
  <c r="W127" i="22"/>
  <c r="J227" i="22"/>
  <c r="I228" i="22" s="1"/>
  <c r="L178" i="22"/>
  <c r="L189" i="22"/>
  <c r="K190" i="22" s="1"/>
  <c r="P190" i="22" s="1"/>
  <c r="J109" i="22"/>
  <c r="J107" i="22"/>
  <c r="J98" i="22" s="1"/>
  <c r="J216" i="22"/>
  <c r="W216" i="22" s="1"/>
  <c r="W226" i="22"/>
  <c r="L99" i="22"/>
  <c r="L128" i="22"/>
  <c r="L126" i="22"/>
  <c r="L117" i="22" s="1"/>
  <c r="L118" i="22"/>
  <c r="I268" i="22"/>
  <c r="K152" i="22"/>
  <c r="P152" i="22" s="1"/>
  <c r="L145" i="22"/>
  <c r="K147" i="22" s="1"/>
  <c r="K228" i="22"/>
  <c r="P228" i="22" s="1"/>
  <c r="L221" i="22"/>
  <c r="K223" i="22" s="1"/>
  <c r="L246" i="22"/>
  <c r="L235" i="22"/>
  <c r="L244" i="22"/>
  <c r="L234" i="22" s="1"/>
  <c r="L208" i="22"/>
  <c r="K209" i="22" s="1"/>
  <c r="L206" i="22"/>
  <c r="L168" i="22"/>
  <c r="L158" i="22" s="1"/>
  <c r="L170" i="22"/>
  <c r="L159" i="22"/>
  <c r="W245" i="22"/>
  <c r="J246" i="22"/>
  <c r="J244" i="22"/>
  <c r="J234" i="22" s="1"/>
  <c r="J235" i="22"/>
  <c r="W235" i="22" s="1"/>
  <c r="J221" i="22"/>
  <c r="O223" i="22" s="1"/>
  <c r="O185" i="22"/>
  <c r="K110" i="22"/>
  <c r="P110" i="22" s="1"/>
  <c r="L103" i="22"/>
  <c r="K105" i="22" s="1"/>
  <c r="J122" i="22"/>
  <c r="I129" i="22"/>
  <c r="J145" i="22"/>
  <c r="X147" i="22" s="1"/>
  <c r="I152" i="22"/>
  <c r="J84" i="22"/>
  <c r="J75" i="22" s="1"/>
  <c r="W85" i="22"/>
  <c r="J76" i="22"/>
  <c r="J86" i="22"/>
  <c r="J170" i="22"/>
  <c r="J168" i="22"/>
  <c r="J158" i="22" s="1"/>
  <c r="J159" i="22"/>
  <c r="W159" i="22" s="1"/>
  <c r="W169" i="22"/>
  <c r="W207" i="22"/>
  <c r="J208" i="22"/>
  <c r="I209" i="22" s="1"/>
  <c r="J206" i="22"/>
  <c r="L295" i="22"/>
  <c r="L67" i="22"/>
  <c r="L57" i="22"/>
  <c r="L65" i="22"/>
  <c r="L56" i="22" s="1"/>
  <c r="K87" i="22"/>
  <c r="P87" i="22" s="1"/>
  <c r="L80" i="22"/>
  <c r="K82" i="22" s="1"/>
  <c r="P147" i="22" l="1"/>
  <c r="X63" i="22"/>
  <c r="I124" i="22"/>
  <c r="I131" i="22" s="1"/>
  <c r="I63" i="22"/>
  <c r="I70" i="22" s="1"/>
  <c r="X185" i="22"/>
  <c r="K89" i="22"/>
  <c r="O124" i="22"/>
  <c r="O147" i="22"/>
  <c r="K154" i="22"/>
  <c r="K112" i="22"/>
  <c r="P82" i="22"/>
  <c r="P223" i="22"/>
  <c r="L183" i="22"/>
  <c r="K185" i="22" s="1"/>
  <c r="K192" i="22" s="1"/>
  <c r="J103" i="22"/>
  <c r="I105" i="22" s="1"/>
  <c r="I110" i="22"/>
  <c r="X124" i="22"/>
  <c r="K129" i="22"/>
  <c r="P129" i="22" s="1"/>
  <c r="L122" i="22"/>
  <c r="P124" i="22" s="1"/>
  <c r="K230" i="22"/>
  <c r="I87" i="22"/>
  <c r="J80" i="22"/>
  <c r="I82" i="22" s="1"/>
  <c r="I89" i="22" s="1"/>
  <c r="I147" i="22"/>
  <c r="I154" i="22" s="1"/>
  <c r="X152" i="22"/>
  <c r="O152" i="22"/>
  <c r="P209" i="22"/>
  <c r="K211" i="22"/>
  <c r="X223" i="22"/>
  <c r="I171" i="22"/>
  <c r="J164" i="22"/>
  <c r="X166" i="22" s="1"/>
  <c r="O129" i="22"/>
  <c r="X129" i="22"/>
  <c r="K247" i="22"/>
  <c r="P247" i="22" s="1"/>
  <c r="L240" i="22"/>
  <c r="K242" i="22" s="1"/>
  <c r="I223" i="22"/>
  <c r="I230" i="22" s="1"/>
  <c r="L61" i="22"/>
  <c r="K63" i="22" s="1"/>
  <c r="K68" i="22"/>
  <c r="P68" i="22" s="1"/>
  <c r="W76" i="22"/>
  <c r="I266" i="22"/>
  <c r="J277" i="22" s="1"/>
  <c r="K171" i="22"/>
  <c r="P171" i="22" s="1"/>
  <c r="L164" i="22"/>
  <c r="K166" i="22" s="1"/>
  <c r="P242" i="22"/>
  <c r="P105" i="22"/>
  <c r="O209" i="22"/>
  <c r="X209" i="22"/>
  <c r="I211" i="22"/>
  <c r="X228" i="22"/>
  <c r="O228" i="22"/>
  <c r="I247" i="22"/>
  <c r="J240" i="22"/>
  <c r="X242" i="22" s="1"/>
  <c r="P166" i="22" l="1"/>
  <c r="I112" i="22"/>
  <c r="O166" i="22"/>
  <c r="P185" i="22"/>
  <c r="X105" i="22"/>
  <c r="O105" i="22"/>
  <c r="X110" i="22"/>
  <c r="O110" i="22"/>
  <c r="K124" i="22"/>
  <c r="K131" i="22" s="1"/>
  <c r="K249" i="22"/>
  <c r="O242" i="22"/>
  <c r="K70" i="22"/>
  <c r="K173" i="22"/>
  <c r="X82" i="22"/>
  <c r="I166" i="22"/>
  <c r="I173" i="22" s="1"/>
  <c r="J286" i="22"/>
  <c r="J289" i="22" s="1"/>
  <c r="J280" i="22"/>
  <c r="P21" i="10" s="1"/>
  <c r="O82" i="22"/>
  <c r="X171" i="22"/>
  <c r="O171" i="22"/>
  <c r="I242" i="22"/>
  <c r="I249" i="22" s="1"/>
  <c r="P63" i="22"/>
  <c r="X247" i="22"/>
  <c r="O247" i="22"/>
  <c r="X87" i="22"/>
  <c r="O87" i="22"/>
  <c r="K251" i="22" l="1"/>
  <c r="K255" i="22"/>
  <c r="K262" i="22"/>
  <c r="L275" i="22" s="1"/>
  <c r="I255" i="22"/>
  <c r="I262" i="22"/>
  <c r="J275" i="22" s="1"/>
  <c r="I251" i="22"/>
  <c r="J295" i="22"/>
  <c r="L284" i="22" l="1"/>
  <c r="L281" i="22"/>
  <c r="L276" i="22"/>
  <c r="F21" i="10" s="1"/>
  <c r="J284" i="22"/>
  <c r="J276" i="22"/>
  <c r="E21" i="10" s="1"/>
  <c r="J281" i="22"/>
  <c r="J285" i="22" l="1"/>
  <c r="J294" i="22" s="1"/>
  <c r="J290" i="22"/>
  <c r="J293" i="22" s="1"/>
  <c r="L285" i="22"/>
  <c r="L290" i="22"/>
  <c r="L293" i="22" s="1"/>
  <c r="L294" i="22" l="1"/>
  <c r="G21" i="10"/>
  <c r="K64" i="16" l="1"/>
  <c r="E60" i="11" l="1"/>
  <c r="C60" i="11" s="1"/>
  <c r="F60" i="11"/>
  <c r="H23" i="10" l="1"/>
  <c r="I23" i="10"/>
  <c r="J23" i="10"/>
  <c r="K23" i="10"/>
  <c r="L23" i="10"/>
  <c r="M23" i="10"/>
  <c r="V23" i="10"/>
  <c r="W23" i="10"/>
  <c r="D22" i="10"/>
  <c r="C22" i="10"/>
  <c r="C20" i="10"/>
  <c r="D20" i="10"/>
  <c r="C19" i="10"/>
  <c r="D19" i="10"/>
  <c r="D18" i="10"/>
  <c r="C18" i="10"/>
  <c r="D17" i="10"/>
  <c r="C17" i="10"/>
  <c r="C16" i="10"/>
  <c r="D15" i="10"/>
  <c r="C15" i="10"/>
  <c r="D14" i="10"/>
  <c r="C14" i="10"/>
  <c r="D13" i="10"/>
  <c r="C13" i="10"/>
  <c r="AK424" i="21"/>
  <c r="AK423" i="21"/>
  <c r="H170" i="19"/>
  <c r="H168" i="19"/>
  <c r="H166" i="19"/>
  <c r="H164" i="19"/>
  <c r="I94" i="15" l="1"/>
  <c r="K92" i="15"/>
  <c r="I92" i="15"/>
  <c r="L26" i="12"/>
  <c r="L395" i="21"/>
  <c r="K391" i="21"/>
  <c r="D391" i="21"/>
  <c r="K390" i="21"/>
  <c r="D390" i="21"/>
  <c r="K389" i="21"/>
  <c r="D389" i="21"/>
  <c r="K388" i="21"/>
  <c r="D388" i="21"/>
  <c r="K387" i="21"/>
  <c r="L400" i="21" s="1"/>
  <c r="O22" i="10" s="1"/>
  <c r="D387" i="21"/>
  <c r="K386" i="21"/>
  <c r="J386" i="21"/>
  <c r="K385" i="21"/>
  <c r="J385" i="21"/>
  <c r="AL384" i="21"/>
  <c r="A384" i="21"/>
  <c r="K382" i="21"/>
  <c r="J382" i="21"/>
  <c r="K381" i="21"/>
  <c r="J381" i="21"/>
  <c r="A380" i="21"/>
  <c r="K378" i="21"/>
  <c r="J378" i="21"/>
  <c r="K377" i="21"/>
  <c r="J377" i="21"/>
  <c r="A376" i="21"/>
  <c r="AA374" i="21"/>
  <c r="Z374" i="21"/>
  <c r="Y374" i="21"/>
  <c r="D373" i="21"/>
  <c r="V372" i="21"/>
  <c r="U372" i="21"/>
  <c r="T372" i="21"/>
  <c r="S372" i="21"/>
  <c r="R372" i="21"/>
  <c r="Q372" i="21"/>
  <c r="F372" i="21"/>
  <c r="L372" i="21" s="1"/>
  <c r="P374" i="21" s="1"/>
  <c r="E372" i="21"/>
  <c r="C372" i="21"/>
  <c r="B372" i="21"/>
  <c r="AA369" i="21"/>
  <c r="Z369" i="21"/>
  <c r="Y369" i="21"/>
  <c r="K368" i="21"/>
  <c r="F368" i="21"/>
  <c r="K367" i="21"/>
  <c r="K366" i="21" s="1"/>
  <c r="I367" i="21"/>
  <c r="I366" i="21" s="1"/>
  <c r="G367" i="21"/>
  <c r="G366" i="21" s="1"/>
  <c r="H366" i="21"/>
  <c r="AA364" i="21"/>
  <c r="Z364" i="21"/>
  <c r="Y364" i="21"/>
  <c r="J363" i="21"/>
  <c r="I363" i="21"/>
  <c r="H363" i="21"/>
  <c r="F363" i="21"/>
  <c r="K362" i="21"/>
  <c r="F362" i="21"/>
  <c r="K361" i="21"/>
  <c r="F361" i="21"/>
  <c r="K360" i="21"/>
  <c r="F360" i="21"/>
  <c r="L359" i="21"/>
  <c r="K359" i="21"/>
  <c r="J359" i="21"/>
  <c r="I359" i="21"/>
  <c r="H359" i="21"/>
  <c r="G359" i="21"/>
  <c r="K358" i="21"/>
  <c r="I358" i="21"/>
  <c r="H358" i="21"/>
  <c r="G358" i="21"/>
  <c r="K357" i="21"/>
  <c r="I357" i="21"/>
  <c r="H357" i="21"/>
  <c r="G357" i="21"/>
  <c r="L356" i="21"/>
  <c r="K356" i="21"/>
  <c r="J356" i="21"/>
  <c r="W356" i="21" s="1"/>
  <c r="I356" i="21"/>
  <c r="H356" i="21"/>
  <c r="G356" i="21"/>
  <c r="D355" i="21"/>
  <c r="V354" i="21"/>
  <c r="U354" i="21"/>
  <c r="T354" i="21"/>
  <c r="L361" i="21" s="1"/>
  <c r="S354" i="21"/>
  <c r="J361" i="21" s="1"/>
  <c r="R354" i="21"/>
  <c r="L360" i="21" s="1"/>
  <c r="Q354" i="21"/>
  <c r="J360" i="21" s="1"/>
  <c r="F354" i="21"/>
  <c r="E354" i="21"/>
  <c r="B354" i="21"/>
  <c r="AA351" i="21"/>
  <c r="Z351" i="21"/>
  <c r="Y351" i="21"/>
  <c r="K350" i="21"/>
  <c r="F350" i="21"/>
  <c r="K349" i="21"/>
  <c r="K348" i="21" s="1"/>
  <c r="I349" i="21"/>
  <c r="I348" i="21" s="1"/>
  <c r="G349" i="21"/>
  <c r="G348" i="21" s="1"/>
  <c r="H348" i="21"/>
  <c r="AA346" i="21"/>
  <c r="Z346" i="21"/>
  <c r="Y346" i="21"/>
  <c r="J345" i="21"/>
  <c r="I345" i="21"/>
  <c r="H345" i="21"/>
  <c r="F345" i="21"/>
  <c r="K344" i="21"/>
  <c r="F344" i="21"/>
  <c r="K343" i="21"/>
  <c r="F343" i="21"/>
  <c r="K342" i="21"/>
  <c r="F342" i="21"/>
  <c r="AA341" i="21"/>
  <c r="Z341" i="21"/>
  <c r="Y341" i="21"/>
  <c r="V341" i="21"/>
  <c r="U341" i="21"/>
  <c r="T341" i="21"/>
  <c r="S341" i="21"/>
  <c r="R341" i="21"/>
  <c r="Q341" i="21"/>
  <c r="L341" i="21"/>
  <c r="K341" i="21"/>
  <c r="J341" i="21"/>
  <c r="X341" i="21" s="1"/>
  <c r="I341" i="21"/>
  <c r="G341" i="21"/>
  <c r="F341" i="21"/>
  <c r="E341" i="21"/>
  <c r="C341" i="21"/>
  <c r="B341" i="21"/>
  <c r="L340" i="21"/>
  <c r="K340" i="21"/>
  <c r="J340" i="21"/>
  <c r="I340" i="21"/>
  <c r="H340" i="21"/>
  <c r="G340" i="21"/>
  <c r="K339" i="21"/>
  <c r="I339" i="21"/>
  <c r="H339" i="21"/>
  <c r="G339" i="21"/>
  <c r="K338" i="21"/>
  <c r="I338" i="21"/>
  <c r="H338" i="21"/>
  <c r="G338" i="21"/>
  <c r="L337" i="21"/>
  <c r="K337" i="21"/>
  <c r="J337" i="21"/>
  <c r="W337" i="21" s="1"/>
  <c r="I337" i="21"/>
  <c r="H337" i="21"/>
  <c r="G337" i="21"/>
  <c r="D336" i="21"/>
  <c r="V335" i="21"/>
  <c r="U335" i="21"/>
  <c r="T335" i="21"/>
  <c r="S335" i="21"/>
  <c r="R335" i="21"/>
  <c r="L342" i="21" s="1"/>
  <c r="Q335" i="21"/>
  <c r="J342" i="21" s="1"/>
  <c r="F335" i="21"/>
  <c r="E335" i="21"/>
  <c r="B335" i="21"/>
  <c r="AA334" i="21"/>
  <c r="Z334" i="21"/>
  <c r="Y334" i="21"/>
  <c r="D333" i="21"/>
  <c r="V332" i="21"/>
  <c r="U332" i="21"/>
  <c r="T332" i="21"/>
  <c r="S332" i="21"/>
  <c r="R332" i="21"/>
  <c r="Q332" i="21"/>
  <c r="L332" i="21"/>
  <c r="P334" i="21" s="1"/>
  <c r="K332" i="21"/>
  <c r="J332" i="21"/>
  <c r="O334" i="21" s="1"/>
  <c r="I332" i="21"/>
  <c r="H332" i="21"/>
  <c r="G332" i="21"/>
  <c r="F332" i="21"/>
  <c r="E332" i="21"/>
  <c r="B332" i="21"/>
  <c r="AA331" i="21"/>
  <c r="Z331" i="21"/>
  <c r="Y331" i="21"/>
  <c r="D330" i="21"/>
  <c r="V329" i="21"/>
  <c r="U329" i="21"/>
  <c r="T329" i="21"/>
  <c r="S329" i="21"/>
  <c r="R329" i="21"/>
  <c r="Q329" i="21"/>
  <c r="L329" i="21"/>
  <c r="P331" i="21" s="1"/>
  <c r="K329" i="21"/>
  <c r="J329" i="21"/>
  <c r="O331" i="21" s="1"/>
  <c r="I329" i="21"/>
  <c r="H329" i="21"/>
  <c r="G329" i="21"/>
  <c r="F329" i="21"/>
  <c r="E329" i="21"/>
  <c r="B329" i="21"/>
  <c r="AA326" i="21"/>
  <c r="Z326" i="21"/>
  <c r="Y326" i="21"/>
  <c r="K325" i="21"/>
  <c r="F325" i="21"/>
  <c r="K324" i="21"/>
  <c r="K323" i="21" s="1"/>
  <c r="I324" i="21"/>
  <c r="I323" i="21" s="1"/>
  <c r="G324" i="21"/>
  <c r="G323" i="21" s="1"/>
  <c r="H323" i="21"/>
  <c r="AA321" i="21"/>
  <c r="Z321" i="21"/>
  <c r="Y321" i="21"/>
  <c r="J320" i="21"/>
  <c r="I320" i="21"/>
  <c r="H320" i="21"/>
  <c r="F320" i="21"/>
  <c r="K319" i="21"/>
  <c r="F319" i="21"/>
  <c r="K318" i="21"/>
  <c r="F318" i="21"/>
  <c r="K317" i="21"/>
  <c r="F317" i="21"/>
  <c r="L316" i="21"/>
  <c r="K316" i="21"/>
  <c r="J316" i="21"/>
  <c r="I316" i="21"/>
  <c r="H316" i="21"/>
  <c r="G316" i="21"/>
  <c r="K315" i="21"/>
  <c r="I315" i="21"/>
  <c r="H315" i="21"/>
  <c r="G315" i="21"/>
  <c r="K314" i="21"/>
  <c r="I314" i="21"/>
  <c r="H314" i="21"/>
  <c r="G314" i="21"/>
  <c r="L313" i="21"/>
  <c r="K313" i="21"/>
  <c r="J313" i="21"/>
  <c r="W313" i="21" s="1"/>
  <c r="I313" i="21"/>
  <c r="H313" i="21"/>
  <c r="G313" i="21"/>
  <c r="D312" i="21"/>
  <c r="V311" i="21"/>
  <c r="U311" i="21"/>
  <c r="T311" i="21"/>
  <c r="L318" i="21" s="1"/>
  <c r="S311" i="21"/>
  <c r="J318" i="21" s="1"/>
  <c r="R311" i="21"/>
  <c r="L317" i="21" s="1"/>
  <c r="Q311" i="21"/>
  <c r="J317" i="21" s="1"/>
  <c r="F311" i="21"/>
  <c r="E311" i="21"/>
  <c r="B311" i="21"/>
  <c r="AA308" i="21"/>
  <c r="Z308" i="21"/>
  <c r="Y308" i="21"/>
  <c r="K307" i="21"/>
  <c r="F307" i="21"/>
  <c r="K306" i="21"/>
  <c r="K305" i="21" s="1"/>
  <c r="I306" i="21"/>
  <c r="I305" i="21" s="1"/>
  <c r="G306" i="21"/>
  <c r="G305" i="21" s="1"/>
  <c r="H305" i="21"/>
  <c r="AA303" i="21"/>
  <c r="Z303" i="21"/>
  <c r="Y303" i="21"/>
  <c r="J302" i="21"/>
  <c r="I302" i="21"/>
  <c r="H302" i="21"/>
  <c r="F302" i="21"/>
  <c r="K301" i="21"/>
  <c r="F301" i="21"/>
  <c r="K300" i="21"/>
  <c r="F300" i="21"/>
  <c r="K299" i="21"/>
  <c r="F299" i="21"/>
  <c r="AA298" i="21"/>
  <c r="Z298" i="21"/>
  <c r="Y298" i="21"/>
  <c r="V298" i="21"/>
  <c r="U298" i="21"/>
  <c r="T298" i="21"/>
  <c r="S298" i="21"/>
  <c r="R298" i="21"/>
  <c r="Q298" i="21"/>
  <c r="L298" i="21"/>
  <c r="K298" i="21"/>
  <c r="J298" i="21"/>
  <c r="X298" i="21" s="1"/>
  <c r="I298" i="21"/>
  <c r="G298" i="21"/>
  <c r="F298" i="21"/>
  <c r="E298" i="21"/>
  <c r="C298" i="21"/>
  <c r="B298" i="21"/>
  <c r="L297" i="21"/>
  <c r="K297" i="21"/>
  <c r="J297" i="21"/>
  <c r="I297" i="21"/>
  <c r="H297" i="21"/>
  <c r="G297" i="21"/>
  <c r="K296" i="21"/>
  <c r="I296" i="21"/>
  <c r="H296" i="21"/>
  <c r="G296" i="21"/>
  <c r="K295" i="21"/>
  <c r="I295" i="21"/>
  <c r="H295" i="21"/>
  <c r="G295" i="21"/>
  <c r="L294" i="21"/>
  <c r="K294" i="21"/>
  <c r="J294" i="21"/>
  <c r="W294" i="21" s="1"/>
  <c r="I294" i="21"/>
  <c r="H294" i="21"/>
  <c r="G294" i="21"/>
  <c r="D293" i="21"/>
  <c r="V292" i="21"/>
  <c r="U292" i="21"/>
  <c r="T292" i="21"/>
  <c r="S292" i="21"/>
  <c r="R292" i="21"/>
  <c r="Q292" i="21"/>
  <c r="F292" i="21"/>
  <c r="E292" i="21"/>
  <c r="B292" i="21"/>
  <c r="AA291" i="21"/>
  <c r="Z291" i="21"/>
  <c r="Y291" i="21"/>
  <c r="D290" i="21"/>
  <c r="V289" i="21"/>
  <c r="U289" i="21"/>
  <c r="T289" i="21"/>
  <c r="S289" i="21"/>
  <c r="R289" i="21"/>
  <c r="Q289" i="21"/>
  <c r="L289" i="21"/>
  <c r="K291" i="21" s="1"/>
  <c r="K289" i="21"/>
  <c r="J289" i="21"/>
  <c r="O291" i="21" s="1"/>
  <c r="I289" i="21"/>
  <c r="H289" i="21"/>
  <c r="G289" i="21"/>
  <c r="F289" i="21"/>
  <c r="E289" i="21"/>
  <c r="B289" i="21"/>
  <c r="AA288" i="21"/>
  <c r="Z288" i="21"/>
  <c r="Y288" i="21"/>
  <c r="D287" i="21"/>
  <c r="V286" i="21"/>
  <c r="U286" i="21"/>
  <c r="T286" i="21"/>
  <c r="S286" i="21"/>
  <c r="R286" i="21"/>
  <c r="Q286" i="21"/>
  <c r="L286" i="21"/>
  <c r="K286" i="21"/>
  <c r="J286" i="21"/>
  <c r="O288" i="21" s="1"/>
  <c r="I286" i="21"/>
  <c r="H286" i="21"/>
  <c r="G286" i="21"/>
  <c r="F286" i="21"/>
  <c r="E286" i="21"/>
  <c r="B286" i="21"/>
  <c r="AA283" i="21"/>
  <c r="Z283" i="21"/>
  <c r="Y283" i="21"/>
  <c r="K282" i="21"/>
  <c r="F282" i="21"/>
  <c r="K281" i="21"/>
  <c r="K280" i="21" s="1"/>
  <c r="I281" i="21"/>
  <c r="I280" i="21" s="1"/>
  <c r="G281" i="21"/>
  <c r="G280" i="21" s="1"/>
  <c r="H280" i="21"/>
  <c r="AA278" i="21"/>
  <c r="Z278" i="21"/>
  <c r="Y278" i="21"/>
  <c r="J277" i="21"/>
  <c r="I277" i="21"/>
  <c r="H277" i="21"/>
  <c r="F277" i="21"/>
  <c r="K276" i="21"/>
  <c r="F276" i="21"/>
  <c r="K275" i="21"/>
  <c r="F275" i="21"/>
  <c r="K274" i="21"/>
  <c r="F274" i="21"/>
  <c r="L273" i="21"/>
  <c r="K273" i="21"/>
  <c r="J273" i="21"/>
  <c r="I273" i="21"/>
  <c r="H273" i="21"/>
  <c r="G273" i="21"/>
  <c r="K272" i="21"/>
  <c r="I272" i="21"/>
  <c r="H272" i="21"/>
  <c r="G272" i="21"/>
  <c r="K271" i="21"/>
  <c r="I271" i="21"/>
  <c r="H271" i="21"/>
  <c r="G271" i="21"/>
  <c r="L270" i="21"/>
  <c r="K270" i="21"/>
  <c r="J270" i="21"/>
  <c r="I270" i="21"/>
  <c r="H270" i="21"/>
  <c r="G270" i="21"/>
  <c r="D269" i="21"/>
  <c r="V268" i="21"/>
  <c r="U268" i="21"/>
  <c r="T268" i="21"/>
  <c r="L275" i="21" s="1"/>
  <c r="S268" i="21"/>
  <c r="J275" i="21" s="1"/>
  <c r="R268" i="21"/>
  <c r="L274" i="21" s="1"/>
  <c r="Q268" i="21"/>
  <c r="J274" i="21" s="1"/>
  <c r="F268" i="21"/>
  <c r="E268" i="21"/>
  <c r="B268" i="21"/>
  <c r="AA265" i="21"/>
  <c r="Z265" i="21"/>
  <c r="Y265" i="21"/>
  <c r="K264" i="21"/>
  <c r="F264" i="21"/>
  <c r="K263" i="21"/>
  <c r="K262" i="21" s="1"/>
  <c r="I263" i="21"/>
  <c r="G263" i="21"/>
  <c r="G262" i="21" s="1"/>
  <c r="H262" i="21"/>
  <c r="AA260" i="21"/>
  <c r="Z260" i="21"/>
  <c r="Y260" i="21"/>
  <c r="J259" i="21"/>
  <c r="I259" i="21"/>
  <c r="H259" i="21"/>
  <c r="F259" i="21"/>
  <c r="K258" i="21"/>
  <c r="F258" i="21"/>
  <c r="K257" i="21"/>
  <c r="F257" i="21"/>
  <c r="K256" i="21"/>
  <c r="F256" i="21"/>
  <c r="AA255" i="21"/>
  <c r="Z255" i="21"/>
  <c r="Y255" i="21"/>
  <c r="V255" i="21"/>
  <c r="U255" i="21"/>
  <c r="T255" i="21"/>
  <c r="S255" i="21"/>
  <c r="R255" i="21"/>
  <c r="Q255" i="21"/>
  <c r="L255" i="21"/>
  <c r="K255" i="21"/>
  <c r="J255" i="21"/>
  <c r="X255" i="21" s="1"/>
  <c r="I255" i="21"/>
  <c r="G255" i="21"/>
  <c r="F255" i="21"/>
  <c r="E255" i="21"/>
  <c r="C255" i="21"/>
  <c r="B255" i="21"/>
  <c r="L254" i="21"/>
  <c r="K254" i="21"/>
  <c r="J254" i="21"/>
  <c r="I254" i="21"/>
  <c r="H254" i="21"/>
  <c r="G254" i="21"/>
  <c r="K253" i="21"/>
  <c r="I253" i="21"/>
  <c r="H253" i="21"/>
  <c r="G253" i="21"/>
  <c r="K252" i="21"/>
  <c r="I252" i="21"/>
  <c r="H252" i="21"/>
  <c r="G252" i="21"/>
  <c r="L251" i="21"/>
  <c r="K251" i="21"/>
  <c r="J251" i="21"/>
  <c r="W251" i="21" s="1"/>
  <c r="I251" i="21"/>
  <c r="H251" i="21"/>
  <c r="G251" i="21"/>
  <c r="D250" i="21"/>
  <c r="V249" i="21"/>
  <c r="U249" i="21"/>
  <c r="T249" i="21"/>
  <c r="L257" i="21" s="1"/>
  <c r="S249" i="21"/>
  <c r="J257" i="21" s="1"/>
  <c r="R249" i="21"/>
  <c r="Q249" i="21"/>
  <c r="F249" i="21"/>
  <c r="E249" i="21"/>
  <c r="B249" i="21"/>
  <c r="AA246" i="21"/>
  <c r="Z246" i="21"/>
  <c r="Y246" i="21"/>
  <c r="K245" i="21"/>
  <c r="F245" i="21"/>
  <c r="K244" i="21"/>
  <c r="K243" i="21" s="1"/>
  <c r="I244" i="21"/>
  <c r="I243" i="21" s="1"/>
  <c r="G244" i="21"/>
  <c r="G243" i="21" s="1"/>
  <c r="H243" i="21"/>
  <c r="AA241" i="21"/>
  <c r="Z241" i="21"/>
  <c r="Y241" i="21"/>
  <c r="J240" i="21"/>
  <c r="I240" i="21"/>
  <c r="H240" i="21"/>
  <c r="F240" i="21"/>
  <c r="K239" i="21"/>
  <c r="F239" i="21"/>
  <c r="K238" i="21"/>
  <c r="F238" i="21"/>
  <c r="K237" i="21"/>
  <c r="F237" i="21"/>
  <c r="AA236" i="21"/>
  <c r="Z236" i="21"/>
  <c r="Y236" i="21"/>
  <c r="V236" i="21"/>
  <c r="U236" i="21"/>
  <c r="T236" i="21"/>
  <c r="S236" i="21"/>
  <c r="R236" i="21"/>
  <c r="Q236" i="21"/>
  <c r="L236" i="21"/>
  <c r="K236" i="21"/>
  <c r="J236" i="21"/>
  <c r="X236" i="21" s="1"/>
  <c r="I236" i="21"/>
  <c r="G236" i="21"/>
  <c r="F236" i="21"/>
  <c r="E236" i="21"/>
  <c r="C236" i="21"/>
  <c r="B236" i="21"/>
  <c r="L235" i="21"/>
  <c r="K235" i="21"/>
  <c r="J235" i="21"/>
  <c r="I235" i="21"/>
  <c r="H235" i="21"/>
  <c r="G235" i="21"/>
  <c r="K234" i="21"/>
  <c r="I234" i="21"/>
  <c r="H234" i="21"/>
  <c r="G234" i="21"/>
  <c r="K233" i="21"/>
  <c r="I233" i="21"/>
  <c r="H233" i="21"/>
  <c r="G233" i="21"/>
  <c r="L232" i="21"/>
  <c r="K232" i="21"/>
  <c r="J232" i="21"/>
  <c r="W232" i="21" s="1"/>
  <c r="I232" i="21"/>
  <c r="H232" i="21"/>
  <c r="G232" i="21"/>
  <c r="D231" i="21"/>
  <c r="V230" i="21"/>
  <c r="U230" i="21"/>
  <c r="T230" i="21"/>
  <c r="S230" i="21"/>
  <c r="R230" i="21"/>
  <c r="Q230" i="21"/>
  <c r="J237" i="21" s="1"/>
  <c r="F230" i="21"/>
  <c r="E230" i="21"/>
  <c r="B230" i="21"/>
  <c r="AA227" i="21"/>
  <c r="Z227" i="21"/>
  <c r="Y227" i="21"/>
  <c r="K226" i="21"/>
  <c r="F226" i="21"/>
  <c r="K225" i="21"/>
  <c r="K224" i="21" s="1"/>
  <c r="I225" i="21"/>
  <c r="I224" i="21" s="1"/>
  <c r="G225" i="21"/>
  <c r="H224" i="21"/>
  <c r="AA222" i="21"/>
  <c r="Z222" i="21"/>
  <c r="Y222" i="21"/>
  <c r="J221" i="21"/>
  <c r="I221" i="21"/>
  <c r="H221" i="21"/>
  <c r="F221" i="21"/>
  <c r="K220" i="21"/>
  <c r="F220" i="21"/>
  <c r="K219" i="21"/>
  <c r="F219" i="21"/>
  <c r="K218" i="21"/>
  <c r="F218" i="21"/>
  <c r="AA217" i="21"/>
  <c r="Z217" i="21"/>
  <c r="Y217" i="21"/>
  <c r="V217" i="21"/>
  <c r="U217" i="21"/>
  <c r="T217" i="21"/>
  <c r="S217" i="21"/>
  <c r="R217" i="21"/>
  <c r="Q217" i="21"/>
  <c r="L217" i="21"/>
  <c r="K217" i="21"/>
  <c r="J217" i="21"/>
  <c r="X217" i="21" s="1"/>
  <c r="I217" i="21"/>
  <c r="G217" i="21"/>
  <c r="F217" i="21"/>
  <c r="E217" i="21"/>
  <c r="C217" i="21"/>
  <c r="B217" i="21"/>
  <c r="L216" i="21"/>
  <c r="K216" i="21"/>
  <c r="J216" i="21"/>
  <c r="I216" i="21"/>
  <c r="H216" i="21"/>
  <c r="G216" i="21"/>
  <c r="K215" i="21"/>
  <c r="I215" i="21"/>
  <c r="H215" i="21"/>
  <c r="G215" i="21"/>
  <c r="K214" i="21"/>
  <c r="I214" i="21"/>
  <c r="H214" i="21"/>
  <c r="G214" i="21"/>
  <c r="L213" i="21"/>
  <c r="K213" i="21"/>
  <c r="J213" i="21"/>
  <c r="W213" i="21" s="1"/>
  <c r="I213" i="21"/>
  <c r="H213" i="21"/>
  <c r="G213" i="21"/>
  <c r="D212" i="21"/>
  <c r="V211" i="21"/>
  <c r="U211" i="21"/>
  <c r="T211" i="21"/>
  <c r="S211" i="21"/>
  <c r="R211" i="21"/>
  <c r="Q211" i="21"/>
  <c r="F211" i="21"/>
  <c r="E211" i="21"/>
  <c r="B211" i="21"/>
  <c r="AA210" i="21"/>
  <c r="Z210" i="21"/>
  <c r="Y210" i="21"/>
  <c r="V209" i="21"/>
  <c r="U209" i="21"/>
  <c r="T209" i="21"/>
  <c r="S209" i="21"/>
  <c r="R209" i="21"/>
  <c r="Q209" i="21"/>
  <c r="L209" i="21"/>
  <c r="K210" i="21" s="1"/>
  <c r="K209" i="21"/>
  <c r="J209" i="21"/>
  <c r="O210" i="21" s="1"/>
  <c r="I209" i="21"/>
  <c r="H209" i="21"/>
  <c r="G209" i="21"/>
  <c r="F209" i="21"/>
  <c r="E209" i="21"/>
  <c r="B209" i="21"/>
  <c r="AA208" i="21"/>
  <c r="Z208" i="21"/>
  <c r="Y208" i="21"/>
  <c r="V207" i="21"/>
  <c r="U207" i="21"/>
  <c r="T207" i="21"/>
  <c r="S207" i="21"/>
  <c r="R207" i="21"/>
  <c r="Q207" i="21"/>
  <c r="K208" i="21"/>
  <c r="O208" i="21"/>
  <c r="F207" i="21"/>
  <c r="E207" i="21"/>
  <c r="C207" i="21"/>
  <c r="B207" i="21"/>
  <c r="AA204" i="21"/>
  <c r="Z204" i="21"/>
  <c r="Y204" i="21"/>
  <c r="K203" i="21"/>
  <c r="F203" i="21"/>
  <c r="K202" i="21"/>
  <c r="K201" i="21" s="1"/>
  <c r="I202" i="21"/>
  <c r="I201" i="21" s="1"/>
  <c r="G202" i="21"/>
  <c r="G201" i="21" s="1"/>
  <c r="H201" i="21"/>
  <c r="AA199" i="21"/>
  <c r="Z199" i="21"/>
  <c r="Y199" i="21"/>
  <c r="J198" i="21"/>
  <c r="I198" i="21"/>
  <c r="H198" i="21"/>
  <c r="F198" i="21"/>
  <c r="K197" i="21"/>
  <c r="F197" i="21"/>
  <c r="K196" i="21"/>
  <c r="F196" i="21"/>
  <c r="K195" i="21"/>
  <c r="F195" i="21"/>
  <c r="L194" i="21"/>
  <c r="K194" i="21"/>
  <c r="J194" i="21"/>
  <c r="I194" i="21"/>
  <c r="H194" i="21"/>
  <c r="G194" i="21"/>
  <c r="K193" i="21"/>
  <c r="I193" i="21"/>
  <c r="H193" i="21"/>
  <c r="G193" i="21"/>
  <c r="K192" i="21"/>
  <c r="I192" i="21"/>
  <c r="H192" i="21"/>
  <c r="G192" i="21"/>
  <c r="L191" i="21"/>
  <c r="K191" i="21"/>
  <c r="J191" i="21"/>
  <c r="W191" i="21" s="1"/>
  <c r="I191" i="21"/>
  <c r="H191" i="21"/>
  <c r="G191" i="21"/>
  <c r="V190" i="21"/>
  <c r="U190" i="21"/>
  <c r="T190" i="21"/>
  <c r="L196" i="21" s="1"/>
  <c r="S190" i="21"/>
  <c r="J196" i="21" s="1"/>
  <c r="R190" i="21"/>
  <c r="L195" i="21" s="1"/>
  <c r="Q190" i="21"/>
  <c r="J195" i="21" s="1"/>
  <c r="F190" i="21"/>
  <c r="E190" i="21"/>
  <c r="B190" i="21"/>
  <c r="AA189" i="21"/>
  <c r="Z189" i="21"/>
  <c r="Y189" i="21"/>
  <c r="V188" i="21"/>
  <c r="U188" i="21"/>
  <c r="T188" i="21"/>
  <c r="S188" i="21"/>
  <c r="R188" i="21"/>
  <c r="Q188" i="21"/>
  <c r="F188" i="21"/>
  <c r="L188" i="21" s="1"/>
  <c r="J188" i="21" s="1"/>
  <c r="G188" i="21" s="1"/>
  <c r="E188" i="21"/>
  <c r="C188" i="21"/>
  <c r="B188" i="21"/>
  <c r="AA187" i="21"/>
  <c r="Z187" i="21"/>
  <c r="Y187" i="21"/>
  <c r="V186" i="21"/>
  <c r="U186" i="21"/>
  <c r="T186" i="21"/>
  <c r="S186" i="21"/>
  <c r="R186" i="21"/>
  <c r="Q186" i="21"/>
  <c r="F186" i="21"/>
  <c r="L186" i="21" s="1"/>
  <c r="J186" i="21" s="1"/>
  <c r="G186" i="21" s="1"/>
  <c r="E186" i="21"/>
  <c r="C186" i="21"/>
  <c r="B186" i="21"/>
  <c r="AA183" i="21"/>
  <c r="Z183" i="21"/>
  <c r="Y183" i="21"/>
  <c r="K182" i="21"/>
  <c r="F182" i="21"/>
  <c r="K181" i="21"/>
  <c r="I181" i="21"/>
  <c r="I180" i="21" s="1"/>
  <c r="G181" i="21"/>
  <c r="G180" i="21" s="1"/>
  <c r="H180" i="21"/>
  <c r="AA178" i="21"/>
  <c r="Z178" i="21"/>
  <c r="Y178" i="21"/>
  <c r="J177" i="21"/>
  <c r="I177" i="21"/>
  <c r="H177" i="21"/>
  <c r="F177" i="21"/>
  <c r="K176" i="21"/>
  <c r="F176" i="21"/>
  <c r="K175" i="21"/>
  <c r="F175" i="21"/>
  <c r="K174" i="21"/>
  <c r="F174" i="21"/>
  <c r="AA173" i="21"/>
  <c r="Z173" i="21"/>
  <c r="Y173" i="21"/>
  <c r="V173" i="21"/>
  <c r="U173" i="21"/>
  <c r="T173" i="21"/>
  <c r="S173" i="21"/>
  <c r="R173" i="21"/>
  <c r="Q173" i="21"/>
  <c r="X173" i="21"/>
  <c r="F173" i="21"/>
  <c r="E173" i="21"/>
  <c r="C173" i="21"/>
  <c r="B173" i="21"/>
  <c r="AA172" i="21"/>
  <c r="Z172" i="21"/>
  <c r="Y172" i="21"/>
  <c r="V172" i="21"/>
  <c r="U172" i="21"/>
  <c r="T172" i="21"/>
  <c r="S172" i="21"/>
  <c r="R172" i="21"/>
  <c r="Q172" i="21"/>
  <c r="F172" i="21"/>
  <c r="L172" i="21" s="1"/>
  <c r="J172" i="21" s="1"/>
  <c r="G172" i="21" s="1"/>
  <c r="E172" i="21"/>
  <c r="C172" i="21"/>
  <c r="B172" i="21"/>
  <c r="AA171" i="21"/>
  <c r="Z171" i="21"/>
  <c r="Y171" i="21"/>
  <c r="V171" i="21"/>
  <c r="U171" i="21"/>
  <c r="T171" i="21"/>
  <c r="S171" i="21"/>
  <c r="R171" i="21"/>
  <c r="Q171" i="21"/>
  <c r="F171" i="21"/>
  <c r="L171" i="21" s="1"/>
  <c r="J171" i="21" s="1"/>
  <c r="G171" i="21" s="1"/>
  <c r="E171" i="21"/>
  <c r="C171" i="21"/>
  <c r="B171" i="21"/>
  <c r="AA170" i="21"/>
  <c r="Z170" i="21"/>
  <c r="Y170" i="21"/>
  <c r="V170" i="21"/>
  <c r="U170" i="21"/>
  <c r="T170" i="21"/>
  <c r="S170" i="21"/>
  <c r="R170" i="21"/>
  <c r="Q170" i="21"/>
  <c r="F170" i="21"/>
  <c r="L170" i="21" s="1"/>
  <c r="J170" i="21" s="1"/>
  <c r="G170" i="21" s="1"/>
  <c r="E170" i="21"/>
  <c r="C170" i="21"/>
  <c r="B170" i="21"/>
  <c r="L169" i="21"/>
  <c r="K169" i="21"/>
  <c r="J169" i="21"/>
  <c r="I169" i="21"/>
  <c r="H169" i="21"/>
  <c r="G169" i="21"/>
  <c r="K168" i="21"/>
  <c r="I168" i="21"/>
  <c r="H168" i="21"/>
  <c r="G168" i="21"/>
  <c r="K167" i="21"/>
  <c r="I167" i="21"/>
  <c r="H167" i="21"/>
  <c r="G167" i="21"/>
  <c r="L166" i="21"/>
  <c r="K166" i="21"/>
  <c r="J166" i="21"/>
  <c r="I166" i="21"/>
  <c r="H166" i="21"/>
  <c r="G166" i="21"/>
  <c r="D165" i="21"/>
  <c r="V164" i="21"/>
  <c r="U164" i="21"/>
  <c r="T164" i="21"/>
  <c r="S164" i="21"/>
  <c r="R164" i="21"/>
  <c r="Q164" i="21"/>
  <c r="F164" i="21"/>
  <c r="E164" i="21"/>
  <c r="B164" i="21"/>
  <c r="AA163" i="21"/>
  <c r="Z163" i="21"/>
  <c r="Y163" i="21"/>
  <c r="V162" i="21"/>
  <c r="U162" i="21"/>
  <c r="T162" i="21"/>
  <c r="S162" i="21"/>
  <c r="R162" i="21"/>
  <c r="Q162" i="21"/>
  <c r="F162" i="21"/>
  <c r="L162" i="21" s="1"/>
  <c r="J162" i="21" s="1"/>
  <c r="G162" i="21" s="1"/>
  <c r="E162" i="21"/>
  <c r="C162" i="21"/>
  <c r="B162" i="21"/>
  <c r="AA161" i="21"/>
  <c r="Z161" i="21"/>
  <c r="Y161" i="21"/>
  <c r="V160" i="21"/>
  <c r="U160" i="21"/>
  <c r="T160" i="21"/>
  <c r="S160" i="21"/>
  <c r="R160" i="21"/>
  <c r="Q160" i="21"/>
  <c r="F160" i="21"/>
  <c r="L160" i="21" s="1"/>
  <c r="J160" i="21" s="1"/>
  <c r="G160" i="21" s="1"/>
  <c r="E160" i="21"/>
  <c r="C160" i="21"/>
  <c r="B160" i="21"/>
  <c r="AA159" i="21"/>
  <c r="Z159" i="21"/>
  <c r="Y159" i="21"/>
  <c r="V158" i="21"/>
  <c r="U158" i="21"/>
  <c r="T158" i="21"/>
  <c r="S158" i="21"/>
  <c r="R158" i="21"/>
  <c r="Q158" i="21"/>
  <c r="F158" i="21"/>
  <c r="L158" i="21" s="1"/>
  <c r="J158" i="21" s="1"/>
  <c r="G158" i="21" s="1"/>
  <c r="E158" i="21"/>
  <c r="C158" i="21"/>
  <c r="B158" i="21"/>
  <c r="AA157" i="21"/>
  <c r="Z157" i="21"/>
  <c r="Y157" i="21"/>
  <c r="D156" i="21"/>
  <c r="V155" i="21"/>
  <c r="U155" i="21"/>
  <c r="T155" i="21"/>
  <c r="S155" i="21"/>
  <c r="R155" i="21"/>
  <c r="Q155" i="21"/>
  <c r="F155" i="21"/>
  <c r="L155" i="21" s="1"/>
  <c r="J155" i="21" s="1"/>
  <c r="G155" i="21" s="1"/>
  <c r="E155" i="21"/>
  <c r="C155" i="21"/>
  <c r="B155" i="21"/>
  <c r="AA154" i="21"/>
  <c r="Z154" i="21"/>
  <c r="Y154" i="21"/>
  <c r="V153" i="21"/>
  <c r="U153" i="21"/>
  <c r="T153" i="21"/>
  <c r="S153" i="21"/>
  <c r="R153" i="21"/>
  <c r="Q153" i="21"/>
  <c r="F153" i="21"/>
  <c r="L153" i="21" s="1"/>
  <c r="J153" i="21" s="1"/>
  <c r="G153" i="21" s="1"/>
  <c r="E153" i="21"/>
  <c r="C153" i="21"/>
  <c r="B153" i="21"/>
  <c r="AA152" i="21"/>
  <c r="Z152" i="21"/>
  <c r="Y152" i="21"/>
  <c r="V151" i="21"/>
  <c r="U151" i="21"/>
  <c r="T151" i="21"/>
  <c r="S151" i="21"/>
  <c r="R151" i="21"/>
  <c r="Q151" i="21"/>
  <c r="F151" i="21"/>
  <c r="L151" i="21" s="1"/>
  <c r="J151" i="21" s="1"/>
  <c r="G151" i="21" s="1"/>
  <c r="E151" i="21"/>
  <c r="C151" i="21"/>
  <c r="B151" i="21"/>
  <c r="AA150" i="21"/>
  <c r="Z150" i="21"/>
  <c r="Y150" i="21"/>
  <c r="D149" i="21"/>
  <c r="V148" i="21"/>
  <c r="U148" i="21"/>
  <c r="T148" i="21"/>
  <c r="S148" i="21"/>
  <c r="R148" i="21"/>
  <c r="Q148" i="21"/>
  <c r="K150" i="21"/>
  <c r="F148" i="21"/>
  <c r="E148" i="21"/>
  <c r="C148" i="21"/>
  <c r="B148" i="21"/>
  <c r="AA147" i="21"/>
  <c r="Z147" i="21"/>
  <c r="Y147" i="21"/>
  <c r="V146" i="21"/>
  <c r="U146" i="21"/>
  <c r="T146" i="21"/>
  <c r="S146" i="21"/>
  <c r="R146" i="21"/>
  <c r="Q146" i="21"/>
  <c r="F146" i="21"/>
  <c r="L146" i="21" s="1"/>
  <c r="J146" i="21" s="1"/>
  <c r="G146" i="21" s="1"/>
  <c r="E146" i="21"/>
  <c r="C146" i="21"/>
  <c r="B146" i="21"/>
  <c r="AA145" i="21"/>
  <c r="Z145" i="21"/>
  <c r="Y145" i="21"/>
  <c r="V144" i="21"/>
  <c r="U144" i="21"/>
  <c r="T144" i="21"/>
  <c r="S144" i="21"/>
  <c r="R144" i="21"/>
  <c r="Q144" i="21"/>
  <c r="F144" i="21"/>
  <c r="L144" i="21" s="1"/>
  <c r="J144" i="21" s="1"/>
  <c r="G144" i="21" s="1"/>
  <c r="E144" i="21"/>
  <c r="C144" i="21"/>
  <c r="B144" i="21"/>
  <c r="AA143" i="21"/>
  <c r="Z143" i="21"/>
  <c r="Y143" i="21"/>
  <c r="V142" i="21"/>
  <c r="U142" i="21"/>
  <c r="T142" i="21"/>
  <c r="S142" i="21"/>
  <c r="R142" i="21"/>
  <c r="Q142" i="21"/>
  <c r="F142" i="21"/>
  <c r="L142" i="21" s="1"/>
  <c r="J142" i="21" s="1"/>
  <c r="G142" i="21" s="1"/>
  <c r="E142" i="21"/>
  <c r="C142" i="21"/>
  <c r="B142" i="21"/>
  <c r="AA141" i="21"/>
  <c r="Z141" i="21"/>
  <c r="Y141" i="21"/>
  <c r="D140" i="21"/>
  <c r="V139" i="21"/>
  <c r="U139" i="21"/>
  <c r="T139" i="21"/>
  <c r="S139" i="21"/>
  <c r="R139" i="21"/>
  <c r="Q139" i="21"/>
  <c r="F139" i="21"/>
  <c r="L139" i="21" s="1"/>
  <c r="J139" i="21" s="1"/>
  <c r="G139" i="21" s="1"/>
  <c r="E139" i="21"/>
  <c r="C139" i="21"/>
  <c r="B139" i="21"/>
  <c r="AA138" i="21"/>
  <c r="Z138" i="21"/>
  <c r="Y138" i="21"/>
  <c r="D137" i="21"/>
  <c r="V136" i="21"/>
  <c r="U136" i="21"/>
  <c r="T136" i="21"/>
  <c r="S136" i="21"/>
  <c r="R136" i="21"/>
  <c r="Q136" i="21"/>
  <c r="F136" i="21"/>
  <c r="L136" i="21" s="1"/>
  <c r="J136" i="21" s="1"/>
  <c r="G136" i="21" s="1"/>
  <c r="E136" i="21"/>
  <c r="C136" i="21"/>
  <c r="B136" i="21"/>
  <c r="AA135" i="21"/>
  <c r="Z135" i="21"/>
  <c r="Y135" i="21"/>
  <c r="V134" i="21"/>
  <c r="U134" i="21"/>
  <c r="T134" i="21"/>
  <c r="S134" i="21"/>
  <c r="R134" i="21"/>
  <c r="Q134" i="21"/>
  <c r="F134" i="21"/>
  <c r="L134" i="21" s="1"/>
  <c r="J134" i="21" s="1"/>
  <c r="G134" i="21" s="1"/>
  <c r="E134" i="21"/>
  <c r="C134" i="21"/>
  <c r="B134" i="21"/>
  <c r="AA131" i="21"/>
  <c r="Z131" i="21"/>
  <c r="Y131" i="21"/>
  <c r="K130" i="21"/>
  <c r="F130" i="21"/>
  <c r="K129" i="21"/>
  <c r="K128" i="21" s="1"/>
  <c r="I129" i="21"/>
  <c r="I128" i="21" s="1"/>
  <c r="G129" i="21"/>
  <c r="G128" i="21" s="1"/>
  <c r="H128" i="21"/>
  <c r="AA126" i="21"/>
  <c r="Z126" i="21"/>
  <c r="Y126" i="21"/>
  <c r="J125" i="21"/>
  <c r="I125" i="21"/>
  <c r="H125" i="21"/>
  <c r="F125" i="21"/>
  <c r="K124" i="21"/>
  <c r="F124" i="21"/>
  <c r="K123" i="21"/>
  <c r="F123" i="21"/>
  <c r="K122" i="21"/>
  <c r="F122" i="21"/>
  <c r="L121" i="21"/>
  <c r="K121" i="21"/>
  <c r="J121" i="21"/>
  <c r="I121" i="21"/>
  <c r="H121" i="21"/>
  <c r="G121" i="21"/>
  <c r="K120" i="21"/>
  <c r="I120" i="21"/>
  <c r="H120" i="21"/>
  <c r="G120" i="21"/>
  <c r="K119" i="21"/>
  <c r="I119" i="21"/>
  <c r="H119" i="21"/>
  <c r="G119" i="21"/>
  <c r="L118" i="21"/>
  <c r="K118" i="21"/>
  <c r="J118" i="21"/>
  <c r="W118" i="21" s="1"/>
  <c r="I118" i="21"/>
  <c r="H118" i="21"/>
  <c r="G118" i="21"/>
  <c r="D117" i="21"/>
  <c r="V116" i="21"/>
  <c r="U116" i="21"/>
  <c r="T116" i="21"/>
  <c r="L123" i="21" s="1"/>
  <c r="S116" i="21"/>
  <c r="J123" i="21" s="1"/>
  <c r="R116" i="21"/>
  <c r="L122" i="21" s="1"/>
  <c r="Q116" i="21"/>
  <c r="J122" i="21" s="1"/>
  <c r="F116" i="21"/>
  <c r="E116" i="21"/>
  <c r="B116" i="21"/>
  <c r="AA115" i="21"/>
  <c r="Z115" i="21"/>
  <c r="Y115" i="21"/>
  <c r="V114" i="21"/>
  <c r="U114" i="21"/>
  <c r="T114" i="21"/>
  <c r="S114" i="21"/>
  <c r="R114" i="21"/>
  <c r="Q114" i="21"/>
  <c r="F114" i="21"/>
  <c r="L114" i="21" s="1"/>
  <c r="J114" i="21" s="1"/>
  <c r="G114" i="21" s="1"/>
  <c r="E114" i="21"/>
  <c r="C114" i="21"/>
  <c r="B114" i="21"/>
  <c r="AA111" i="21"/>
  <c r="Z111" i="21"/>
  <c r="X111" i="21"/>
  <c r="K110" i="21"/>
  <c r="F110" i="21"/>
  <c r="K109" i="21"/>
  <c r="K108" i="21" s="1"/>
  <c r="I109" i="21"/>
  <c r="I108" i="21" s="1"/>
  <c r="G109" i="21"/>
  <c r="G108" i="21" s="1"/>
  <c r="H108" i="21"/>
  <c r="AA106" i="21"/>
  <c r="Z106" i="21"/>
  <c r="X106" i="21"/>
  <c r="J105" i="21"/>
  <c r="I105" i="21"/>
  <c r="H105" i="21"/>
  <c r="F105" i="21"/>
  <c r="K104" i="21"/>
  <c r="F104" i="21"/>
  <c r="K103" i="21"/>
  <c r="F103" i="21"/>
  <c r="K102" i="21"/>
  <c r="F102" i="21"/>
  <c r="L101" i="21"/>
  <c r="K101" i="21"/>
  <c r="J101" i="21"/>
  <c r="I101" i="21"/>
  <c r="H101" i="21"/>
  <c r="G101" i="21"/>
  <c r="K100" i="21"/>
  <c r="I100" i="21"/>
  <c r="H100" i="21"/>
  <c r="G100" i="21"/>
  <c r="K99" i="21"/>
  <c r="I99" i="21"/>
  <c r="H99" i="21"/>
  <c r="G99" i="21"/>
  <c r="L98" i="21"/>
  <c r="K98" i="21"/>
  <c r="J98" i="21"/>
  <c r="W98" i="21" s="1"/>
  <c r="I98" i="21"/>
  <c r="H98" i="21"/>
  <c r="G98" i="21"/>
  <c r="V97" i="21"/>
  <c r="U97" i="21"/>
  <c r="T97" i="21"/>
  <c r="L103" i="21" s="1"/>
  <c r="S97" i="21"/>
  <c r="J103" i="21" s="1"/>
  <c r="R97" i="21"/>
  <c r="L102" i="21" s="1"/>
  <c r="Q97" i="21"/>
  <c r="J102" i="21" s="1"/>
  <c r="F97" i="21"/>
  <c r="E97" i="21"/>
  <c r="B97" i="21"/>
  <c r="AA96" i="21"/>
  <c r="Z96" i="21"/>
  <c r="Y96" i="21"/>
  <c r="V95" i="21"/>
  <c r="U95" i="21"/>
  <c r="T95" i="21"/>
  <c r="S95" i="21"/>
  <c r="R95" i="21"/>
  <c r="Q95" i="21"/>
  <c r="F95" i="21"/>
  <c r="L95" i="21" s="1"/>
  <c r="J95" i="21" s="1"/>
  <c r="G95" i="21" s="1"/>
  <c r="E95" i="21"/>
  <c r="C95" i="21"/>
  <c r="B95" i="21"/>
  <c r="AA94" i="21"/>
  <c r="Z94" i="21"/>
  <c r="Y94" i="21"/>
  <c r="V93" i="21"/>
  <c r="U93" i="21"/>
  <c r="T93" i="21"/>
  <c r="S93" i="21"/>
  <c r="R93" i="21"/>
  <c r="Q93" i="21"/>
  <c r="F93" i="21"/>
  <c r="L93" i="21" s="1"/>
  <c r="J93" i="21" s="1"/>
  <c r="G93" i="21" s="1"/>
  <c r="E93" i="21"/>
  <c r="C93" i="21"/>
  <c r="B93" i="21"/>
  <c r="AA90" i="21"/>
  <c r="Z90" i="21"/>
  <c r="X90" i="21"/>
  <c r="K89" i="21"/>
  <c r="F89" i="21"/>
  <c r="K88" i="21"/>
  <c r="K87" i="21" s="1"/>
  <c r="I88" i="21"/>
  <c r="I87" i="21" s="1"/>
  <c r="G88" i="21"/>
  <c r="G87" i="21" s="1"/>
  <c r="H87" i="21"/>
  <c r="AA85" i="21"/>
  <c r="Z85" i="21"/>
  <c r="X85" i="21"/>
  <c r="J84" i="21"/>
  <c r="I84" i="21"/>
  <c r="H84" i="21"/>
  <c r="F84" i="21"/>
  <c r="K83" i="21"/>
  <c r="F83" i="21"/>
  <c r="K82" i="21"/>
  <c r="F82" i="21"/>
  <c r="K81" i="21"/>
  <c r="F81" i="21"/>
  <c r="L80" i="21"/>
  <c r="K80" i="21"/>
  <c r="J80" i="21"/>
  <c r="I80" i="21"/>
  <c r="H80" i="21"/>
  <c r="G80" i="21"/>
  <c r="K79" i="21"/>
  <c r="I79" i="21"/>
  <c r="H79" i="21"/>
  <c r="G79" i="21"/>
  <c r="K78" i="21"/>
  <c r="I78" i="21"/>
  <c r="H78" i="21"/>
  <c r="G78" i="21"/>
  <c r="L77" i="21"/>
  <c r="K77" i="21"/>
  <c r="J77" i="21"/>
  <c r="W77" i="21" s="1"/>
  <c r="I77" i="21"/>
  <c r="H77" i="21"/>
  <c r="G77" i="21"/>
  <c r="V76" i="21"/>
  <c r="U76" i="21"/>
  <c r="T76" i="21"/>
  <c r="L82" i="21" s="1"/>
  <c r="S76" i="21"/>
  <c r="J82" i="21" s="1"/>
  <c r="R76" i="21"/>
  <c r="L81" i="21" s="1"/>
  <c r="Q76" i="21"/>
  <c r="J81" i="21" s="1"/>
  <c r="F76" i="21"/>
  <c r="E76" i="21"/>
  <c r="B76" i="21"/>
  <c r="AA75" i="21"/>
  <c r="Z75" i="21"/>
  <c r="Y75" i="21"/>
  <c r="V74" i="21"/>
  <c r="U74" i="21"/>
  <c r="T74" i="21"/>
  <c r="S74" i="21"/>
  <c r="R74" i="21"/>
  <c r="Q74" i="21"/>
  <c r="F74" i="21"/>
  <c r="L74" i="21" s="1"/>
  <c r="J74" i="21" s="1"/>
  <c r="G74" i="21" s="1"/>
  <c r="E74" i="21"/>
  <c r="C74" i="21"/>
  <c r="B74" i="21"/>
  <c r="AA71" i="21"/>
  <c r="Z71" i="21"/>
  <c r="X71" i="21"/>
  <c r="K70" i="21"/>
  <c r="F70" i="21"/>
  <c r="K69" i="21"/>
  <c r="K68" i="21" s="1"/>
  <c r="I69" i="21"/>
  <c r="I68" i="21" s="1"/>
  <c r="G69" i="21"/>
  <c r="G68" i="21" s="1"/>
  <c r="H68" i="21"/>
  <c r="AA66" i="21"/>
  <c r="Z66" i="21"/>
  <c r="X66" i="21"/>
  <c r="J65" i="21"/>
  <c r="I65" i="21"/>
  <c r="F65" i="21"/>
  <c r="K64" i="21"/>
  <c r="F64" i="21"/>
  <c r="K63" i="21"/>
  <c r="F63" i="21"/>
  <c r="K62" i="21"/>
  <c r="F62" i="21"/>
  <c r="L61" i="21"/>
  <c r="K61" i="21"/>
  <c r="J61" i="21"/>
  <c r="I61" i="21"/>
  <c r="G61" i="21"/>
  <c r="K60" i="21"/>
  <c r="I60" i="21"/>
  <c r="G60" i="21"/>
  <c r="K59" i="21"/>
  <c r="I59" i="21"/>
  <c r="G59" i="21"/>
  <c r="L58" i="21"/>
  <c r="K58" i="21"/>
  <c r="J58" i="21"/>
  <c r="W58" i="21" s="1"/>
  <c r="I58" i="21"/>
  <c r="H58" i="21"/>
  <c r="G58" i="21"/>
  <c r="V57" i="21"/>
  <c r="U57" i="21"/>
  <c r="T57" i="21"/>
  <c r="L63" i="21" s="1"/>
  <c r="S57" i="21"/>
  <c r="J63" i="21" s="1"/>
  <c r="R57" i="21"/>
  <c r="L62" i="21" s="1"/>
  <c r="Q57" i="21"/>
  <c r="J62" i="21" s="1"/>
  <c r="F57" i="21"/>
  <c r="E57" i="21"/>
  <c r="B57" i="21"/>
  <c r="A56" i="21"/>
  <c r="A54" i="21"/>
  <c r="AK43" i="21"/>
  <c r="L28" i="21"/>
  <c r="A1" i="21"/>
  <c r="K143" i="21" l="1"/>
  <c r="O143" i="21"/>
  <c r="O141" i="21"/>
  <c r="X172" i="21"/>
  <c r="O138" i="21"/>
  <c r="P163" i="21"/>
  <c r="X170" i="21"/>
  <c r="P96" i="21"/>
  <c r="K75" i="21"/>
  <c r="I115" i="21"/>
  <c r="P138" i="21"/>
  <c r="K141" i="21"/>
  <c r="O147" i="21"/>
  <c r="X161" i="21"/>
  <c r="O152" i="21"/>
  <c r="P161" i="21"/>
  <c r="X171" i="21"/>
  <c r="O187" i="21"/>
  <c r="I334" i="21"/>
  <c r="X96" i="21"/>
  <c r="K145" i="21"/>
  <c r="K152" i="21"/>
  <c r="L409" i="21"/>
  <c r="P94" i="21"/>
  <c r="P135" i="21"/>
  <c r="P157" i="21"/>
  <c r="P159" i="21"/>
  <c r="X75" i="21"/>
  <c r="P115" i="21"/>
  <c r="O145" i="21"/>
  <c r="K147" i="21"/>
  <c r="K154" i="21"/>
  <c r="X163" i="21"/>
  <c r="K187" i="21"/>
  <c r="X94" i="21"/>
  <c r="X135" i="21"/>
  <c r="O157" i="21"/>
  <c r="X159" i="21"/>
  <c r="K189" i="21"/>
  <c r="K374" i="21"/>
  <c r="J372" i="21"/>
  <c r="I387" i="21" s="1"/>
  <c r="J400" i="21" s="1"/>
  <c r="N22" i="10" s="1"/>
  <c r="L299" i="21"/>
  <c r="K135" i="21"/>
  <c r="J109" i="21"/>
  <c r="J100" i="21" s="1"/>
  <c r="W100" i="21" s="1"/>
  <c r="J202" i="21"/>
  <c r="J203" i="21" s="1"/>
  <c r="J197" i="21" s="1"/>
  <c r="I288" i="21"/>
  <c r="X331" i="21"/>
  <c r="X288" i="21"/>
  <c r="J300" i="21"/>
  <c r="J69" i="21"/>
  <c r="J68" i="21" s="1"/>
  <c r="J59" i="21" s="1"/>
  <c r="J129" i="21"/>
  <c r="J128" i="21" s="1"/>
  <c r="J119" i="21" s="1"/>
  <c r="X145" i="21"/>
  <c r="O161" i="21"/>
  <c r="J175" i="21"/>
  <c r="J174" i="21"/>
  <c r="P187" i="21"/>
  <c r="P208" i="21"/>
  <c r="L300" i="21"/>
  <c r="L349" i="21"/>
  <c r="L350" i="21" s="1"/>
  <c r="O115" i="21"/>
  <c r="O135" i="21"/>
  <c r="X187" i="21"/>
  <c r="P189" i="21"/>
  <c r="L69" i="21"/>
  <c r="L60" i="21" s="1"/>
  <c r="X115" i="21"/>
  <c r="I141" i="21"/>
  <c r="X141" i="21"/>
  <c r="X143" i="21"/>
  <c r="P145" i="21"/>
  <c r="P154" i="21"/>
  <c r="O159" i="21"/>
  <c r="K161" i="21"/>
  <c r="X210" i="21"/>
  <c r="L218" i="21"/>
  <c r="J218" i="21"/>
  <c r="L237" i="21"/>
  <c r="L343" i="21"/>
  <c r="X138" i="21"/>
  <c r="P150" i="21"/>
  <c r="X291" i="21"/>
  <c r="O75" i="21"/>
  <c r="L109" i="21"/>
  <c r="L108" i="21" s="1"/>
  <c r="L99" i="21" s="1"/>
  <c r="I147" i="21"/>
  <c r="P152" i="21"/>
  <c r="I163" i="21"/>
  <c r="J244" i="21"/>
  <c r="J234" i="21" s="1"/>
  <c r="W234" i="21" s="1"/>
  <c r="L256" i="21"/>
  <c r="J306" i="21"/>
  <c r="J305" i="21" s="1"/>
  <c r="J295" i="21" s="1"/>
  <c r="K334" i="21"/>
  <c r="X374" i="21"/>
  <c r="P75" i="21"/>
  <c r="O94" i="21"/>
  <c r="O96" i="21"/>
  <c r="I138" i="21"/>
  <c r="I143" i="21"/>
  <c r="P147" i="21"/>
  <c r="K157" i="21"/>
  <c r="O163" i="21"/>
  <c r="J219" i="21"/>
  <c r="I291" i="21"/>
  <c r="X334" i="21"/>
  <c r="L367" i="21"/>
  <c r="L366" i="21" s="1"/>
  <c r="L357" i="21" s="1"/>
  <c r="L399" i="21"/>
  <c r="L408" i="21" s="1"/>
  <c r="L411" i="21" s="1"/>
  <c r="R22" i="10" s="1"/>
  <c r="L129" i="21"/>
  <c r="K138" i="21"/>
  <c r="P143" i="21"/>
  <c r="X147" i="21"/>
  <c r="K159" i="21"/>
  <c r="L202" i="21"/>
  <c r="L201" i="21" s="1"/>
  <c r="L192" i="21" s="1"/>
  <c r="P210" i="21"/>
  <c r="L238" i="21"/>
  <c r="J238" i="21"/>
  <c r="J256" i="21"/>
  <c r="P291" i="21"/>
  <c r="J299" i="21"/>
  <c r="I331" i="21"/>
  <c r="J343" i="21"/>
  <c r="J367" i="21"/>
  <c r="J366" i="21" s="1"/>
  <c r="J357" i="21" s="1"/>
  <c r="K180" i="21"/>
  <c r="L181" i="21"/>
  <c r="X154" i="21"/>
  <c r="I154" i="21"/>
  <c r="O154" i="21"/>
  <c r="K94" i="21"/>
  <c r="J110" i="21"/>
  <c r="J108" i="21"/>
  <c r="J99" i="21" s="1"/>
  <c r="O189" i="21"/>
  <c r="X189" i="21"/>
  <c r="I189" i="21"/>
  <c r="I262" i="21"/>
  <c r="J263" i="21"/>
  <c r="L88" i="21"/>
  <c r="J88" i="21"/>
  <c r="K96" i="21"/>
  <c r="J130" i="21"/>
  <c r="W129" i="21"/>
  <c r="G224" i="21"/>
  <c r="L225" i="21"/>
  <c r="X157" i="21"/>
  <c r="I157" i="21"/>
  <c r="I389" i="21"/>
  <c r="I145" i="21"/>
  <c r="W166" i="21"/>
  <c r="I210" i="21"/>
  <c r="L219" i="21"/>
  <c r="K331" i="21"/>
  <c r="K115" i="21"/>
  <c r="X150" i="21"/>
  <c r="I150" i="21"/>
  <c r="L174" i="21"/>
  <c r="X208" i="21"/>
  <c r="I208" i="21"/>
  <c r="J281" i="21"/>
  <c r="L281" i="21"/>
  <c r="L348" i="21"/>
  <c r="L338" i="21" s="1"/>
  <c r="I75" i="21"/>
  <c r="I94" i="21"/>
  <c r="I96" i="21"/>
  <c r="P141" i="21"/>
  <c r="O150" i="21"/>
  <c r="X152" i="21"/>
  <c r="I152" i="21"/>
  <c r="K163" i="21"/>
  <c r="J181" i="21"/>
  <c r="L175" i="21"/>
  <c r="I187" i="21"/>
  <c r="K288" i="21"/>
  <c r="P288" i="21"/>
  <c r="I135" i="21"/>
  <c r="I159" i="21"/>
  <c r="I161" i="21"/>
  <c r="J225" i="21"/>
  <c r="L244" i="21"/>
  <c r="W244" i="21"/>
  <c r="W270" i="21"/>
  <c r="L306" i="21"/>
  <c r="L263" i="21"/>
  <c r="J324" i="21"/>
  <c r="L324" i="21"/>
  <c r="J349" i="21"/>
  <c r="O374" i="21"/>
  <c r="L339" i="21" l="1"/>
  <c r="J120" i="21"/>
  <c r="W120" i="21" s="1"/>
  <c r="J409" i="21"/>
  <c r="W69" i="21"/>
  <c r="G372" i="21"/>
  <c r="I374" i="21"/>
  <c r="L110" i="21"/>
  <c r="K111" i="21" s="1"/>
  <c r="P111" i="21" s="1"/>
  <c r="J243" i="21"/>
  <c r="J233" i="21" s="1"/>
  <c r="L368" i="21"/>
  <c r="K369" i="21" s="1"/>
  <c r="P369" i="21" s="1"/>
  <c r="W109" i="21"/>
  <c r="W202" i="21"/>
  <c r="J358" i="21"/>
  <c r="W358" i="21" s="1"/>
  <c r="L68" i="21"/>
  <c r="L59" i="21" s="1"/>
  <c r="I204" i="21"/>
  <c r="O204" i="21" s="1"/>
  <c r="J201" i="21"/>
  <c r="J192" i="21" s="1"/>
  <c r="I199" i="21" s="1"/>
  <c r="W306" i="21"/>
  <c r="J193" i="21"/>
  <c r="W193" i="21" s="1"/>
  <c r="L100" i="21"/>
  <c r="J70" i="21"/>
  <c r="J64" i="21" s="1"/>
  <c r="W367" i="21"/>
  <c r="J60" i="21"/>
  <c r="I391" i="21"/>
  <c r="L70" i="21"/>
  <c r="K71" i="21" s="1"/>
  <c r="P71" i="21" s="1"/>
  <c r="L402" i="21"/>
  <c r="Q22" i="10" s="1"/>
  <c r="J245" i="21"/>
  <c r="J239" i="21" s="1"/>
  <c r="L358" i="21"/>
  <c r="J368" i="21"/>
  <c r="I369" i="21" s="1"/>
  <c r="I390" i="21"/>
  <c r="L203" i="21"/>
  <c r="L193" i="21"/>
  <c r="L128" i="21"/>
  <c r="L119" i="21" s="1"/>
  <c r="L130" i="21"/>
  <c r="J296" i="21"/>
  <c r="W296" i="21" s="1"/>
  <c r="J307" i="21"/>
  <c r="I308" i="21" s="1"/>
  <c r="L120" i="21"/>
  <c r="W349" i="21"/>
  <c r="J348" i="21"/>
  <c r="J338" i="21" s="1"/>
  <c r="J339" i="21"/>
  <c r="W339" i="21" s="1"/>
  <c r="J350" i="21"/>
  <c r="L272" i="21"/>
  <c r="L282" i="21"/>
  <c r="L280" i="21"/>
  <c r="L271" i="21" s="1"/>
  <c r="J124" i="21"/>
  <c r="I131" i="21"/>
  <c r="L104" i="21"/>
  <c r="K106" i="21" s="1"/>
  <c r="J264" i="21"/>
  <c r="W263" i="21"/>
  <c r="J262" i="21"/>
  <c r="J252" i="21" s="1"/>
  <c r="J253" i="21"/>
  <c r="W253" i="21" s="1"/>
  <c r="L323" i="21"/>
  <c r="L314" i="21" s="1"/>
  <c r="L315" i="21"/>
  <c r="L325" i="21"/>
  <c r="X199" i="21"/>
  <c r="W281" i="21"/>
  <c r="J280" i="21"/>
  <c r="J271" i="21" s="1"/>
  <c r="J272" i="21"/>
  <c r="W272" i="21" s="1"/>
  <c r="J282" i="21"/>
  <c r="L182" i="21"/>
  <c r="L168" i="21"/>
  <c r="L180" i="21"/>
  <c r="L167" i="21" s="1"/>
  <c r="J325" i="21"/>
  <c r="W324" i="21"/>
  <c r="J323" i="21"/>
  <c r="J314" i="21" s="1"/>
  <c r="J315" i="21"/>
  <c r="W315" i="21" s="1"/>
  <c r="L262" i="21"/>
  <c r="L252" i="21" s="1"/>
  <c r="L253" i="21"/>
  <c r="L264" i="21"/>
  <c r="L307" i="21"/>
  <c r="L296" i="21"/>
  <c r="L305" i="21"/>
  <c r="L295" i="21" s="1"/>
  <c r="L245" i="21"/>
  <c r="L234" i="21"/>
  <c r="L243" i="21"/>
  <c r="L233" i="21" s="1"/>
  <c r="O199" i="21"/>
  <c r="W181" i="21"/>
  <c r="J180" i="21"/>
  <c r="J167" i="21" s="1"/>
  <c r="J182" i="21"/>
  <c r="J168" i="21"/>
  <c r="W168" i="21" s="1"/>
  <c r="L362" i="21"/>
  <c r="L226" i="21"/>
  <c r="L224" i="21"/>
  <c r="L214" i="21" s="1"/>
  <c r="L215" i="21"/>
  <c r="J79" i="21"/>
  <c r="W79" i="21" s="1"/>
  <c r="J89" i="21"/>
  <c r="J87" i="21"/>
  <c r="J78" i="21" s="1"/>
  <c r="W88" i="21"/>
  <c r="J104" i="21"/>
  <c r="O106" i="21" s="1"/>
  <c r="I111" i="21"/>
  <c r="W60" i="21"/>
  <c r="L417" i="21"/>
  <c r="J226" i="21"/>
  <c r="J224" i="21"/>
  <c r="J214" i="21" s="1"/>
  <c r="J215" i="21"/>
  <c r="W215" i="21" s="1"/>
  <c r="W225" i="21"/>
  <c r="L344" i="21"/>
  <c r="P346" i="21" s="1"/>
  <c r="K351" i="21"/>
  <c r="P351" i="21" s="1"/>
  <c r="L87" i="21"/>
  <c r="L78" i="21" s="1"/>
  <c r="L79" i="21"/>
  <c r="L89" i="21"/>
  <c r="I206" i="21" l="1"/>
  <c r="O241" i="21"/>
  <c r="I71" i="21"/>
  <c r="Y71" i="21" s="1"/>
  <c r="L64" i="21"/>
  <c r="K66" i="21" s="1"/>
  <c r="K73" i="21" s="1"/>
  <c r="J362" i="21"/>
  <c r="X204" i="21"/>
  <c r="I246" i="21"/>
  <c r="X246" i="21" s="1"/>
  <c r="K346" i="21"/>
  <c r="K353" i="21" s="1"/>
  <c r="K113" i="21"/>
  <c r="I106" i="21"/>
  <c r="I113" i="21" s="1"/>
  <c r="Y106" i="21"/>
  <c r="J301" i="21"/>
  <c r="O303" i="21" s="1"/>
  <c r="I388" i="21"/>
  <c r="J399" i="21" s="1"/>
  <c r="J408" i="21" s="1"/>
  <c r="J411" i="21" s="1"/>
  <c r="X241" i="21"/>
  <c r="L197" i="21"/>
  <c r="K204" i="21"/>
  <c r="P204" i="21" s="1"/>
  <c r="I241" i="21"/>
  <c r="K131" i="21"/>
  <c r="P131" i="21" s="1"/>
  <c r="L124" i="21"/>
  <c r="P126" i="21" s="1"/>
  <c r="J319" i="21"/>
  <c r="O321" i="21" s="1"/>
  <c r="I326" i="21"/>
  <c r="J258" i="21"/>
  <c r="X260" i="21" s="1"/>
  <c r="I265" i="21"/>
  <c r="O131" i="21"/>
  <c r="X131" i="21"/>
  <c r="L276" i="21"/>
  <c r="K278" i="21" s="1"/>
  <c r="K283" i="21"/>
  <c r="P283" i="21" s="1"/>
  <c r="K90" i="21"/>
  <c r="P90" i="21" s="1"/>
  <c r="L83" i="21"/>
  <c r="P85" i="21" s="1"/>
  <c r="Y111" i="21"/>
  <c r="O111" i="21"/>
  <c r="O66" i="21"/>
  <c r="Y66" i="21"/>
  <c r="I66" i="21"/>
  <c r="I73" i="21" s="1"/>
  <c r="P106" i="21"/>
  <c r="I227" i="21"/>
  <c r="J220" i="21"/>
  <c r="I222" i="21" s="1"/>
  <c r="O308" i="21"/>
  <c r="X308" i="21"/>
  <c r="J83" i="21"/>
  <c r="O85" i="21" s="1"/>
  <c r="I90" i="21"/>
  <c r="K227" i="21"/>
  <c r="P227" i="21" s="1"/>
  <c r="L220" i="21"/>
  <c r="K222" i="21" s="1"/>
  <c r="L239" i="21"/>
  <c r="K241" i="21" s="1"/>
  <c r="K246" i="21"/>
  <c r="P246" i="21" s="1"/>
  <c r="K265" i="21"/>
  <c r="P265" i="21" s="1"/>
  <c r="L258" i="21"/>
  <c r="P260" i="21" s="1"/>
  <c r="P66" i="21"/>
  <c r="O369" i="21"/>
  <c r="X369" i="21"/>
  <c r="I351" i="21"/>
  <c r="J344" i="21"/>
  <c r="O346" i="21" s="1"/>
  <c r="I183" i="21"/>
  <c r="J176" i="21"/>
  <c r="I178" i="21" s="1"/>
  <c r="P364" i="21"/>
  <c r="K364" i="21"/>
  <c r="K371" i="21" s="1"/>
  <c r="L301" i="21"/>
  <c r="P303" i="21" s="1"/>
  <c r="K308" i="21"/>
  <c r="P308" i="21" s="1"/>
  <c r="I283" i="21"/>
  <c r="J276" i="21"/>
  <c r="I278" i="21" s="1"/>
  <c r="I126" i="21"/>
  <c r="I133" i="21" s="1"/>
  <c r="O126" i="21"/>
  <c r="X126" i="21"/>
  <c r="L176" i="21"/>
  <c r="K178" i="21" s="1"/>
  <c r="K183" i="21"/>
  <c r="P183" i="21" s="1"/>
  <c r="K326" i="21"/>
  <c r="P326" i="21" s="1"/>
  <c r="L319" i="21"/>
  <c r="K321" i="21" s="1"/>
  <c r="I364" i="21"/>
  <c r="I371" i="21" s="1"/>
  <c r="O364" i="21"/>
  <c r="X364" i="21"/>
  <c r="O71" i="21" l="1"/>
  <c r="Y85" i="21"/>
  <c r="P222" i="21"/>
  <c r="I229" i="21"/>
  <c r="P241" i="21"/>
  <c r="I85" i="21"/>
  <c r="I92" i="21" s="1"/>
  <c r="I248" i="21"/>
  <c r="O246" i="21"/>
  <c r="K260" i="21"/>
  <c r="P278" i="21"/>
  <c r="I321" i="21"/>
  <c r="I328" i="21" s="1"/>
  <c r="O260" i="21"/>
  <c r="X321" i="21"/>
  <c r="I260" i="21"/>
  <c r="I267" i="21" s="1"/>
  <c r="X222" i="21"/>
  <c r="I285" i="21"/>
  <c r="O222" i="21"/>
  <c r="I185" i="21"/>
  <c r="J402" i="21"/>
  <c r="P22" i="10" s="1"/>
  <c r="K328" i="21"/>
  <c r="I303" i="21"/>
  <c r="I310" i="21" s="1"/>
  <c r="X303" i="21"/>
  <c r="K199" i="21"/>
  <c r="K206" i="21" s="1"/>
  <c r="P199" i="21"/>
  <c r="K185" i="21"/>
  <c r="X278" i="21"/>
  <c r="K85" i="21"/>
  <c r="K92" i="21" s="1"/>
  <c r="X346" i="21"/>
  <c r="K248" i="21"/>
  <c r="O278" i="21"/>
  <c r="P321" i="21"/>
  <c r="K126" i="21"/>
  <c r="K133" i="21" s="1"/>
  <c r="P178" i="21"/>
  <c r="I346" i="21"/>
  <c r="I353" i="21" s="1"/>
  <c r="X183" i="21"/>
  <c r="O183" i="21"/>
  <c r="X351" i="21"/>
  <c r="O351" i="21"/>
  <c r="O90" i="21"/>
  <c r="Y90" i="21"/>
  <c r="O178" i="21"/>
  <c r="O265" i="21"/>
  <c r="X265" i="21"/>
  <c r="K285" i="21"/>
  <c r="K303" i="21"/>
  <c r="K310" i="21" s="1"/>
  <c r="X178" i="21"/>
  <c r="X283" i="21"/>
  <c r="O283" i="21"/>
  <c r="X326" i="21"/>
  <c r="O326" i="21"/>
  <c r="K229" i="21"/>
  <c r="K267" i="21"/>
  <c r="X227" i="21"/>
  <c r="O227" i="21"/>
  <c r="J417" i="21"/>
  <c r="K376" i="21" l="1"/>
  <c r="K384" i="21"/>
  <c r="L397" i="21" s="1"/>
  <c r="L398" i="21" s="1"/>
  <c r="F22" i="10" s="1"/>
  <c r="T22" i="10" s="1"/>
  <c r="K380" i="21"/>
  <c r="I376" i="21"/>
  <c r="I384" i="21"/>
  <c r="J397" i="21" s="1"/>
  <c r="J403" i="21" s="1"/>
  <c r="I380" i="21"/>
  <c r="L403" i="21" l="1"/>
  <c r="L406" i="21"/>
  <c r="L407" i="21" s="1"/>
  <c r="G22" i="10" s="1"/>
  <c r="J406" i="21"/>
  <c r="J407" i="21" s="1"/>
  <c r="J416" i="21" s="1"/>
  <c r="J398" i="21"/>
  <c r="E22" i="10" s="1"/>
  <c r="S22" i="10" s="1"/>
  <c r="L416" i="21" l="1"/>
  <c r="U22" i="10"/>
  <c r="J412" i="21"/>
  <c r="J415" i="21" s="1"/>
  <c r="L412" i="21"/>
  <c r="L415" i="21" s="1"/>
  <c r="S21" i="10" l="1"/>
  <c r="T21" i="10"/>
  <c r="U21" i="10" l="1"/>
  <c r="K187" i="19"/>
  <c r="D187" i="19"/>
  <c r="K186" i="19"/>
  <c r="D186" i="19"/>
  <c r="K185" i="19"/>
  <c r="D185" i="19"/>
  <c r="K184" i="19"/>
  <c r="D184" i="19"/>
  <c r="K183" i="19"/>
  <c r="L196" i="19" s="1"/>
  <c r="D183" i="19"/>
  <c r="K182" i="19"/>
  <c r="J182" i="19"/>
  <c r="K181" i="19"/>
  <c r="J181" i="19"/>
  <c r="AL180" i="19"/>
  <c r="A180" i="19"/>
  <c r="K178" i="19"/>
  <c r="J178" i="19"/>
  <c r="K177" i="19"/>
  <c r="J177" i="19"/>
  <c r="K175" i="19"/>
  <c r="J175" i="19"/>
  <c r="K174" i="19"/>
  <c r="J174" i="19"/>
  <c r="AL173" i="19"/>
  <c r="A173" i="19"/>
  <c r="AA171" i="19"/>
  <c r="Z171" i="19"/>
  <c r="Y171" i="19"/>
  <c r="V170" i="19"/>
  <c r="U170" i="19"/>
  <c r="T170" i="19"/>
  <c r="S170" i="19"/>
  <c r="R170" i="19"/>
  <c r="Q170" i="19"/>
  <c r="F170" i="19"/>
  <c r="J170" i="19" s="1"/>
  <c r="G170" i="19" s="1"/>
  <c r="E170" i="19"/>
  <c r="C170" i="19"/>
  <c r="B170" i="19"/>
  <c r="AA169" i="19"/>
  <c r="Z169" i="19"/>
  <c r="Y169" i="19"/>
  <c r="V168" i="19"/>
  <c r="U168" i="19"/>
  <c r="T168" i="19"/>
  <c r="S168" i="19"/>
  <c r="R168" i="19"/>
  <c r="Q168" i="19"/>
  <c r="F168" i="19"/>
  <c r="J168" i="19" s="1"/>
  <c r="G168" i="19" s="1"/>
  <c r="E168" i="19"/>
  <c r="C168" i="19"/>
  <c r="B168" i="19"/>
  <c r="AA167" i="19"/>
  <c r="Z167" i="19"/>
  <c r="Y167" i="19"/>
  <c r="V166" i="19"/>
  <c r="U166" i="19"/>
  <c r="T166" i="19"/>
  <c r="S166" i="19"/>
  <c r="R166" i="19"/>
  <c r="Q166" i="19"/>
  <c r="F166" i="19"/>
  <c r="E166" i="19"/>
  <c r="C166" i="19"/>
  <c r="B166" i="19"/>
  <c r="AA165" i="19"/>
  <c r="Z165" i="19"/>
  <c r="Y165" i="19"/>
  <c r="V164" i="19"/>
  <c r="U164" i="19"/>
  <c r="T164" i="19"/>
  <c r="S164" i="19"/>
  <c r="R164" i="19"/>
  <c r="Q164" i="19"/>
  <c r="F164" i="19"/>
  <c r="J164" i="19" s="1"/>
  <c r="G164" i="19" s="1"/>
  <c r="E164" i="19"/>
  <c r="C164" i="19"/>
  <c r="B164" i="19"/>
  <c r="AA163" i="19"/>
  <c r="Z163" i="19"/>
  <c r="Y163" i="19"/>
  <c r="V162" i="19"/>
  <c r="U162" i="19"/>
  <c r="T162" i="19"/>
  <c r="S162" i="19"/>
  <c r="R162" i="19"/>
  <c r="Q162" i="19"/>
  <c r="P163" i="19"/>
  <c r="H162" i="19"/>
  <c r="F162" i="19"/>
  <c r="J162" i="19" s="1"/>
  <c r="G162" i="19" s="1"/>
  <c r="E162" i="19"/>
  <c r="C162" i="19"/>
  <c r="B162" i="19"/>
  <c r="AA159" i="19"/>
  <c r="Z159" i="19"/>
  <c r="Y159" i="19"/>
  <c r="K158" i="19"/>
  <c r="F158" i="19"/>
  <c r="K157" i="19"/>
  <c r="K156" i="19" s="1"/>
  <c r="I157" i="19"/>
  <c r="I156" i="19" s="1"/>
  <c r="G157" i="19"/>
  <c r="G156" i="19" s="1"/>
  <c r="H156" i="19"/>
  <c r="AA154" i="19"/>
  <c r="Z154" i="19"/>
  <c r="Y154" i="19"/>
  <c r="J153" i="19"/>
  <c r="I153" i="19"/>
  <c r="H153" i="19"/>
  <c r="F153" i="19"/>
  <c r="K152" i="19"/>
  <c r="F152" i="19"/>
  <c r="K151" i="19"/>
  <c r="F151" i="19"/>
  <c r="K150" i="19"/>
  <c r="F150" i="19"/>
  <c r="L149" i="19"/>
  <c r="K149" i="19"/>
  <c r="J149" i="19"/>
  <c r="I149" i="19"/>
  <c r="H149" i="19"/>
  <c r="G149" i="19"/>
  <c r="K148" i="19"/>
  <c r="I148" i="19"/>
  <c r="H148" i="19"/>
  <c r="G148" i="19"/>
  <c r="K147" i="19"/>
  <c r="I147" i="19"/>
  <c r="H147" i="19"/>
  <c r="G147" i="19"/>
  <c r="L146" i="19"/>
  <c r="K146" i="19"/>
  <c r="J146" i="19"/>
  <c r="W146" i="19" s="1"/>
  <c r="I146" i="19"/>
  <c r="H146" i="19"/>
  <c r="G146" i="19"/>
  <c r="V145" i="19"/>
  <c r="U145" i="19"/>
  <c r="T145" i="19"/>
  <c r="L151" i="19" s="1"/>
  <c r="S145" i="19"/>
  <c r="J151" i="19" s="1"/>
  <c r="R145" i="19"/>
  <c r="L150" i="19" s="1"/>
  <c r="Q145" i="19"/>
  <c r="J150" i="19" s="1"/>
  <c r="F145" i="19"/>
  <c r="E145" i="19"/>
  <c r="C145" i="19"/>
  <c r="B145" i="19"/>
  <c r="AA142" i="19"/>
  <c r="Z142" i="19"/>
  <c r="Y142" i="19"/>
  <c r="K141" i="19"/>
  <c r="F141" i="19"/>
  <c r="K140" i="19"/>
  <c r="K139" i="19" s="1"/>
  <c r="I140" i="19"/>
  <c r="I139" i="19" s="1"/>
  <c r="G140" i="19"/>
  <c r="H139" i="19"/>
  <c r="AA137" i="19"/>
  <c r="Z137" i="19"/>
  <c r="Y137" i="19"/>
  <c r="J136" i="19"/>
  <c r="I136" i="19"/>
  <c r="H136" i="19"/>
  <c r="F136" i="19"/>
  <c r="K135" i="19"/>
  <c r="F135" i="19"/>
  <c r="K134" i="19"/>
  <c r="F134" i="19"/>
  <c r="K133" i="19"/>
  <c r="F133" i="19"/>
  <c r="AA132" i="19"/>
  <c r="Z132" i="19"/>
  <c r="Y132" i="19"/>
  <c r="V132" i="19"/>
  <c r="U132" i="19"/>
  <c r="T132" i="19"/>
  <c r="S132" i="19"/>
  <c r="R132" i="19"/>
  <c r="Q132" i="19"/>
  <c r="L132" i="19"/>
  <c r="K132" i="19"/>
  <c r="J132" i="19"/>
  <c r="X132" i="19" s="1"/>
  <c r="I132" i="19"/>
  <c r="G132" i="19"/>
  <c r="F132" i="19"/>
  <c r="E132" i="19"/>
  <c r="C132" i="19"/>
  <c r="B132" i="19"/>
  <c r="L131" i="19"/>
  <c r="K131" i="19"/>
  <c r="J131" i="19"/>
  <c r="I131" i="19"/>
  <c r="H131" i="19"/>
  <c r="G131" i="19"/>
  <c r="K130" i="19"/>
  <c r="I130" i="19"/>
  <c r="H130" i="19"/>
  <c r="G130" i="19"/>
  <c r="K129" i="19"/>
  <c r="I129" i="19"/>
  <c r="H129" i="19"/>
  <c r="G129" i="19"/>
  <c r="L128" i="19"/>
  <c r="K128" i="19"/>
  <c r="J128" i="19"/>
  <c r="W128" i="19" s="1"/>
  <c r="I128" i="19"/>
  <c r="H128" i="19"/>
  <c r="G128" i="19"/>
  <c r="V127" i="19"/>
  <c r="U127" i="19"/>
  <c r="T127" i="19"/>
  <c r="S127" i="19"/>
  <c r="R127" i="19"/>
  <c r="Q127" i="19"/>
  <c r="F127" i="19"/>
  <c r="E127" i="19"/>
  <c r="C127" i="19"/>
  <c r="B127" i="19"/>
  <c r="AA124" i="19"/>
  <c r="Z124" i="19"/>
  <c r="Y124" i="19"/>
  <c r="K123" i="19"/>
  <c r="F123" i="19"/>
  <c r="K122" i="19"/>
  <c r="K121" i="19" s="1"/>
  <c r="I122" i="19"/>
  <c r="I121" i="19" s="1"/>
  <c r="G122" i="19"/>
  <c r="G121" i="19" s="1"/>
  <c r="H121" i="19"/>
  <c r="AA119" i="19"/>
  <c r="Z119" i="19"/>
  <c r="Y119" i="19"/>
  <c r="J118" i="19"/>
  <c r="I118" i="19"/>
  <c r="H118" i="19"/>
  <c r="F118" i="19"/>
  <c r="K117" i="19"/>
  <c r="F117" i="19"/>
  <c r="K116" i="19"/>
  <c r="F116" i="19"/>
  <c r="K115" i="19"/>
  <c r="F115" i="19"/>
  <c r="AA114" i="19"/>
  <c r="Z114" i="19"/>
  <c r="Y114" i="19"/>
  <c r="V114" i="19"/>
  <c r="U114" i="19"/>
  <c r="T114" i="19"/>
  <c r="S114" i="19"/>
  <c r="R114" i="19"/>
  <c r="Q114" i="19"/>
  <c r="L114" i="19"/>
  <c r="K114" i="19"/>
  <c r="J114" i="19"/>
  <c r="X114" i="19" s="1"/>
  <c r="I114" i="19"/>
  <c r="G114" i="19"/>
  <c r="F114" i="19"/>
  <c r="E114" i="19"/>
  <c r="C114" i="19"/>
  <c r="B114" i="19"/>
  <c r="L113" i="19"/>
  <c r="K113" i="19"/>
  <c r="J113" i="19"/>
  <c r="I113" i="19"/>
  <c r="H113" i="19"/>
  <c r="G113" i="19"/>
  <c r="K112" i="19"/>
  <c r="I112" i="19"/>
  <c r="H112" i="19"/>
  <c r="G112" i="19"/>
  <c r="K111" i="19"/>
  <c r="I111" i="19"/>
  <c r="H111" i="19"/>
  <c r="G111" i="19"/>
  <c r="L110" i="19"/>
  <c r="K110" i="19"/>
  <c r="J110" i="19"/>
  <c r="W110" i="19" s="1"/>
  <c r="I110" i="19"/>
  <c r="H110" i="19"/>
  <c r="G110" i="19"/>
  <c r="V109" i="19"/>
  <c r="U109" i="19"/>
  <c r="T109" i="19"/>
  <c r="S109" i="19"/>
  <c r="R109" i="19"/>
  <c r="Q109" i="19"/>
  <c r="F109" i="19"/>
  <c r="E109" i="19"/>
  <c r="C109" i="19"/>
  <c r="B109" i="19"/>
  <c r="AA106" i="19"/>
  <c r="Z106" i="19"/>
  <c r="Y106" i="19"/>
  <c r="K105" i="19"/>
  <c r="F105" i="19"/>
  <c r="K104" i="19"/>
  <c r="K103" i="19" s="1"/>
  <c r="I104" i="19"/>
  <c r="I103" i="19" s="1"/>
  <c r="G104" i="19"/>
  <c r="G103" i="19" s="1"/>
  <c r="H103" i="19"/>
  <c r="AA101" i="19"/>
  <c r="Z101" i="19"/>
  <c r="Y101" i="19"/>
  <c r="J100" i="19"/>
  <c r="I100" i="19"/>
  <c r="H100" i="19"/>
  <c r="F100" i="19"/>
  <c r="K99" i="19"/>
  <c r="F99" i="19"/>
  <c r="K98" i="19"/>
  <c r="F98" i="19"/>
  <c r="K97" i="19"/>
  <c r="F97" i="19"/>
  <c r="AA96" i="19"/>
  <c r="Z96" i="19"/>
  <c r="Y96" i="19"/>
  <c r="V96" i="19"/>
  <c r="U96" i="19"/>
  <c r="T96" i="19"/>
  <c r="S96" i="19"/>
  <c r="R96" i="19"/>
  <c r="Q96" i="19"/>
  <c r="L96" i="19"/>
  <c r="K96" i="19"/>
  <c r="J96" i="19"/>
  <c r="X96" i="19" s="1"/>
  <c r="I96" i="19"/>
  <c r="G96" i="19"/>
  <c r="F96" i="19"/>
  <c r="E96" i="19"/>
  <c r="C96" i="19"/>
  <c r="B96" i="19"/>
  <c r="L95" i="19"/>
  <c r="K95" i="19"/>
  <c r="J95" i="19"/>
  <c r="I95" i="19"/>
  <c r="H95" i="19"/>
  <c r="G95" i="19"/>
  <c r="K94" i="19"/>
  <c r="I94" i="19"/>
  <c r="H94" i="19"/>
  <c r="G94" i="19"/>
  <c r="K93" i="19"/>
  <c r="I93" i="19"/>
  <c r="H93" i="19"/>
  <c r="G93" i="19"/>
  <c r="L92" i="19"/>
  <c r="K92" i="19"/>
  <c r="J92" i="19"/>
  <c r="W92" i="19" s="1"/>
  <c r="I92" i="19"/>
  <c r="H92" i="19"/>
  <c r="G92" i="19"/>
  <c r="V91" i="19"/>
  <c r="U91" i="19"/>
  <c r="T91" i="19"/>
  <c r="S91" i="19"/>
  <c r="R91" i="19"/>
  <c r="Q91" i="19"/>
  <c r="F91" i="19"/>
  <c r="E91" i="19"/>
  <c r="C91" i="19"/>
  <c r="B91" i="19"/>
  <c r="AA90" i="19"/>
  <c r="Z90" i="19"/>
  <c r="Y90" i="19"/>
  <c r="V89" i="19"/>
  <c r="U89" i="19"/>
  <c r="T89" i="19"/>
  <c r="S89" i="19"/>
  <c r="R89" i="19"/>
  <c r="Q89" i="19"/>
  <c r="L89" i="19"/>
  <c r="K90" i="19" s="1"/>
  <c r="K89" i="19"/>
  <c r="J89" i="19"/>
  <c r="O90" i="19" s="1"/>
  <c r="I89" i="19"/>
  <c r="H89" i="19"/>
  <c r="G89" i="19"/>
  <c r="F89" i="19"/>
  <c r="E89" i="19"/>
  <c r="C89" i="19"/>
  <c r="B89" i="19"/>
  <c r="AA86" i="19"/>
  <c r="Z86" i="19"/>
  <c r="Y86" i="19"/>
  <c r="K85" i="19"/>
  <c r="F85" i="19"/>
  <c r="K84" i="19"/>
  <c r="K83" i="19" s="1"/>
  <c r="I84" i="19"/>
  <c r="I83" i="19" s="1"/>
  <c r="G84" i="19"/>
  <c r="G83" i="19" s="1"/>
  <c r="H83" i="19"/>
  <c r="AA81" i="19"/>
  <c r="Z81" i="19"/>
  <c r="Y81" i="19"/>
  <c r="J80" i="19"/>
  <c r="I80" i="19"/>
  <c r="H80" i="19"/>
  <c r="F80" i="19"/>
  <c r="K79" i="19"/>
  <c r="F79" i="19"/>
  <c r="K78" i="19"/>
  <c r="F78" i="19"/>
  <c r="K77" i="19"/>
  <c r="F77" i="19"/>
  <c r="L76" i="19"/>
  <c r="K76" i="19"/>
  <c r="J76" i="19"/>
  <c r="I76" i="19"/>
  <c r="H76" i="19"/>
  <c r="G76" i="19"/>
  <c r="K75" i="19"/>
  <c r="I75" i="19"/>
  <c r="H75" i="19"/>
  <c r="G75" i="19"/>
  <c r="K74" i="19"/>
  <c r="I74" i="19"/>
  <c r="H74" i="19"/>
  <c r="G74" i="19"/>
  <c r="L73" i="19"/>
  <c r="K73" i="19"/>
  <c r="J73" i="19"/>
  <c r="W73" i="19" s="1"/>
  <c r="I73" i="19"/>
  <c r="H73" i="19"/>
  <c r="G73" i="19"/>
  <c r="V72" i="19"/>
  <c r="U72" i="19"/>
  <c r="T72" i="19"/>
  <c r="L78" i="19" s="1"/>
  <c r="S72" i="19"/>
  <c r="J78" i="19" s="1"/>
  <c r="R72" i="19"/>
  <c r="L77" i="19" s="1"/>
  <c r="Q72" i="19"/>
  <c r="J77" i="19" s="1"/>
  <c r="F72" i="19"/>
  <c r="E72" i="19"/>
  <c r="B72" i="19"/>
  <c r="AA71" i="19"/>
  <c r="Z71" i="19"/>
  <c r="Y71" i="19"/>
  <c r="V70" i="19"/>
  <c r="U70" i="19"/>
  <c r="T70" i="19"/>
  <c r="S70" i="19"/>
  <c r="R70" i="19"/>
  <c r="Q70" i="19"/>
  <c r="L70" i="19"/>
  <c r="K71" i="19" s="1"/>
  <c r="K70" i="19"/>
  <c r="J70" i="19"/>
  <c r="X71" i="19" s="1"/>
  <c r="I70" i="19"/>
  <c r="H70" i="19"/>
  <c r="G70" i="19"/>
  <c r="F70" i="19"/>
  <c r="E70" i="19"/>
  <c r="C70" i="19"/>
  <c r="B70" i="19"/>
  <c r="AA69" i="19"/>
  <c r="Z69" i="19"/>
  <c r="X69" i="19"/>
  <c r="V68" i="19"/>
  <c r="U68" i="19"/>
  <c r="T68" i="19"/>
  <c r="S68" i="19"/>
  <c r="R68" i="19"/>
  <c r="Q68" i="19"/>
  <c r="K68" i="19"/>
  <c r="I68" i="19"/>
  <c r="H68" i="19"/>
  <c r="F68" i="19"/>
  <c r="E68" i="19"/>
  <c r="C68" i="19"/>
  <c r="B68" i="19"/>
  <c r="AA65" i="19"/>
  <c r="Z65" i="19"/>
  <c r="Y65" i="19"/>
  <c r="K64" i="19"/>
  <c r="F64" i="19"/>
  <c r="K63" i="19"/>
  <c r="K62" i="19" s="1"/>
  <c r="I63" i="19"/>
  <c r="I62" i="19" s="1"/>
  <c r="G63" i="19"/>
  <c r="H62" i="19"/>
  <c r="AA60" i="19"/>
  <c r="Z60" i="19"/>
  <c r="Y60" i="19"/>
  <c r="J59" i="19"/>
  <c r="I59" i="19"/>
  <c r="H59" i="19"/>
  <c r="F59" i="19"/>
  <c r="K58" i="19"/>
  <c r="F58" i="19"/>
  <c r="K57" i="19"/>
  <c r="F57" i="19"/>
  <c r="K56" i="19"/>
  <c r="F56" i="19"/>
  <c r="L55" i="19"/>
  <c r="K55" i="19"/>
  <c r="J55" i="19"/>
  <c r="I55" i="19"/>
  <c r="H55" i="19"/>
  <c r="G55" i="19"/>
  <c r="K54" i="19"/>
  <c r="I54" i="19"/>
  <c r="H54" i="19"/>
  <c r="G54" i="19"/>
  <c r="K53" i="19"/>
  <c r="I53" i="19"/>
  <c r="H53" i="19"/>
  <c r="G53" i="19"/>
  <c r="L52" i="19"/>
  <c r="K52" i="19"/>
  <c r="J52" i="19"/>
  <c r="W52" i="19" s="1"/>
  <c r="I52" i="19"/>
  <c r="H52" i="19"/>
  <c r="G52" i="19"/>
  <c r="V51" i="19"/>
  <c r="U51" i="19"/>
  <c r="T51" i="19"/>
  <c r="L57" i="19" s="1"/>
  <c r="S51" i="19"/>
  <c r="J57" i="19" s="1"/>
  <c r="R51" i="19"/>
  <c r="L56" i="19" s="1"/>
  <c r="Q51" i="19"/>
  <c r="J56" i="19" s="1"/>
  <c r="F51" i="19"/>
  <c r="E51" i="19"/>
  <c r="C51" i="19"/>
  <c r="B51" i="19"/>
  <c r="A50" i="19"/>
  <c r="J24" i="19"/>
  <c r="J21" i="19"/>
  <c r="AJ19" i="19"/>
  <c r="J18" i="19"/>
  <c r="A1" i="19"/>
  <c r="J68" i="19" l="1"/>
  <c r="P165" i="19"/>
  <c r="I171" i="19"/>
  <c r="J166" i="19"/>
  <c r="L205" i="19"/>
  <c r="O20" i="10"/>
  <c r="I163" i="19"/>
  <c r="P171" i="19"/>
  <c r="O169" i="19"/>
  <c r="K69" i="19"/>
  <c r="P169" i="19"/>
  <c r="O165" i="19"/>
  <c r="P167" i="19"/>
  <c r="L133" i="19"/>
  <c r="J97" i="19"/>
  <c r="L115" i="19"/>
  <c r="O163" i="19"/>
  <c r="J116" i="19"/>
  <c r="J140" i="19"/>
  <c r="W140" i="19" s="1"/>
  <c r="L195" i="19"/>
  <c r="L204" i="19" s="1"/>
  <c r="L207" i="19" s="1"/>
  <c r="R20" i="10" s="1"/>
  <c r="L98" i="19"/>
  <c r="J122" i="19"/>
  <c r="W122" i="19" s="1"/>
  <c r="J133" i="19"/>
  <c r="O171" i="19"/>
  <c r="P71" i="19"/>
  <c r="J115" i="19"/>
  <c r="X163" i="19"/>
  <c r="X171" i="19"/>
  <c r="P90" i="19"/>
  <c r="L63" i="19"/>
  <c r="L62" i="19" s="1"/>
  <c r="L53" i="19" s="1"/>
  <c r="J134" i="19"/>
  <c r="L157" i="19"/>
  <c r="L148" i="19" s="1"/>
  <c r="I165" i="19"/>
  <c r="I169" i="19"/>
  <c r="I185" i="19"/>
  <c r="O71" i="19"/>
  <c r="J104" i="19"/>
  <c r="J103" i="19" s="1"/>
  <c r="J93" i="19" s="1"/>
  <c r="L104" i="19"/>
  <c r="L105" i="19" s="1"/>
  <c r="L116" i="19"/>
  <c r="X165" i="19"/>
  <c r="X169" i="19"/>
  <c r="L97" i="19"/>
  <c r="G62" i="19"/>
  <c r="P69" i="19"/>
  <c r="I71" i="19"/>
  <c r="L84" i="19"/>
  <c r="J84" i="19"/>
  <c r="J75" i="19" s="1"/>
  <c r="W75" i="19" s="1"/>
  <c r="J98" i="19"/>
  <c r="L140" i="19"/>
  <c r="L130" i="19" s="1"/>
  <c r="J141" i="19"/>
  <c r="J94" i="19"/>
  <c r="W94" i="19" s="1"/>
  <c r="K167" i="19"/>
  <c r="J63" i="19"/>
  <c r="G139" i="19"/>
  <c r="J157" i="19"/>
  <c r="K165" i="19"/>
  <c r="K163" i="19"/>
  <c r="K171" i="19"/>
  <c r="X90" i="19"/>
  <c r="I90" i="19"/>
  <c r="L122" i="19"/>
  <c r="L134" i="19"/>
  <c r="K169" i="19"/>
  <c r="G166" i="19" l="1"/>
  <c r="X167" i="19"/>
  <c r="I183" i="19"/>
  <c r="J196" i="19" s="1"/>
  <c r="J205" i="19" s="1"/>
  <c r="I167" i="19"/>
  <c r="O167" i="19"/>
  <c r="G68" i="19"/>
  <c r="Y69" i="19"/>
  <c r="I69" i="19"/>
  <c r="O69" i="19"/>
  <c r="L64" i="19"/>
  <c r="K65" i="19" s="1"/>
  <c r="P65" i="19" s="1"/>
  <c r="J112" i="19"/>
  <c r="W112" i="19" s="1"/>
  <c r="J123" i="19"/>
  <c r="I124" i="19" s="1"/>
  <c r="X124" i="19" s="1"/>
  <c r="W84" i="19"/>
  <c r="L54" i="19"/>
  <c r="J130" i="19"/>
  <c r="W130" i="19" s="1"/>
  <c r="W104" i="19"/>
  <c r="J139" i="19"/>
  <c r="J129" i="19" s="1"/>
  <c r="L198" i="19"/>
  <c r="Q20" i="10" s="1"/>
  <c r="I187" i="19"/>
  <c r="J105" i="19"/>
  <c r="J99" i="19" s="1"/>
  <c r="X101" i="19" s="1"/>
  <c r="I186" i="19"/>
  <c r="L103" i="19"/>
  <c r="L93" i="19" s="1"/>
  <c r="J121" i="19"/>
  <c r="J111" i="19" s="1"/>
  <c r="J117" i="19"/>
  <c r="L158" i="19"/>
  <c r="K159" i="19" s="1"/>
  <c r="P159" i="19" s="1"/>
  <c r="L156" i="19"/>
  <c r="L147" i="19" s="1"/>
  <c r="L139" i="19"/>
  <c r="L129" i="19" s="1"/>
  <c r="J85" i="19"/>
  <c r="J79" i="19" s="1"/>
  <c r="L94" i="19"/>
  <c r="L141" i="19"/>
  <c r="K142" i="19" s="1"/>
  <c r="P142" i="19" s="1"/>
  <c r="L83" i="19"/>
  <c r="L74" i="19" s="1"/>
  <c r="L85" i="19"/>
  <c r="L75" i="19"/>
  <c r="J83" i="19"/>
  <c r="J74" i="19" s="1"/>
  <c r="W63" i="19"/>
  <c r="J62" i="19"/>
  <c r="J53" i="19" s="1"/>
  <c r="J54" i="19"/>
  <c r="J64" i="19"/>
  <c r="L58" i="19"/>
  <c r="P60" i="19" s="1"/>
  <c r="I142" i="19"/>
  <c r="J135" i="19"/>
  <c r="K106" i="19"/>
  <c r="P106" i="19" s="1"/>
  <c r="L99" i="19"/>
  <c r="L121" i="19"/>
  <c r="L111" i="19" s="1"/>
  <c r="L123" i="19"/>
  <c r="L112" i="19"/>
  <c r="L213" i="19"/>
  <c r="J158" i="19"/>
  <c r="J156" i="19"/>
  <c r="J147" i="19" s="1"/>
  <c r="J148" i="19"/>
  <c r="W148" i="19" s="1"/>
  <c r="W157" i="19"/>
  <c r="N20" i="10" l="1"/>
  <c r="K60" i="19"/>
  <c r="K67" i="19" s="1"/>
  <c r="O124" i="19"/>
  <c r="X119" i="19"/>
  <c r="X137" i="19"/>
  <c r="K101" i="19"/>
  <c r="K108" i="19" s="1"/>
  <c r="I106" i="19"/>
  <c r="I86" i="19"/>
  <c r="X86" i="19" s="1"/>
  <c r="O119" i="19"/>
  <c r="L152" i="19"/>
  <c r="K154" i="19" s="1"/>
  <c r="K161" i="19" s="1"/>
  <c r="O81" i="19"/>
  <c r="I119" i="19"/>
  <c r="I126" i="19" s="1"/>
  <c r="X81" i="19"/>
  <c r="L135" i="19"/>
  <c r="K137" i="19" s="1"/>
  <c r="K144" i="19" s="1"/>
  <c r="O137" i="19"/>
  <c r="I81" i="19"/>
  <c r="I88" i="19" s="1"/>
  <c r="P101" i="19"/>
  <c r="L79" i="19"/>
  <c r="K81" i="19" s="1"/>
  <c r="K86" i="19"/>
  <c r="P86" i="19" s="1"/>
  <c r="I137" i="19"/>
  <c r="I144" i="19" s="1"/>
  <c r="X142" i="19"/>
  <c r="O142" i="19"/>
  <c r="J152" i="19"/>
  <c r="O154" i="19" s="1"/>
  <c r="I159" i="19"/>
  <c r="K124" i="19"/>
  <c r="P124" i="19" s="1"/>
  <c r="L117" i="19"/>
  <c r="K119" i="19" s="1"/>
  <c r="X106" i="19"/>
  <c r="O106" i="19"/>
  <c r="I65" i="19"/>
  <c r="J58" i="19"/>
  <c r="O60" i="19" s="1"/>
  <c r="O86" i="19"/>
  <c r="I101" i="19"/>
  <c r="O101" i="19"/>
  <c r="I184" i="19"/>
  <c r="J195" i="19" s="1"/>
  <c r="W54" i="19"/>
  <c r="I108" i="19" l="1"/>
  <c r="K126" i="19"/>
  <c r="P154" i="19"/>
  <c r="P137" i="19"/>
  <c r="K88" i="19"/>
  <c r="P81" i="19"/>
  <c r="X154" i="19"/>
  <c r="X60" i="19"/>
  <c r="P119" i="19"/>
  <c r="X159" i="19"/>
  <c r="O159" i="19"/>
  <c r="I154" i="19"/>
  <c r="I161" i="19" s="1"/>
  <c r="I60" i="19"/>
  <c r="I67" i="19" s="1"/>
  <c r="J204" i="19"/>
  <c r="J207" i="19" s="1"/>
  <c r="J198" i="19"/>
  <c r="P20" i="10" s="1"/>
  <c r="X65" i="19"/>
  <c r="O65" i="19"/>
  <c r="I180" i="19" l="1"/>
  <c r="J193" i="19" s="1"/>
  <c r="J199" i="19" s="1"/>
  <c r="K180" i="19"/>
  <c r="L193" i="19" s="1"/>
  <c r="L199" i="19" s="1"/>
  <c r="K173" i="19"/>
  <c r="J213" i="19"/>
  <c r="I173" i="19"/>
  <c r="J194" i="19" l="1"/>
  <c r="E20" i="10" s="1"/>
  <c r="S20" i="10" s="1"/>
  <c r="J202" i="19"/>
  <c r="J203" i="19" s="1"/>
  <c r="J212" i="19" s="1"/>
  <c r="L202" i="19"/>
  <c r="L194" i="19"/>
  <c r="F20" i="10" s="1"/>
  <c r="T20" i="10" s="1"/>
  <c r="L120" i="18"/>
  <c r="K116" i="18"/>
  <c r="D116" i="18"/>
  <c r="K115" i="18"/>
  <c r="D115" i="18"/>
  <c r="K114" i="18"/>
  <c r="D114" i="18"/>
  <c r="K113" i="18"/>
  <c r="D113" i="18"/>
  <c r="K112" i="18"/>
  <c r="L125" i="18" s="1"/>
  <c r="D112" i="18"/>
  <c r="K111" i="18"/>
  <c r="J111" i="18"/>
  <c r="K110" i="18"/>
  <c r="J110" i="18"/>
  <c r="AL109" i="18"/>
  <c r="A109" i="18"/>
  <c r="K107" i="18"/>
  <c r="J107" i="18"/>
  <c r="K106" i="18"/>
  <c r="J106" i="18"/>
  <c r="A105" i="18"/>
  <c r="K103" i="18"/>
  <c r="D103" i="18"/>
  <c r="K102" i="18"/>
  <c r="D102" i="18"/>
  <c r="K101" i="18"/>
  <c r="D101" i="18"/>
  <c r="K100" i="18"/>
  <c r="D100" i="18"/>
  <c r="K99" i="18"/>
  <c r="D99" i="18"/>
  <c r="K98" i="18"/>
  <c r="J98" i="18"/>
  <c r="K97" i="18"/>
  <c r="J97" i="18"/>
  <c r="A96" i="18"/>
  <c r="AA94" i="18"/>
  <c r="Z94" i="18"/>
  <c r="Y94" i="18"/>
  <c r="V93" i="18"/>
  <c r="U93" i="18"/>
  <c r="T93" i="18"/>
  <c r="S93" i="18"/>
  <c r="R93" i="18"/>
  <c r="Q93" i="18"/>
  <c r="F93" i="18"/>
  <c r="L93" i="18" s="1"/>
  <c r="J93" i="18" s="1"/>
  <c r="G93" i="18" s="1"/>
  <c r="E93" i="18"/>
  <c r="C93" i="18"/>
  <c r="B93" i="18"/>
  <c r="AA92" i="18"/>
  <c r="Z92" i="18"/>
  <c r="Y92" i="18"/>
  <c r="D91" i="18"/>
  <c r="V90" i="18"/>
  <c r="U90" i="18"/>
  <c r="T90" i="18"/>
  <c r="S90" i="18"/>
  <c r="R90" i="18"/>
  <c r="Q90" i="18"/>
  <c r="F90" i="18"/>
  <c r="L90" i="18" s="1"/>
  <c r="J90" i="18" s="1"/>
  <c r="G90" i="18" s="1"/>
  <c r="E90" i="18"/>
  <c r="C90" i="18"/>
  <c r="B90" i="18"/>
  <c r="AA87" i="18"/>
  <c r="Z87" i="18"/>
  <c r="Y87" i="18"/>
  <c r="K86" i="18"/>
  <c r="F86" i="18"/>
  <c r="K85" i="18"/>
  <c r="K84" i="18" s="1"/>
  <c r="I85" i="18"/>
  <c r="I84" i="18" s="1"/>
  <c r="G85" i="18"/>
  <c r="G84" i="18" s="1"/>
  <c r="H84" i="18"/>
  <c r="AA82" i="18"/>
  <c r="Z82" i="18"/>
  <c r="Y82" i="18"/>
  <c r="J81" i="18"/>
  <c r="I81" i="18"/>
  <c r="H81" i="18"/>
  <c r="F81" i="18"/>
  <c r="K80" i="18"/>
  <c r="F80" i="18"/>
  <c r="K79" i="18"/>
  <c r="F79" i="18"/>
  <c r="K78" i="18"/>
  <c r="F78" i="18"/>
  <c r="L77" i="18"/>
  <c r="K77" i="18"/>
  <c r="J77" i="18"/>
  <c r="I77" i="18"/>
  <c r="H77" i="18"/>
  <c r="G77" i="18"/>
  <c r="K76" i="18"/>
  <c r="I76" i="18"/>
  <c r="H76" i="18"/>
  <c r="G76" i="18"/>
  <c r="K75" i="18"/>
  <c r="I75" i="18"/>
  <c r="H75" i="18"/>
  <c r="G75" i="18"/>
  <c r="L74" i="18"/>
  <c r="K74" i="18"/>
  <c r="J74" i="18"/>
  <c r="I74" i="18"/>
  <c r="H74" i="18"/>
  <c r="G74" i="18"/>
  <c r="D73" i="18"/>
  <c r="V72" i="18"/>
  <c r="U72" i="18"/>
  <c r="T72" i="18"/>
  <c r="L79" i="18" s="1"/>
  <c r="S72" i="18"/>
  <c r="J79" i="18" s="1"/>
  <c r="R72" i="18"/>
  <c r="L78" i="18" s="1"/>
  <c r="Q72" i="18"/>
  <c r="J78" i="18" s="1"/>
  <c r="F72" i="18"/>
  <c r="E72" i="18"/>
  <c r="B72" i="18"/>
  <c r="AA69" i="18"/>
  <c r="Z69" i="18"/>
  <c r="Y69" i="18"/>
  <c r="K68" i="18"/>
  <c r="F68" i="18"/>
  <c r="K67" i="18"/>
  <c r="K66" i="18" s="1"/>
  <c r="I67" i="18"/>
  <c r="I66" i="18" s="1"/>
  <c r="G67" i="18"/>
  <c r="G66" i="18" s="1"/>
  <c r="H66" i="18"/>
  <c r="AA64" i="18"/>
  <c r="Z64" i="18"/>
  <c r="Y64" i="18"/>
  <c r="J63" i="18"/>
  <c r="I63" i="18"/>
  <c r="H63" i="18"/>
  <c r="F63" i="18"/>
  <c r="K62" i="18"/>
  <c r="F62" i="18"/>
  <c r="K61" i="18"/>
  <c r="F61" i="18"/>
  <c r="K60" i="18"/>
  <c r="F60" i="18"/>
  <c r="AA59" i="18"/>
  <c r="Z59" i="18"/>
  <c r="Y59" i="18"/>
  <c r="V59" i="18"/>
  <c r="U59" i="18"/>
  <c r="T59" i="18"/>
  <c r="S59" i="18"/>
  <c r="R59" i="18"/>
  <c r="Q59" i="18"/>
  <c r="L59" i="18"/>
  <c r="K59" i="18"/>
  <c r="J59" i="18"/>
  <c r="X59" i="18" s="1"/>
  <c r="I59" i="18"/>
  <c r="G59" i="18"/>
  <c r="F59" i="18"/>
  <c r="E59" i="18"/>
  <c r="C59" i="18"/>
  <c r="B59" i="18"/>
  <c r="L58" i="18"/>
  <c r="K58" i="18"/>
  <c r="J58" i="18"/>
  <c r="I58" i="18"/>
  <c r="H58" i="18"/>
  <c r="G58" i="18"/>
  <c r="K57" i="18"/>
  <c r="I57" i="18"/>
  <c r="H57" i="18"/>
  <c r="G57" i="18"/>
  <c r="K56" i="18"/>
  <c r="I56" i="18"/>
  <c r="H56" i="18"/>
  <c r="G56" i="18"/>
  <c r="L55" i="18"/>
  <c r="K55" i="18"/>
  <c r="J55" i="18"/>
  <c r="I55" i="18"/>
  <c r="H55" i="18"/>
  <c r="G55" i="18"/>
  <c r="D54" i="18"/>
  <c r="V53" i="18"/>
  <c r="U53" i="18"/>
  <c r="T53" i="18"/>
  <c r="L61" i="18" s="1"/>
  <c r="S53" i="18"/>
  <c r="J61" i="18" s="1"/>
  <c r="R53" i="18"/>
  <c r="Q53" i="18"/>
  <c r="J60" i="18" s="1"/>
  <c r="F53" i="18"/>
  <c r="E53" i="18"/>
  <c r="B53" i="18"/>
  <c r="A52" i="18"/>
  <c r="A50" i="18"/>
  <c r="L28" i="18"/>
  <c r="A1" i="18"/>
  <c r="X92" i="18" l="1"/>
  <c r="O94" i="18"/>
  <c r="K92" i="18"/>
  <c r="K94" i="18"/>
  <c r="L134" i="18"/>
  <c r="O19" i="10"/>
  <c r="J208" i="19"/>
  <c r="J211" i="19" s="1"/>
  <c r="L208" i="19"/>
  <c r="L211" i="19" s="1"/>
  <c r="L203" i="19"/>
  <c r="L124" i="18"/>
  <c r="L133" i="18" s="1"/>
  <c r="L136" i="18" s="1"/>
  <c r="R19" i="10" s="1"/>
  <c r="J85" i="18"/>
  <c r="J86" i="18" s="1"/>
  <c r="P92" i="18"/>
  <c r="L60" i="18"/>
  <c r="I114" i="18"/>
  <c r="P94" i="18"/>
  <c r="L67" i="18"/>
  <c r="L68" i="18" s="1"/>
  <c r="I115" i="18"/>
  <c r="I112" i="18"/>
  <c r="J125" i="18" s="1"/>
  <c r="I116" i="18"/>
  <c r="O92" i="18"/>
  <c r="J67" i="18"/>
  <c r="L85" i="18"/>
  <c r="W55" i="18"/>
  <c r="I92" i="18"/>
  <c r="I94" i="18"/>
  <c r="X94" i="18"/>
  <c r="W74" i="18"/>
  <c r="L212" i="19" l="1"/>
  <c r="G20" i="10"/>
  <c r="U20" i="10" s="1"/>
  <c r="J134" i="18"/>
  <c r="N19" i="10"/>
  <c r="L127" i="18"/>
  <c r="Q19" i="10" s="1"/>
  <c r="L66" i="18"/>
  <c r="L56" i="18" s="1"/>
  <c r="J84" i="18"/>
  <c r="J75" i="18" s="1"/>
  <c r="W85" i="18"/>
  <c r="J76" i="18"/>
  <c r="W76" i="18" s="1"/>
  <c r="L57" i="18"/>
  <c r="L76" i="18"/>
  <c r="L84" i="18"/>
  <c r="L75" i="18" s="1"/>
  <c r="L86" i="18"/>
  <c r="L62" i="18"/>
  <c r="K69" i="18"/>
  <c r="P69" i="18" s="1"/>
  <c r="L142" i="18"/>
  <c r="I87" i="18"/>
  <c r="J80" i="18"/>
  <c r="W67" i="18"/>
  <c r="J66" i="18"/>
  <c r="J56" i="18" s="1"/>
  <c r="J57" i="18"/>
  <c r="J68" i="18"/>
  <c r="K64" i="18" l="1"/>
  <c r="K71" i="18" s="1"/>
  <c r="L80" i="18"/>
  <c r="K82" i="18" s="1"/>
  <c r="K87" i="18"/>
  <c r="P87" i="18" s="1"/>
  <c r="P64" i="18"/>
  <c r="W57" i="18"/>
  <c r="I113" i="18"/>
  <c r="J124" i="18" s="1"/>
  <c r="X87" i="18"/>
  <c r="O87" i="18"/>
  <c r="J62" i="18"/>
  <c r="I64" i="18" s="1"/>
  <c r="I69" i="18"/>
  <c r="O82" i="18"/>
  <c r="I82" i="18"/>
  <c r="I89" i="18" s="1"/>
  <c r="X82" i="18"/>
  <c r="P82" i="18" l="1"/>
  <c r="K105" i="18" s="1"/>
  <c r="I71" i="18"/>
  <c r="K89" i="18"/>
  <c r="O64" i="18"/>
  <c r="X64" i="18"/>
  <c r="O69" i="18"/>
  <c r="X69" i="18"/>
  <c r="J133" i="18"/>
  <c r="J136" i="18" s="1"/>
  <c r="J127" i="18"/>
  <c r="P19" i="10" s="1"/>
  <c r="K96" i="18" l="1"/>
  <c r="K109" i="18"/>
  <c r="L122" i="18" s="1"/>
  <c r="L131" i="18" s="1"/>
  <c r="I109" i="18"/>
  <c r="J122" i="18" s="1"/>
  <c r="J131" i="18" s="1"/>
  <c r="J132" i="18" s="1"/>
  <c r="J141" i="18" s="1"/>
  <c r="I96" i="18"/>
  <c r="J142" i="18"/>
  <c r="I105" i="18"/>
  <c r="L123" i="18" l="1"/>
  <c r="F19" i="10" s="1"/>
  <c r="T19" i="10" s="1"/>
  <c r="L128" i="18"/>
  <c r="J123" i="18"/>
  <c r="E19" i="10" s="1"/>
  <c r="S19" i="10" s="1"/>
  <c r="J128" i="18"/>
  <c r="L132" i="18"/>
  <c r="L137" i="18"/>
  <c r="L140" i="18" s="1"/>
  <c r="J137" i="18"/>
  <c r="J140" i="18" s="1"/>
  <c r="L141" i="18" l="1"/>
  <c r="G19" i="10"/>
  <c r="U19" i="10" s="1"/>
  <c r="Y14" i="10" s="1"/>
  <c r="AE14" i="10" s="1"/>
  <c r="D130" i="17"/>
  <c r="D129" i="17"/>
  <c r="D128" i="17"/>
  <c r="D127" i="17"/>
  <c r="D126" i="17"/>
  <c r="K125" i="17"/>
  <c r="J125" i="17"/>
  <c r="K124" i="17"/>
  <c r="J124" i="17"/>
  <c r="A123" i="17"/>
  <c r="K121" i="17"/>
  <c r="J121" i="17"/>
  <c r="K120" i="17"/>
  <c r="J120" i="17"/>
  <c r="AL119" i="17"/>
  <c r="A119" i="17"/>
  <c r="AA117" i="17"/>
  <c r="Z117" i="17"/>
  <c r="Y117" i="17"/>
  <c r="V116" i="17"/>
  <c r="U116" i="17"/>
  <c r="T116" i="17"/>
  <c r="S116" i="17"/>
  <c r="R116" i="17"/>
  <c r="Q116" i="17"/>
  <c r="L116" i="17"/>
  <c r="P117" i="17" s="1"/>
  <c r="K116" i="17"/>
  <c r="J116" i="17"/>
  <c r="O117" i="17" s="1"/>
  <c r="I116" i="17"/>
  <c r="H116" i="17"/>
  <c r="G116" i="17"/>
  <c r="F116" i="17"/>
  <c r="E116" i="17"/>
  <c r="C116" i="17"/>
  <c r="AA115" i="17"/>
  <c r="Z115" i="17"/>
  <c r="Y115" i="17"/>
  <c r="V114" i="17"/>
  <c r="U114" i="17"/>
  <c r="T114" i="17"/>
  <c r="S114" i="17"/>
  <c r="R114" i="17"/>
  <c r="Q114" i="17"/>
  <c r="F114" i="17"/>
  <c r="L114" i="17" s="1"/>
  <c r="J114" i="17" s="1"/>
  <c r="G114" i="17" s="1"/>
  <c r="E114" i="17"/>
  <c r="C114" i="17"/>
  <c r="AA111" i="17"/>
  <c r="Z111" i="17"/>
  <c r="Y111" i="17"/>
  <c r="K110" i="17"/>
  <c r="F110" i="17"/>
  <c r="K109" i="17"/>
  <c r="K108" i="17" s="1"/>
  <c r="I109" i="17"/>
  <c r="I108" i="17" s="1"/>
  <c r="G109" i="17"/>
  <c r="G108" i="17" s="1"/>
  <c r="H108" i="17"/>
  <c r="AA106" i="17"/>
  <c r="Z106" i="17"/>
  <c r="Y106" i="17"/>
  <c r="J105" i="17"/>
  <c r="I105" i="17"/>
  <c r="H105" i="17"/>
  <c r="F105" i="17"/>
  <c r="K104" i="17"/>
  <c r="F104" i="17"/>
  <c r="K103" i="17"/>
  <c r="F103" i="17"/>
  <c r="K102" i="17"/>
  <c r="F102" i="17"/>
  <c r="K101" i="17"/>
  <c r="J101" i="17"/>
  <c r="I101" i="17"/>
  <c r="H101" i="17"/>
  <c r="G101" i="17"/>
  <c r="K100" i="17"/>
  <c r="I100" i="17"/>
  <c r="H100" i="17"/>
  <c r="G100" i="17"/>
  <c r="K99" i="17"/>
  <c r="I99" i="17"/>
  <c r="H99" i="17"/>
  <c r="G99" i="17"/>
  <c r="K98" i="17"/>
  <c r="J98" i="17"/>
  <c r="I98" i="17"/>
  <c r="H98" i="17"/>
  <c r="G98" i="17"/>
  <c r="V97" i="17"/>
  <c r="U97" i="17"/>
  <c r="T97" i="17"/>
  <c r="S97" i="17"/>
  <c r="J103" i="17" s="1"/>
  <c r="R97" i="17"/>
  <c r="Q97" i="17"/>
  <c r="J102" i="17" s="1"/>
  <c r="F97" i="17"/>
  <c r="E97" i="17"/>
  <c r="AA96" i="17"/>
  <c r="Z96" i="17"/>
  <c r="Y96" i="17"/>
  <c r="V95" i="17"/>
  <c r="U95" i="17"/>
  <c r="T95" i="17"/>
  <c r="S95" i="17"/>
  <c r="R95" i="17"/>
  <c r="Q95" i="17"/>
  <c r="F95" i="17"/>
  <c r="L95" i="17" s="1"/>
  <c r="J95" i="17" s="1"/>
  <c r="G95" i="17" s="1"/>
  <c r="E95" i="17"/>
  <c r="C95" i="17"/>
  <c r="AA92" i="17"/>
  <c r="Z92" i="17"/>
  <c r="Y92" i="17"/>
  <c r="K91" i="17"/>
  <c r="F91" i="17"/>
  <c r="K90" i="17"/>
  <c r="K89" i="17" s="1"/>
  <c r="I90" i="17"/>
  <c r="I89" i="17" s="1"/>
  <c r="G90" i="17"/>
  <c r="G89" i="17" s="1"/>
  <c r="H89" i="17"/>
  <c r="AA87" i="17"/>
  <c r="Z87" i="17"/>
  <c r="Y87" i="17"/>
  <c r="J86" i="17"/>
  <c r="I86" i="17"/>
  <c r="H86" i="17"/>
  <c r="F86" i="17"/>
  <c r="K85" i="17"/>
  <c r="F85" i="17"/>
  <c r="K84" i="17"/>
  <c r="F84" i="17"/>
  <c r="K83" i="17"/>
  <c r="F83" i="17"/>
  <c r="K82" i="17"/>
  <c r="J82" i="17"/>
  <c r="I82" i="17"/>
  <c r="H82" i="17"/>
  <c r="G82" i="17"/>
  <c r="K81" i="17"/>
  <c r="I81" i="17"/>
  <c r="H81" i="17"/>
  <c r="G81" i="17"/>
  <c r="K80" i="17"/>
  <c r="I80" i="17"/>
  <c r="H80" i="17"/>
  <c r="G80" i="17"/>
  <c r="K79" i="17"/>
  <c r="J79" i="17"/>
  <c r="W79" i="17" s="1"/>
  <c r="I79" i="17"/>
  <c r="H79" i="17"/>
  <c r="G79" i="17"/>
  <c r="V78" i="17"/>
  <c r="U78" i="17"/>
  <c r="T78" i="17"/>
  <c r="S78" i="17"/>
  <c r="J84" i="17" s="1"/>
  <c r="R78" i="17"/>
  <c r="Q78" i="17"/>
  <c r="J83" i="17" s="1"/>
  <c r="F78" i="17"/>
  <c r="E78" i="17"/>
  <c r="AA77" i="17"/>
  <c r="Z77" i="17"/>
  <c r="Y77" i="17"/>
  <c r="V76" i="17"/>
  <c r="U76" i="17"/>
  <c r="T76" i="17"/>
  <c r="S76" i="17"/>
  <c r="R76" i="17"/>
  <c r="Q76" i="17"/>
  <c r="L76" i="17"/>
  <c r="P77" i="17" s="1"/>
  <c r="K76" i="17"/>
  <c r="J76" i="17"/>
  <c r="X77" i="17" s="1"/>
  <c r="I76" i="17"/>
  <c r="H76" i="17"/>
  <c r="G76" i="17"/>
  <c r="F76" i="17"/>
  <c r="E76" i="17"/>
  <c r="C76" i="17"/>
  <c r="AK75" i="17"/>
  <c r="A75" i="17"/>
  <c r="K73" i="17"/>
  <c r="J73" i="17"/>
  <c r="K72" i="17"/>
  <c r="J72" i="17"/>
  <c r="AL71" i="17"/>
  <c r="A71" i="17"/>
  <c r="AA69" i="17"/>
  <c r="Z69" i="17"/>
  <c r="Y69" i="17"/>
  <c r="V68" i="17"/>
  <c r="U68" i="17"/>
  <c r="T68" i="17"/>
  <c r="S68" i="17"/>
  <c r="R68" i="17"/>
  <c r="Q68" i="17"/>
  <c r="F68" i="17"/>
  <c r="L68" i="17" s="1"/>
  <c r="J68" i="17" s="1"/>
  <c r="G68" i="17" s="1"/>
  <c r="E68" i="17"/>
  <c r="C68" i="17"/>
  <c r="AA65" i="17"/>
  <c r="Z65" i="17"/>
  <c r="Y65" i="17"/>
  <c r="K64" i="17"/>
  <c r="F64" i="17"/>
  <c r="K63" i="17"/>
  <c r="K62" i="17" s="1"/>
  <c r="I63" i="17"/>
  <c r="I62" i="17" s="1"/>
  <c r="G63" i="17"/>
  <c r="G62" i="17" s="1"/>
  <c r="H62" i="17"/>
  <c r="AA60" i="17"/>
  <c r="Z60" i="17"/>
  <c r="Y60" i="17"/>
  <c r="J59" i="17"/>
  <c r="I59" i="17"/>
  <c r="H59" i="17"/>
  <c r="F59" i="17"/>
  <c r="K58" i="17"/>
  <c r="F58" i="17"/>
  <c r="K57" i="17"/>
  <c r="F57" i="17"/>
  <c r="K56" i="17"/>
  <c r="F56" i="17"/>
  <c r="K55" i="17"/>
  <c r="J55" i="17"/>
  <c r="I55" i="17"/>
  <c r="H55" i="17"/>
  <c r="G55" i="17"/>
  <c r="K54" i="17"/>
  <c r="I54" i="17"/>
  <c r="H54" i="17"/>
  <c r="G54" i="17"/>
  <c r="K53" i="17"/>
  <c r="I53" i="17"/>
  <c r="H53" i="17"/>
  <c r="G53" i="17"/>
  <c r="K52" i="17"/>
  <c r="J52" i="17"/>
  <c r="W52" i="17" s="1"/>
  <c r="I52" i="17"/>
  <c r="H52" i="17"/>
  <c r="G52" i="17"/>
  <c r="V51" i="17"/>
  <c r="U51" i="17"/>
  <c r="T51" i="17"/>
  <c r="S51" i="17"/>
  <c r="J57" i="17" s="1"/>
  <c r="R51" i="17"/>
  <c r="Q51" i="17"/>
  <c r="J56" i="17" s="1"/>
  <c r="F51" i="17"/>
  <c r="E51" i="17"/>
  <c r="AK50" i="17"/>
  <c r="A50" i="17"/>
  <c r="J28" i="17"/>
  <c r="J24" i="17"/>
  <c r="J21" i="17"/>
  <c r="AJ19" i="17"/>
  <c r="J18" i="17"/>
  <c r="A1" i="17"/>
  <c r="O96" i="17" l="1"/>
  <c r="O115" i="17"/>
  <c r="P115" i="17"/>
  <c r="K96" i="17"/>
  <c r="K115" i="17"/>
  <c r="K69" i="17"/>
  <c r="X117" i="17"/>
  <c r="L90" i="17"/>
  <c r="L89" i="17" s="1"/>
  <c r="O77" i="17"/>
  <c r="I130" i="17"/>
  <c r="J109" i="17"/>
  <c r="W109" i="17" s="1"/>
  <c r="I117" i="17"/>
  <c r="P69" i="17"/>
  <c r="X115" i="17"/>
  <c r="K77" i="17"/>
  <c r="P96" i="17"/>
  <c r="K130" i="17"/>
  <c r="X69" i="17"/>
  <c r="I69" i="17"/>
  <c r="J90" i="17"/>
  <c r="L63" i="17"/>
  <c r="K128" i="17"/>
  <c r="K129" i="17"/>
  <c r="J63" i="17"/>
  <c r="O69" i="17"/>
  <c r="L109" i="17"/>
  <c r="K117" i="17"/>
  <c r="I126" i="17"/>
  <c r="J139" i="17" s="1"/>
  <c r="I129" i="17"/>
  <c r="K126" i="17"/>
  <c r="L139" i="17" s="1"/>
  <c r="X96" i="17"/>
  <c r="I96" i="17"/>
  <c r="W98" i="17"/>
  <c r="J108" i="17"/>
  <c r="J99" i="17" s="1"/>
  <c r="I115" i="17"/>
  <c r="I128" i="17"/>
  <c r="I77" i="17"/>
  <c r="J110" i="17" l="1"/>
  <c r="I111" i="17" s="1"/>
  <c r="L148" i="17"/>
  <c r="O18" i="10"/>
  <c r="J148" i="17"/>
  <c r="N18" i="10"/>
  <c r="L91" i="17"/>
  <c r="J100" i="17"/>
  <c r="W100" i="17" s="1"/>
  <c r="J104" i="17"/>
  <c r="X106" i="17" s="1"/>
  <c r="J81" i="17"/>
  <c r="W81" i="17" s="1"/>
  <c r="J91" i="17"/>
  <c r="W90" i="17"/>
  <c r="J89" i="17"/>
  <c r="J80" i="17" s="1"/>
  <c r="L110" i="17"/>
  <c r="L108" i="17"/>
  <c r="J54" i="17"/>
  <c r="J64" i="17"/>
  <c r="W63" i="17"/>
  <c r="J62" i="17"/>
  <c r="J53" i="17" s="1"/>
  <c r="L62" i="17"/>
  <c r="L64" i="17"/>
  <c r="K92" i="17"/>
  <c r="P92" i="17" s="1"/>
  <c r="O111" i="17"/>
  <c r="X111" i="17"/>
  <c r="K127" i="17" l="1"/>
  <c r="L138" i="17" s="1"/>
  <c r="L147" i="17" s="1"/>
  <c r="L150" i="17" s="1"/>
  <c r="R18" i="10" s="1"/>
  <c r="I106" i="17"/>
  <c r="I113" i="17" s="1"/>
  <c r="O106" i="17"/>
  <c r="I127" i="17"/>
  <c r="J138" i="17" s="1"/>
  <c r="W54" i="17"/>
  <c r="J85" i="17"/>
  <c r="X87" i="17" s="1"/>
  <c r="I92" i="17"/>
  <c r="K87" i="17"/>
  <c r="K94" i="17" s="1"/>
  <c r="P87" i="17"/>
  <c r="K65" i="17"/>
  <c r="P65" i="17" s="1"/>
  <c r="P60" i="17"/>
  <c r="J58" i="17"/>
  <c r="I60" i="17" s="1"/>
  <c r="I65" i="17"/>
  <c r="K106" i="17"/>
  <c r="K111" i="17"/>
  <c r="P111" i="17" s="1"/>
  <c r="L141" i="17" l="1"/>
  <c r="Q18" i="10" s="1"/>
  <c r="P106" i="17"/>
  <c r="K123" i="17" s="1"/>
  <c r="L136" i="17" s="1"/>
  <c r="X60" i="17"/>
  <c r="K113" i="17"/>
  <c r="O60" i="17"/>
  <c r="I67" i="17"/>
  <c r="K71" i="17"/>
  <c r="O92" i="17"/>
  <c r="X92" i="17"/>
  <c r="O87" i="17"/>
  <c r="J147" i="17"/>
  <c r="J150" i="17" s="1"/>
  <c r="J141" i="17"/>
  <c r="P18" i="10" s="1"/>
  <c r="O65" i="17"/>
  <c r="X65" i="17"/>
  <c r="I87" i="17"/>
  <c r="I94" i="17" s="1"/>
  <c r="K60" i="17"/>
  <c r="K67" i="17" s="1"/>
  <c r="L156" i="17"/>
  <c r="K119" i="17" l="1"/>
  <c r="I71" i="17"/>
  <c r="I123" i="17"/>
  <c r="J136" i="17" s="1"/>
  <c r="J142" i="17" s="1"/>
  <c r="J156" i="17"/>
  <c r="I119" i="17"/>
  <c r="L145" i="17"/>
  <c r="L142" i="17"/>
  <c r="L137" i="17"/>
  <c r="F18" i="10" s="1"/>
  <c r="T18" i="10" s="1"/>
  <c r="J145" i="17" l="1"/>
  <c r="J146" i="17" s="1"/>
  <c r="J155" i="17" s="1"/>
  <c r="J137" i="17"/>
  <c r="E18" i="10" s="1"/>
  <c r="S18" i="10" s="1"/>
  <c r="L146" i="17"/>
  <c r="L151" i="17"/>
  <c r="L154" i="17" s="1"/>
  <c r="L155" i="17" l="1"/>
  <c r="G18" i="10"/>
  <c r="U18" i="10" s="1"/>
  <c r="J151" i="17"/>
  <c r="J154" i="17" s="1"/>
  <c r="L177" i="16"/>
  <c r="J177" i="16"/>
  <c r="K173" i="16"/>
  <c r="D173" i="16"/>
  <c r="K172" i="16"/>
  <c r="D172" i="16"/>
  <c r="K171" i="16"/>
  <c r="D171" i="16"/>
  <c r="K170" i="16"/>
  <c r="D170" i="16"/>
  <c r="K169" i="16"/>
  <c r="L182" i="16" s="1"/>
  <c r="D169" i="16"/>
  <c r="K168" i="16"/>
  <c r="J168" i="16"/>
  <c r="K167" i="16"/>
  <c r="J167" i="16"/>
  <c r="A166" i="16"/>
  <c r="K164" i="16"/>
  <c r="J164" i="16"/>
  <c r="K163" i="16"/>
  <c r="J163" i="16"/>
  <c r="AL162" i="16"/>
  <c r="A162" i="16"/>
  <c r="AA160" i="16"/>
  <c r="Z160" i="16"/>
  <c r="Y160" i="16"/>
  <c r="V159" i="16"/>
  <c r="U159" i="16"/>
  <c r="T159" i="16"/>
  <c r="S159" i="16"/>
  <c r="R159" i="16"/>
  <c r="Q159" i="16"/>
  <c r="L159" i="16"/>
  <c r="K160" i="16" s="1"/>
  <c r="K159" i="16"/>
  <c r="J159" i="16"/>
  <c r="I159" i="16"/>
  <c r="G159" i="16"/>
  <c r="F159" i="16"/>
  <c r="E159" i="16"/>
  <c r="C159" i="16"/>
  <c r="AA156" i="16"/>
  <c r="Z156" i="16"/>
  <c r="Y156" i="16"/>
  <c r="K155" i="16"/>
  <c r="F155" i="16"/>
  <c r="K154" i="16"/>
  <c r="K153" i="16" s="1"/>
  <c r="I154" i="16"/>
  <c r="I153" i="16" s="1"/>
  <c r="G154" i="16"/>
  <c r="G153" i="16" s="1"/>
  <c r="H153" i="16"/>
  <c r="AA151" i="16"/>
  <c r="Z151" i="16"/>
  <c r="Y151" i="16"/>
  <c r="J150" i="16"/>
  <c r="I150" i="16"/>
  <c r="F150" i="16"/>
  <c r="K149" i="16"/>
  <c r="F149" i="16"/>
  <c r="K148" i="16"/>
  <c r="F148" i="16"/>
  <c r="K147" i="16"/>
  <c r="F147" i="16"/>
  <c r="K146" i="16"/>
  <c r="I146" i="16"/>
  <c r="G146" i="16"/>
  <c r="K145" i="16"/>
  <c r="I145" i="16"/>
  <c r="G145" i="16"/>
  <c r="L144" i="16"/>
  <c r="K144" i="16"/>
  <c r="J144" i="16"/>
  <c r="I144" i="16"/>
  <c r="H144" i="16"/>
  <c r="G144" i="16"/>
  <c r="V143" i="16"/>
  <c r="U143" i="16"/>
  <c r="T143" i="16"/>
  <c r="L148" i="16" s="1"/>
  <c r="S143" i="16"/>
  <c r="J148" i="16" s="1"/>
  <c r="R143" i="16"/>
  <c r="L147" i="16" s="1"/>
  <c r="Q143" i="16"/>
  <c r="J147" i="16" s="1"/>
  <c r="F143" i="16"/>
  <c r="E143" i="16"/>
  <c r="AA142" i="16"/>
  <c r="Z142" i="16"/>
  <c r="Y142" i="16"/>
  <c r="V141" i="16"/>
  <c r="U141" i="16"/>
  <c r="T141" i="16"/>
  <c r="S141" i="16"/>
  <c r="R141" i="16"/>
  <c r="Q141" i="16"/>
  <c r="L141" i="16"/>
  <c r="P142" i="16" s="1"/>
  <c r="K141" i="16"/>
  <c r="J141" i="16"/>
  <c r="O142" i="16" s="1"/>
  <c r="I141" i="16"/>
  <c r="G141" i="16"/>
  <c r="F141" i="16"/>
  <c r="E141" i="16"/>
  <c r="C141" i="16"/>
  <c r="AA140" i="16"/>
  <c r="Z140" i="16"/>
  <c r="Y140" i="16"/>
  <c r="V139" i="16"/>
  <c r="U139" i="16"/>
  <c r="T139" i="16"/>
  <c r="S139" i="16"/>
  <c r="R139" i="16"/>
  <c r="Q139" i="16"/>
  <c r="L139" i="16"/>
  <c r="K140" i="16" s="1"/>
  <c r="K139" i="16"/>
  <c r="J139" i="16"/>
  <c r="I140" i="16" s="1"/>
  <c r="I139" i="16"/>
  <c r="G139" i="16"/>
  <c r="F139" i="16"/>
  <c r="E139" i="16"/>
  <c r="C139" i="16"/>
  <c r="AA138" i="16"/>
  <c r="Z138" i="16"/>
  <c r="Y138" i="16"/>
  <c r="V137" i="16"/>
  <c r="U137" i="16"/>
  <c r="T137" i="16"/>
  <c r="S137" i="16"/>
  <c r="R137" i="16"/>
  <c r="Q137" i="16"/>
  <c r="P138" i="16"/>
  <c r="K137" i="16"/>
  <c r="J137" i="16"/>
  <c r="I137" i="16"/>
  <c r="G137" i="16"/>
  <c r="F137" i="16"/>
  <c r="E137" i="16"/>
  <c r="C137" i="16"/>
  <c r="AA136" i="16"/>
  <c r="Z136" i="16"/>
  <c r="Y136" i="16"/>
  <c r="V135" i="16"/>
  <c r="U135" i="16"/>
  <c r="T135" i="16"/>
  <c r="S135" i="16"/>
  <c r="R135" i="16"/>
  <c r="Q135" i="16"/>
  <c r="P136" i="16"/>
  <c r="K135" i="16"/>
  <c r="J135" i="16"/>
  <c r="O136" i="16" s="1"/>
  <c r="I135" i="16"/>
  <c r="G135" i="16"/>
  <c r="F135" i="16"/>
  <c r="E135" i="16"/>
  <c r="C135" i="16"/>
  <c r="AA132" i="16"/>
  <c r="Z132" i="16"/>
  <c r="Y132" i="16"/>
  <c r="K131" i="16"/>
  <c r="F131" i="16"/>
  <c r="K130" i="16"/>
  <c r="K129" i="16" s="1"/>
  <c r="I130" i="16"/>
  <c r="I129" i="16" s="1"/>
  <c r="G130" i="16"/>
  <c r="G129" i="16" s="1"/>
  <c r="H129" i="16"/>
  <c r="AA127" i="16"/>
  <c r="Z127" i="16"/>
  <c r="Y127" i="16"/>
  <c r="J126" i="16"/>
  <c r="I126" i="16"/>
  <c r="H126" i="16"/>
  <c r="F126" i="16"/>
  <c r="K125" i="16"/>
  <c r="F125" i="16"/>
  <c r="K124" i="16"/>
  <c r="F124" i="16"/>
  <c r="K123" i="16"/>
  <c r="F123" i="16"/>
  <c r="AA122" i="16"/>
  <c r="Z122" i="16"/>
  <c r="Y122" i="16"/>
  <c r="V122" i="16"/>
  <c r="U122" i="16"/>
  <c r="T122" i="16"/>
  <c r="S122" i="16"/>
  <c r="R122" i="16"/>
  <c r="Q122" i="16"/>
  <c r="K122" i="16"/>
  <c r="J122" i="16"/>
  <c r="X122" i="16" s="1"/>
  <c r="I122" i="16"/>
  <c r="G122" i="16"/>
  <c r="F122" i="16"/>
  <c r="E122" i="16"/>
  <c r="K121" i="16"/>
  <c r="J121" i="16"/>
  <c r="I121" i="16"/>
  <c r="H121" i="16"/>
  <c r="G121" i="16"/>
  <c r="K120" i="16"/>
  <c r="I120" i="16"/>
  <c r="H120" i="16"/>
  <c r="G120" i="16"/>
  <c r="K119" i="16"/>
  <c r="I119" i="16"/>
  <c r="H119" i="16"/>
  <c r="G119" i="16"/>
  <c r="K118" i="16"/>
  <c r="J118" i="16"/>
  <c r="W118" i="16" s="1"/>
  <c r="I118" i="16"/>
  <c r="H118" i="16"/>
  <c r="G118" i="16"/>
  <c r="V117" i="16"/>
  <c r="U117" i="16"/>
  <c r="T117" i="16"/>
  <c r="S117" i="16"/>
  <c r="R117" i="16"/>
  <c r="Q117" i="16"/>
  <c r="F117" i="16"/>
  <c r="E117" i="16"/>
  <c r="AA116" i="16"/>
  <c r="Z116" i="16"/>
  <c r="Y116" i="16"/>
  <c r="V115" i="16"/>
  <c r="U115" i="16"/>
  <c r="T115" i="16"/>
  <c r="S115" i="16"/>
  <c r="R115" i="16"/>
  <c r="Q115" i="16"/>
  <c r="L115" i="16"/>
  <c r="P116" i="16" s="1"/>
  <c r="K115" i="16"/>
  <c r="J115" i="16"/>
  <c r="O116" i="16" s="1"/>
  <c r="I115" i="16"/>
  <c r="G115" i="16"/>
  <c r="F115" i="16"/>
  <c r="E115" i="16"/>
  <c r="C115" i="16"/>
  <c r="AA112" i="16"/>
  <c r="Z112" i="16"/>
  <c r="Y112" i="16"/>
  <c r="K111" i="16"/>
  <c r="F111" i="16"/>
  <c r="K110" i="16"/>
  <c r="K109" i="16" s="1"/>
  <c r="I110" i="16"/>
  <c r="I109" i="16" s="1"/>
  <c r="G110" i="16"/>
  <c r="G109" i="16" s="1"/>
  <c r="H109" i="16"/>
  <c r="AA107" i="16"/>
  <c r="Z107" i="16"/>
  <c r="Y107" i="16"/>
  <c r="J106" i="16"/>
  <c r="I106" i="16"/>
  <c r="F106" i="16"/>
  <c r="K105" i="16"/>
  <c r="F105" i="16"/>
  <c r="K104" i="16"/>
  <c r="F104" i="16"/>
  <c r="K103" i="16"/>
  <c r="F103" i="16"/>
  <c r="K102" i="16"/>
  <c r="J102" i="16"/>
  <c r="I102" i="16"/>
  <c r="G102" i="16"/>
  <c r="K101" i="16"/>
  <c r="I101" i="16"/>
  <c r="G101" i="16"/>
  <c r="K100" i="16"/>
  <c r="I100" i="16"/>
  <c r="G100" i="16"/>
  <c r="K99" i="16"/>
  <c r="J99" i="16"/>
  <c r="I99" i="16"/>
  <c r="H99" i="16"/>
  <c r="G99" i="16"/>
  <c r="V98" i="16"/>
  <c r="U98" i="16"/>
  <c r="T98" i="16"/>
  <c r="S98" i="16"/>
  <c r="J104" i="16" s="1"/>
  <c r="R98" i="16"/>
  <c r="Q98" i="16"/>
  <c r="J103" i="16" s="1"/>
  <c r="F98" i="16"/>
  <c r="E98" i="16"/>
  <c r="AA97" i="16"/>
  <c r="Z97" i="16"/>
  <c r="Y97" i="16"/>
  <c r="V96" i="16"/>
  <c r="U96" i="16"/>
  <c r="T96" i="16"/>
  <c r="S96" i="16"/>
  <c r="R96" i="16"/>
  <c r="Q96" i="16"/>
  <c r="P97" i="16"/>
  <c r="K96" i="16"/>
  <c r="J96" i="16"/>
  <c r="O97" i="16" s="1"/>
  <c r="I96" i="16"/>
  <c r="G96" i="16"/>
  <c r="F96" i="16"/>
  <c r="E96" i="16"/>
  <c r="C96" i="16"/>
  <c r="AA95" i="16"/>
  <c r="Z95" i="16"/>
  <c r="Y95" i="16"/>
  <c r="V94" i="16"/>
  <c r="U94" i="16"/>
  <c r="T94" i="16"/>
  <c r="S94" i="16"/>
  <c r="R94" i="16"/>
  <c r="Q94" i="16"/>
  <c r="L94" i="16"/>
  <c r="K95" i="16" s="1"/>
  <c r="K94" i="16"/>
  <c r="J94" i="16"/>
  <c r="O95" i="16" s="1"/>
  <c r="I94" i="16"/>
  <c r="G94" i="16"/>
  <c r="F94" i="16"/>
  <c r="E94" i="16"/>
  <c r="C94" i="16"/>
  <c r="AA93" i="16"/>
  <c r="Z93" i="16"/>
  <c r="Y93" i="16"/>
  <c r="V92" i="16"/>
  <c r="U92" i="16"/>
  <c r="T92" i="16"/>
  <c r="S92" i="16"/>
  <c r="R92" i="16"/>
  <c r="Q92" i="16"/>
  <c r="L92" i="16"/>
  <c r="P93" i="16" s="1"/>
  <c r="K92" i="16"/>
  <c r="J92" i="16"/>
  <c r="I92" i="16"/>
  <c r="G92" i="16"/>
  <c r="F92" i="16"/>
  <c r="E92" i="16"/>
  <c r="C92" i="16"/>
  <c r="AK91" i="16"/>
  <c r="A91" i="16"/>
  <c r="K89" i="16"/>
  <c r="J89" i="16"/>
  <c r="K88" i="16"/>
  <c r="J88" i="16"/>
  <c r="AL87" i="16"/>
  <c r="A87" i="16"/>
  <c r="AA85" i="16"/>
  <c r="Z85" i="16"/>
  <c r="Y85" i="16"/>
  <c r="V84" i="16"/>
  <c r="U84" i="16"/>
  <c r="T84" i="16"/>
  <c r="S84" i="16"/>
  <c r="R84" i="16"/>
  <c r="Q84" i="16"/>
  <c r="K85" i="16"/>
  <c r="K84" i="16"/>
  <c r="J84" i="16"/>
  <c r="O85" i="16" s="1"/>
  <c r="I84" i="16"/>
  <c r="G84" i="16"/>
  <c r="F84" i="16"/>
  <c r="E84" i="16"/>
  <c r="C84" i="16"/>
  <c r="AA83" i="16"/>
  <c r="Z83" i="16"/>
  <c r="Y83" i="16"/>
  <c r="V82" i="16"/>
  <c r="U82" i="16"/>
  <c r="T82" i="16"/>
  <c r="S82" i="16"/>
  <c r="R82" i="16"/>
  <c r="Q82" i="16"/>
  <c r="L82" i="16"/>
  <c r="P83" i="16" s="1"/>
  <c r="K82" i="16"/>
  <c r="J82" i="16"/>
  <c r="I82" i="16"/>
  <c r="G82" i="16"/>
  <c r="F82" i="16"/>
  <c r="E82" i="16"/>
  <c r="C82" i="16"/>
  <c r="AA81" i="16"/>
  <c r="Z81" i="16"/>
  <c r="Y81" i="16"/>
  <c r="V80" i="16"/>
  <c r="U80" i="16"/>
  <c r="T80" i="16"/>
  <c r="S80" i="16"/>
  <c r="R80" i="16"/>
  <c r="Q80" i="16"/>
  <c r="P81" i="16"/>
  <c r="K80" i="16"/>
  <c r="J80" i="16"/>
  <c r="X81" i="16" s="1"/>
  <c r="I80" i="16"/>
  <c r="G80" i="16"/>
  <c r="F80" i="16"/>
  <c r="E80" i="16"/>
  <c r="C80" i="16"/>
  <c r="AA79" i="16"/>
  <c r="Z79" i="16"/>
  <c r="Y79" i="16"/>
  <c r="V78" i="16"/>
  <c r="U78" i="16"/>
  <c r="T78" i="16"/>
  <c r="S78" i="16"/>
  <c r="R78" i="16"/>
  <c r="Q78" i="16"/>
  <c r="P79" i="16"/>
  <c r="K78" i="16"/>
  <c r="J78" i="16"/>
  <c r="O79" i="16" s="1"/>
  <c r="I78" i="16"/>
  <c r="G78" i="16"/>
  <c r="F78" i="16"/>
  <c r="E78" i="16"/>
  <c r="C78" i="16"/>
  <c r="AA77" i="16"/>
  <c r="Z77" i="16"/>
  <c r="Y77" i="16"/>
  <c r="V76" i="16"/>
  <c r="U76" i="16"/>
  <c r="T76" i="16"/>
  <c r="S76" i="16"/>
  <c r="R76" i="16"/>
  <c r="Q76" i="16"/>
  <c r="L76" i="16"/>
  <c r="K77" i="16" s="1"/>
  <c r="K76" i="16"/>
  <c r="J76" i="16"/>
  <c r="I77" i="16" s="1"/>
  <c r="I76" i="16"/>
  <c r="G76" i="16"/>
  <c r="F76" i="16"/>
  <c r="E76" i="16"/>
  <c r="C76" i="16"/>
  <c r="AA75" i="16"/>
  <c r="Z75" i="16"/>
  <c r="Y75" i="16"/>
  <c r="V74" i="16"/>
  <c r="U74" i="16"/>
  <c r="T74" i="16"/>
  <c r="S74" i="16"/>
  <c r="R74" i="16"/>
  <c r="Q74" i="16"/>
  <c r="L74" i="16"/>
  <c r="K75" i="16" s="1"/>
  <c r="K74" i="16"/>
  <c r="J74" i="16"/>
  <c r="I74" i="16"/>
  <c r="G74" i="16"/>
  <c r="F74" i="16"/>
  <c r="E74" i="16"/>
  <c r="C74" i="16"/>
  <c r="AA73" i="16"/>
  <c r="Z73" i="16"/>
  <c r="Y73" i="16"/>
  <c r="V72" i="16"/>
  <c r="U72" i="16"/>
  <c r="T72" i="16"/>
  <c r="S72" i="16"/>
  <c r="R72" i="16"/>
  <c r="Q72" i="16"/>
  <c r="L72" i="16"/>
  <c r="P73" i="16" s="1"/>
  <c r="K72" i="16"/>
  <c r="J72" i="16"/>
  <c r="O73" i="16" s="1"/>
  <c r="I72" i="16"/>
  <c r="G72" i="16"/>
  <c r="F72" i="16"/>
  <c r="E72" i="16"/>
  <c r="C72" i="16"/>
  <c r="B72" i="16"/>
  <c r="AA69" i="16"/>
  <c r="Z69" i="16"/>
  <c r="Y69" i="16"/>
  <c r="K68" i="16"/>
  <c r="F68" i="16"/>
  <c r="K67" i="16"/>
  <c r="K66" i="16" s="1"/>
  <c r="I67" i="16"/>
  <c r="I66" i="16" s="1"/>
  <c r="G67" i="16"/>
  <c r="G66" i="16" s="1"/>
  <c r="H66" i="16"/>
  <c r="AA64" i="16"/>
  <c r="Z64" i="16"/>
  <c r="Y64" i="16"/>
  <c r="J63" i="16"/>
  <c r="I63" i="16"/>
  <c r="F63" i="16"/>
  <c r="K62" i="16"/>
  <c r="F62" i="16"/>
  <c r="K61" i="16"/>
  <c r="F61" i="16"/>
  <c r="K60" i="16"/>
  <c r="F60" i="16"/>
  <c r="K59" i="16"/>
  <c r="J59" i="16"/>
  <c r="I59" i="16"/>
  <c r="G59" i="16"/>
  <c r="K58" i="16"/>
  <c r="I58" i="16"/>
  <c r="G58" i="16"/>
  <c r="K57" i="16"/>
  <c r="I57" i="16"/>
  <c r="G57" i="16"/>
  <c r="K56" i="16"/>
  <c r="J56" i="16"/>
  <c r="W56" i="16" s="1"/>
  <c r="I56" i="16"/>
  <c r="H56" i="16"/>
  <c r="G56" i="16"/>
  <c r="V55" i="16"/>
  <c r="U55" i="16"/>
  <c r="T55" i="16"/>
  <c r="S55" i="16"/>
  <c r="J61" i="16" s="1"/>
  <c r="R55" i="16"/>
  <c r="Q55" i="16"/>
  <c r="J60" i="16" s="1"/>
  <c r="F55" i="16"/>
  <c r="E55" i="16"/>
  <c r="B55" i="16"/>
  <c r="AK54" i="16"/>
  <c r="A54" i="16"/>
  <c r="J32" i="16"/>
  <c r="AJ23" i="16"/>
  <c r="A1" i="16"/>
  <c r="L191" i="16" l="1"/>
  <c r="O17" i="10"/>
  <c r="L67" i="16"/>
  <c r="L66" i="16" s="1"/>
  <c r="X73" i="16"/>
  <c r="K93" i="16"/>
  <c r="K138" i="16"/>
  <c r="P85" i="16"/>
  <c r="P160" i="16"/>
  <c r="K83" i="16"/>
  <c r="L130" i="16"/>
  <c r="L129" i="16" s="1"/>
  <c r="X136" i="16"/>
  <c r="L154" i="16"/>
  <c r="L153" i="16" s="1"/>
  <c r="L145" i="16" s="1"/>
  <c r="I136" i="16"/>
  <c r="X116" i="16"/>
  <c r="J124" i="16"/>
  <c r="I173" i="16" s="1"/>
  <c r="P75" i="16"/>
  <c r="P77" i="16"/>
  <c r="I81" i="16"/>
  <c r="O140" i="16"/>
  <c r="I73" i="16"/>
  <c r="O81" i="16"/>
  <c r="I97" i="16"/>
  <c r="I116" i="16"/>
  <c r="J123" i="16"/>
  <c r="I172" i="16" s="1"/>
  <c r="P140" i="16"/>
  <c r="L181" i="16"/>
  <c r="L184" i="16" s="1"/>
  <c r="Q17" i="10" s="1"/>
  <c r="J67" i="16"/>
  <c r="W67" i="16" s="1"/>
  <c r="O77" i="16"/>
  <c r="P95" i="16"/>
  <c r="J110" i="16"/>
  <c r="J111" i="16" s="1"/>
  <c r="X79" i="16"/>
  <c r="K81" i="16"/>
  <c r="X83" i="16"/>
  <c r="I83" i="16"/>
  <c r="X93" i="16"/>
  <c r="I93" i="16"/>
  <c r="K116" i="16"/>
  <c r="X142" i="16"/>
  <c r="K73" i="16"/>
  <c r="X75" i="16"/>
  <c r="I75" i="16"/>
  <c r="I79" i="16"/>
  <c r="X85" i="16"/>
  <c r="X95" i="16"/>
  <c r="K97" i="16"/>
  <c r="K136" i="16"/>
  <c r="X138" i="16"/>
  <c r="I138" i="16"/>
  <c r="I142" i="16"/>
  <c r="I169" i="16"/>
  <c r="J182" i="16" s="1"/>
  <c r="X160" i="16"/>
  <c r="I160" i="16"/>
  <c r="X77" i="16"/>
  <c r="K79" i="16"/>
  <c r="O83" i="16"/>
  <c r="I85" i="16"/>
  <c r="O93" i="16"/>
  <c r="I95" i="16"/>
  <c r="W99" i="16"/>
  <c r="X140" i="16"/>
  <c r="K142" i="16"/>
  <c r="J154" i="16"/>
  <c r="O160" i="16"/>
  <c r="I171" i="16"/>
  <c r="O75" i="16"/>
  <c r="X97" i="16"/>
  <c r="L110" i="16"/>
  <c r="J130" i="16"/>
  <c r="O138" i="16"/>
  <c r="W144" i="16"/>
  <c r="L155" i="16"/>
  <c r="J191" i="16" l="1"/>
  <c r="N17" i="10"/>
  <c r="J109" i="16"/>
  <c r="J100" i="16" s="1"/>
  <c r="I112" i="16"/>
  <c r="O112" i="16" s="1"/>
  <c r="L190" i="16"/>
  <c r="L193" i="16" s="1"/>
  <c r="R17" i="10" s="1"/>
  <c r="L68" i="16"/>
  <c r="L146" i="16"/>
  <c r="W110" i="16"/>
  <c r="J58" i="16"/>
  <c r="W58" i="16" s="1"/>
  <c r="L131" i="16"/>
  <c r="J66" i="16"/>
  <c r="J57" i="16" s="1"/>
  <c r="J68" i="16"/>
  <c r="I69" i="16" s="1"/>
  <c r="J101" i="16"/>
  <c r="W101" i="16" s="1"/>
  <c r="K156" i="16"/>
  <c r="P156" i="16" s="1"/>
  <c r="L149" i="16"/>
  <c r="K151" i="16" s="1"/>
  <c r="J131" i="16"/>
  <c r="J129" i="16"/>
  <c r="J119" i="16" s="1"/>
  <c r="J120" i="16"/>
  <c r="W120" i="16" s="1"/>
  <c r="W130" i="16"/>
  <c r="J155" i="16"/>
  <c r="J153" i="16"/>
  <c r="J145" i="16" s="1"/>
  <c r="J146" i="16"/>
  <c r="W146" i="16" s="1"/>
  <c r="W154" i="16"/>
  <c r="L109" i="16"/>
  <c r="L111" i="16"/>
  <c r="O107" i="16" l="1"/>
  <c r="I107" i="16"/>
  <c r="K69" i="16"/>
  <c r="P69" i="16" s="1"/>
  <c r="K158" i="16"/>
  <c r="L199" i="16"/>
  <c r="X107" i="16"/>
  <c r="X112" i="16"/>
  <c r="I114" i="16"/>
  <c r="J62" i="16"/>
  <c r="X64" i="16" s="1"/>
  <c r="K132" i="16"/>
  <c r="P132" i="16" s="1"/>
  <c r="K71" i="16"/>
  <c r="P64" i="16"/>
  <c r="K112" i="16"/>
  <c r="P112" i="16" s="1"/>
  <c r="K107" i="16"/>
  <c r="I170" i="16"/>
  <c r="J181" i="16" s="1"/>
  <c r="P151" i="16"/>
  <c r="X69" i="16"/>
  <c r="O69" i="16"/>
  <c r="J149" i="16"/>
  <c r="I151" i="16" s="1"/>
  <c r="I156" i="16"/>
  <c r="I132" i="16"/>
  <c r="J125" i="16"/>
  <c r="O127" i="16" s="1"/>
  <c r="K114" i="16" l="1"/>
  <c r="O64" i="16"/>
  <c r="I87" i="16" s="1"/>
  <c r="I64" i="16"/>
  <c r="I71" i="16" s="1"/>
  <c r="K127" i="16"/>
  <c r="K134" i="16" s="1"/>
  <c r="P127" i="16"/>
  <c r="O151" i="16"/>
  <c r="P107" i="16"/>
  <c r="I158" i="16"/>
  <c r="I127" i="16"/>
  <c r="I134" i="16" s="1"/>
  <c r="O156" i="16"/>
  <c r="X156" i="16"/>
  <c r="X151" i="16"/>
  <c r="K87" i="16"/>
  <c r="X127" i="16"/>
  <c r="J190" i="16"/>
  <c r="J193" i="16" s="1"/>
  <c r="J184" i="16"/>
  <c r="P17" i="10" s="1"/>
  <c r="X132" i="16"/>
  <c r="O132" i="16"/>
  <c r="I166" i="16" l="1"/>
  <c r="J179" i="16" s="1"/>
  <c r="J180" i="16" s="1"/>
  <c r="E17" i="10" s="1"/>
  <c r="S17" i="10" s="1"/>
  <c r="K166" i="16"/>
  <c r="L179" i="16" s="1"/>
  <c r="L180" i="16" s="1"/>
  <c r="F17" i="10" s="1"/>
  <c r="T17" i="10" s="1"/>
  <c r="K162" i="16"/>
  <c r="J199" i="16"/>
  <c r="I162" i="16"/>
  <c r="L185" i="16" l="1"/>
  <c r="L188" i="16"/>
  <c r="L189" i="16" s="1"/>
  <c r="J188" i="16"/>
  <c r="J185" i="16"/>
  <c r="L194" i="16" l="1"/>
  <c r="L197" i="16" s="1"/>
  <c r="L198" i="16"/>
  <c r="G17" i="10"/>
  <c r="J189" i="16"/>
  <c r="J198" i="16" s="1"/>
  <c r="J194" i="16"/>
  <c r="J197" i="16" s="1"/>
  <c r="K156" i="15"/>
  <c r="J156" i="15"/>
  <c r="K155" i="15"/>
  <c r="J155" i="15"/>
  <c r="AL154" i="15"/>
  <c r="A154" i="15"/>
  <c r="K152" i="15"/>
  <c r="D152" i="15"/>
  <c r="K151" i="15"/>
  <c r="D151" i="15"/>
  <c r="K150" i="15"/>
  <c r="D150" i="15"/>
  <c r="K149" i="15"/>
  <c r="D149" i="15"/>
  <c r="K148" i="15"/>
  <c r="L166" i="15" s="1"/>
  <c r="O16" i="10" s="1"/>
  <c r="D148" i="15"/>
  <c r="K147" i="15"/>
  <c r="J147" i="15"/>
  <c r="K146" i="15"/>
  <c r="J146" i="15"/>
  <c r="AL145" i="15"/>
  <c r="A145" i="15"/>
  <c r="K143" i="15"/>
  <c r="J143" i="15"/>
  <c r="K142" i="15"/>
  <c r="J142" i="15"/>
  <c r="K140" i="15"/>
  <c r="J140" i="15"/>
  <c r="K139" i="15"/>
  <c r="J139" i="15"/>
  <c r="AL138" i="15"/>
  <c r="A138" i="15"/>
  <c r="AA136" i="15"/>
  <c r="Z136" i="15"/>
  <c r="Y136" i="15"/>
  <c r="V135" i="15"/>
  <c r="U135" i="15"/>
  <c r="T135" i="15"/>
  <c r="S135" i="15"/>
  <c r="R135" i="15"/>
  <c r="Q135" i="15"/>
  <c r="L135" i="15"/>
  <c r="P136" i="15" s="1"/>
  <c r="K135" i="15"/>
  <c r="J135" i="15"/>
  <c r="X136" i="15" s="1"/>
  <c r="I135" i="15"/>
  <c r="H135" i="15"/>
  <c r="G135" i="15"/>
  <c r="F135" i="15"/>
  <c r="E135" i="15"/>
  <c r="C135" i="15"/>
  <c r="B135" i="15"/>
  <c r="AA132" i="15"/>
  <c r="Z132" i="15"/>
  <c r="Y132" i="15"/>
  <c r="K131" i="15"/>
  <c r="F131" i="15"/>
  <c r="K130" i="15"/>
  <c r="K129" i="15" s="1"/>
  <c r="I130" i="15"/>
  <c r="I129" i="15" s="1"/>
  <c r="G130" i="15"/>
  <c r="G129" i="15" s="1"/>
  <c r="H129" i="15"/>
  <c r="AA127" i="15"/>
  <c r="Z127" i="15"/>
  <c r="Y127" i="15"/>
  <c r="J126" i="15"/>
  <c r="I126" i="15"/>
  <c r="H126" i="15"/>
  <c r="F126" i="15"/>
  <c r="K125" i="15"/>
  <c r="F125" i="15"/>
  <c r="K124" i="15"/>
  <c r="F124" i="15"/>
  <c r="K123" i="15"/>
  <c r="F123" i="15"/>
  <c r="AA122" i="15"/>
  <c r="Z122" i="15"/>
  <c r="Y122" i="15"/>
  <c r="V122" i="15"/>
  <c r="U122" i="15"/>
  <c r="T122" i="15"/>
  <c r="S122" i="15"/>
  <c r="R122" i="15"/>
  <c r="Q122" i="15"/>
  <c r="L122" i="15"/>
  <c r="K122" i="15"/>
  <c r="J122" i="15"/>
  <c r="X122" i="15" s="1"/>
  <c r="I122" i="15"/>
  <c r="G122" i="15"/>
  <c r="F122" i="15"/>
  <c r="E122" i="15"/>
  <c r="C122" i="15"/>
  <c r="B122" i="15"/>
  <c r="K121" i="15"/>
  <c r="I121" i="15"/>
  <c r="H121" i="15"/>
  <c r="G121" i="15"/>
  <c r="K120" i="15"/>
  <c r="I120" i="15"/>
  <c r="H120" i="15"/>
  <c r="G120" i="15"/>
  <c r="L119" i="15"/>
  <c r="K119" i="15"/>
  <c r="J119" i="15"/>
  <c r="I119" i="15"/>
  <c r="H119" i="15"/>
  <c r="G119" i="15"/>
  <c r="V118" i="15"/>
  <c r="U118" i="15"/>
  <c r="T118" i="15"/>
  <c r="S118" i="15"/>
  <c r="R118" i="15"/>
  <c r="Q118" i="15"/>
  <c r="F118" i="15"/>
  <c r="E118" i="15"/>
  <c r="B118" i="15"/>
  <c r="AA117" i="15"/>
  <c r="Z117" i="15"/>
  <c r="Y117" i="15"/>
  <c r="V116" i="15"/>
  <c r="U116" i="15"/>
  <c r="T116" i="15"/>
  <c r="S116" i="15"/>
  <c r="R116" i="15"/>
  <c r="Q116" i="15"/>
  <c r="L116" i="15"/>
  <c r="K117" i="15" s="1"/>
  <c r="K116" i="15"/>
  <c r="J116" i="15"/>
  <c r="O117" i="15" s="1"/>
  <c r="I116" i="15"/>
  <c r="H116" i="15"/>
  <c r="G116" i="15"/>
  <c r="F116" i="15"/>
  <c r="E116" i="15"/>
  <c r="C116" i="15"/>
  <c r="B116" i="15"/>
  <c r="AA115" i="15"/>
  <c r="Z115" i="15"/>
  <c r="Y115" i="15"/>
  <c r="V114" i="15"/>
  <c r="U114" i="15"/>
  <c r="T114" i="15"/>
  <c r="S114" i="15"/>
  <c r="R114" i="15"/>
  <c r="Q114" i="15"/>
  <c r="L114" i="15"/>
  <c r="K115" i="15" s="1"/>
  <c r="K114" i="15"/>
  <c r="J114" i="15"/>
  <c r="O115" i="15" s="1"/>
  <c r="I114" i="15"/>
  <c r="H114" i="15"/>
  <c r="G114" i="15"/>
  <c r="F114" i="15"/>
  <c r="E114" i="15"/>
  <c r="C114" i="15"/>
  <c r="B114" i="15"/>
  <c r="AA111" i="15"/>
  <c r="Z111" i="15"/>
  <c r="Y111" i="15"/>
  <c r="K110" i="15"/>
  <c r="F110" i="15"/>
  <c r="K109" i="15"/>
  <c r="K108" i="15" s="1"/>
  <c r="I109" i="15"/>
  <c r="I108" i="15" s="1"/>
  <c r="G109" i="15"/>
  <c r="G108" i="15" s="1"/>
  <c r="H108" i="15"/>
  <c r="AA106" i="15"/>
  <c r="Z106" i="15"/>
  <c r="Y106" i="15"/>
  <c r="J105" i="15"/>
  <c r="I105" i="15"/>
  <c r="H105" i="15"/>
  <c r="F105" i="15"/>
  <c r="K104" i="15"/>
  <c r="F104" i="15"/>
  <c r="K103" i="15"/>
  <c r="F103" i="15"/>
  <c r="K102" i="15"/>
  <c r="F102" i="15"/>
  <c r="AA101" i="15"/>
  <c r="Z101" i="15"/>
  <c r="Y101" i="15"/>
  <c r="V101" i="15"/>
  <c r="U101" i="15"/>
  <c r="T101" i="15"/>
  <c r="S101" i="15"/>
  <c r="R101" i="15"/>
  <c r="Q101" i="15"/>
  <c r="L101" i="15"/>
  <c r="K101" i="15"/>
  <c r="J101" i="15"/>
  <c r="X101" i="15" s="1"/>
  <c r="I101" i="15"/>
  <c r="G101" i="15"/>
  <c r="F101" i="15"/>
  <c r="E101" i="15"/>
  <c r="C101" i="15"/>
  <c r="B101" i="15"/>
  <c r="L100" i="15"/>
  <c r="K100" i="15"/>
  <c r="J100" i="15"/>
  <c r="I100" i="15"/>
  <c r="H100" i="15"/>
  <c r="G100" i="15"/>
  <c r="K99" i="15"/>
  <c r="I99" i="15"/>
  <c r="H99" i="15"/>
  <c r="G99" i="15"/>
  <c r="K98" i="15"/>
  <c r="I98" i="15"/>
  <c r="H98" i="15"/>
  <c r="G98" i="15"/>
  <c r="L97" i="15"/>
  <c r="K97" i="15"/>
  <c r="J97" i="15"/>
  <c r="I97" i="15"/>
  <c r="H97" i="15"/>
  <c r="G97" i="15"/>
  <c r="V96" i="15"/>
  <c r="U96" i="15"/>
  <c r="T96" i="15"/>
  <c r="S96" i="15"/>
  <c r="R96" i="15"/>
  <c r="Q96" i="15"/>
  <c r="F96" i="15"/>
  <c r="E96" i="15"/>
  <c r="B96" i="15"/>
  <c r="AA95" i="15"/>
  <c r="Z95" i="15"/>
  <c r="Y95" i="15"/>
  <c r="V94" i="15"/>
  <c r="U94" i="15"/>
  <c r="T94" i="15"/>
  <c r="S94" i="15"/>
  <c r="R94" i="15"/>
  <c r="Q94" i="15"/>
  <c r="F94" i="15"/>
  <c r="L94" i="15" s="1"/>
  <c r="J94" i="15" s="1"/>
  <c r="G94" i="15" s="1"/>
  <c r="E94" i="15"/>
  <c r="C94" i="15"/>
  <c r="B94" i="15"/>
  <c r="AA93" i="15"/>
  <c r="Z93" i="15"/>
  <c r="Y93" i="15"/>
  <c r="V92" i="15"/>
  <c r="U92" i="15"/>
  <c r="T92" i="15"/>
  <c r="S92" i="15"/>
  <c r="R92" i="15"/>
  <c r="Q92" i="15"/>
  <c r="F92" i="15"/>
  <c r="L92" i="15" s="1"/>
  <c r="J92" i="15" s="1"/>
  <c r="G92" i="15" s="1"/>
  <c r="E92" i="15"/>
  <c r="C92" i="15"/>
  <c r="B92" i="15"/>
  <c r="AA91" i="15"/>
  <c r="Z91" i="15"/>
  <c r="Y91" i="15"/>
  <c r="V90" i="15"/>
  <c r="U90" i="15"/>
  <c r="T90" i="15"/>
  <c r="S90" i="15"/>
  <c r="R90" i="15"/>
  <c r="Q90" i="15"/>
  <c r="F90" i="15"/>
  <c r="L90" i="15" s="1"/>
  <c r="J90" i="15" s="1"/>
  <c r="G90" i="15" s="1"/>
  <c r="E90" i="15"/>
  <c r="C90" i="15"/>
  <c r="B90" i="15"/>
  <c r="AA89" i="15"/>
  <c r="Z89" i="15"/>
  <c r="Y89" i="15"/>
  <c r="V88" i="15"/>
  <c r="U88" i="15"/>
  <c r="T88" i="15"/>
  <c r="S88" i="15"/>
  <c r="R88" i="15"/>
  <c r="Q88" i="15"/>
  <c r="F88" i="15"/>
  <c r="L88" i="15" s="1"/>
  <c r="J88" i="15" s="1"/>
  <c r="G88" i="15" s="1"/>
  <c r="E88" i="15"/>
  <c r="C88" i="15"/>
  <c r="B88" i="15"/>
  <c r="AA87" i="15"/>
  <c r="Z87" i="15"/>
  <c r="Y87" i="15"/>
  <c r="V86" i="15"/>
  <c r="U86" i="15"/>
  <c r="T86" i="15"/>
  <c r="S86" i="15"/>
  <c r="R86" i="15"/>
  <c r="Q86" i="15"/>
  <c r="L86" i="15"/>
  <c r="K87" i="15" s="1"/>
  <c r="K86" i="15"/>
  <c r="J86" i="15"/>
  <c r="X87" i="15" s="1"/>
  <c r="I86" i="15"/>
  <c r="H86" i="15"/>
  <c r="G86" i="15"/>
  <c r="F86" i="15"/>
  <c r="E86" i="15"/>
  <c r="C86" i="15"/>
  <c r="B86" i="15"/>
  <c r="AA83" i="15"/>
  <c r="Z83" i="15"/>
  <c r="Y83" i="15"/>
  <c r="K82" i="15"/>
  <c r="F82" i="15"/>
  <c r="K81" i="15"/>
  <c r="K80" i="15" s="1"/>
  <c r="I81" i="15"/>
  <c r="I80" i="15" s="1"/>
  <c r="G81" i="15"/>
  <c r="G80" i="15" s="1"/>
  <c r="H80" i="15"/>
  <c r="AA78" i="15"/>
  <c r="Z78" i="15"/>
  <c r="Y78" i="15"/>
  <c r="J77" i="15"/>
  <c r="I77" i="15"/>
  <c r="H77" i="15"/>
  <c r="F77" i="15"/>
  <c r="K76" i="15"/>
  <c r="F76" i="15"/>
  <c r="K75" i="15"/>
  <c r="F75" i="15"/>
  <c r="K74" i="15"/>
  <c r="F74" i="15"/>
  <c r="L73" i="15"/>
  <c r="K73" i="15"/>
  <c r="J73" i="15"/>
  <c r="I73" i="15"/>
  <c r="H73" i="15"/>
  <c r="G73" i="15"/>
  <c r="K72" i="15"/>
  <c r="I72" i="15"/>
  <c r="H72" i="15"/>
  <c r="G72" i="15"/>
  <c r="K71" i="15"/>
  <c r="I71" i="15"/>
  <c r="H71" i="15"/>
  <c r="G71" i="15"/>
  <c r="L70" i="15"/>
  <c r="K70" i="15"/>
  <c r="J70" i="15"/>
  <c r="W70" i="15" s="1"/>
  <c r="I70" i="15"/>
  <c r="H70" i="15"/>
  <c r="G70" i="15"/>
  <c r="V69" i="15"/>
  <c r="U69" i="15"/>
  <c r="T69" i="15"/>
  <c r="L75" i="15" s="1"/>
  <c r="S69" i="15"/>
  <c r="J75" i="15" s="1"/>
  <c r="R69" i="15"/>
  <c r="L74" i="15" s="1"/>
  <c r="Q69" i="15"/>
  <c r="J74" i="15" s="1"/>
  <c r="F69" i="15"/>
  <c r="E69" i="15"/>
  <c r="B69" i="15"/>
  <c r="AA66" i="15"/>
  <c r="Z66" i="15"/>
  <c r="Y66" i="15"/>
  <c r="K65" i="15"/>
  <c r="F65" i="15"/>
  <c r="K64" i="15"/>
  <c r="K63" i="15" s="1"/>
  <c r="I64" i="15"/>
  <c r="I63" i="15" s="1"/>
  <c r="G64" i="15"/>
  <c r="G63" i="15" s="1"/>
  <c r="H63" i="15"/>
  <c r="AA61" i="15"/>
  <c r="Z61" i="15"/>
  <c r="Y61" i="15"/>
  <c r="J60" i="15"/>
  <c r="I60" i="15"/>
  <c r="H60" i="15"/>
  <c r="F60" i="15"/>
  <c r="K59" i="15"/>
  <c r="F59" i="15"/>
  <c r="K58" i="15"/>
  <c r="F58" i="15"/>
  <c r="K57" i="15"/>
  <c r="F57" i="15"/>
  <c r="AA56" i="15"/>
  <c r="Z56" i="15"/>
  <c r="Y56" i="15"/>
  <c r="V56" i="15"/>
  <c r="U56" i="15"/>
  <c r="T56" i="15"/>
  <c r="S56" i="15"/>
  <c r="R56" i="15"/>
  <c r="Q56" i="15"/>
  <c r="L56" i="15"/>
  <c r="K56" i="15"/>
  <c r="J56" i="15"/>
  <c r="X56" i="15" s="1"/>
  <c r="I56" i="15"/>
  <c r="G56" i="15"/>
  <c r="F56" i="15"/>
  <c r="E56" i="15"/>
  <c r="C56" i="15"/>
  <c r="B56" i="15"/>
  <c r="L55" i="15"/>
  <c r="K55" i="15"/>
  <c r="J55" i="15"/>
  <c r="I55" i="15"/>
  <c r="H55" i="15"/>
  <c r="G55" i="15"/>
  <c r="K54" i="15"/>
  <c r="I54" i="15"/>
  <c r="H54" i="15"/>
  <c r="G54" i="15"/>
  <c r="K53" i="15"/>
  <c r="I53" i="15"/>
  <c r="H53" i="15"/>
  <c r="G53" i="15"/>
  <c r="L52" i="15"/>
  <c r="K52" i="15"/>
  <c r="J52" i="15"/>
  <c r="W52" i="15" s="1"/>
  <c r="I52" i="15"/>
  <c r="H52" i="15"/>
  <c r="G52" i="15"/>
  <c r="V51" i="15"/>
  <c r="U51" i="15"/>
  <c r="T51" i="15"/>
  <c r="S51" i="15"/>
  <c r="R51" i="15"/>
  <c r="Q51" i="15"/>
  <c r="F51" i="15"/>
  <c r="E51" i="15"/>
  <c r="B51" i="15"/>
  <c r="A50" i="15"/>
  <c r="J28" i="15"/>
  <c r="J24" i="15"/>
  <c r="J21" i="15"/>
  <c r="AJ19" i="15"/>
  <c r="J18" i="15"/>
  <c r="A1" i="15"/>
  <c r="O89" i="15" l="1"/>
  <c r="O91" i="15"/>
  <c r="L58" i="15"/>
  <c r="K91" i="15"/>
  <c r="K93" i="15"/>
  <c r="O93" i="15"/>
  <c r="K95" i="15"/>
  <c r="K89" i="15"/>
  <c r="O95" i="15"/>
  <c r="L175" i="15"/>
  <c r="J57" i="15"/>
  <c r="J58" i="15"/>
  <c r="L123" i="15"/>
  <c r="O136" i="15"/>
  <c r="L124" i="15"/>
  <c r="X91" i="15"/>
  <c r="I93" i="15"/>
  <c r="I115" i="15"/>
  <c r="J130" i="15"/>
  <c r="J131" i="15" s="1"/>
  <c r="I132" i="15" s="1"/>
  <c r="J64" i="15"/>
  <c r="J65" i="15" s="1"/>
  <c r="L102" i="15"/>
  <c r="O87" i="15"/>
  <c r="J109" i="15"/>
  <c r="W109" i="15" s="1"/>
  <c r="L103" i="15"/>
  <c r="X115" i="15"/>
  <c r="I117" i="15"/>
  <c r="X117" i="15"/>
  <c r="J81" i="15"/>
  <c r="J72" i="15" s="1"/>
  <c r="W72" i="15" s="1"/>
  <c r="I87" i="15"/>
  <c r="X89" i="15"/>
  <c r="I91" i="15"/>
  <c r="J103" i="15"/>
  <c r="P117" i="15"/>
  <c r="J123" i="15"/>
  <c r="I150" i="15"/>
  <c r="L57" i="15"/>
  <c r="I89" i="15"/>
  <c r="X93" i="15"/>
  <c r="I95" i="15"/>
  <c r="J102" i="15"/>
  <c r="P115" i="15"/>
  <c r="J124" i="15"/>
  <c r="L165" i="15"/>
  <c r="L174" i="15" s="1"/>
  <c r="L177" i="15" s="1"/>
  <c r="R16" i="10" s="1"/>
  <c r="X95" i="15"/>
  <c r="L130" i="15"/>
  <c r="L131" i="15" s="1"/>
  <c r="L109" i="15"/>
  <c r="L64" i="15"/>
  <c r="P87" i="15"/>
  <c r="P89" i="15"/>
  <c r="P91" i="15"/>
  <c r="P93" i="15"/>
  <c r="P95" i="15"/>
  <c r="W97" i="15"/>
  <c r="W119" i="15"/>
  <c r="K136" i="15"/>
  <c r="I148" i="15"/>
  <c r="J166" i="15" s="1"/>
  <c r="L81" i="15"/>
  <c r="I136" i="15"/>
  <c r="N16" i="10" l="1"/>
  <c r="J175" i="15"/>
  <c r="J110" i="15"/>
  <c r="I111" i="15" s="1"/>
  <c r="J99" i="15"/>
  <c r="W99" i="15" s="1"/>
  <c r="J129" i="15"/>
  <c r="J120" i="15" s="1"/>
  <c r="X127" i="15" s="1"/>
  <c r="J125" i="15"/>
  <c r="J108" i="15"/>
  <c r="J98" i="15" s="1"/>
  <c r="J121" i="15"/>
  <c r="W121" i="15" s="1"/>
  <c r="W130" i="15"/>
  <c r="J82" i="15"/>
  <c r="J76" i="15" s="1"/>
  <c r="J80" i="15"/>
  <c r="J71" i="15" s="1"/>
  <c r="O78" i="15" s="1"/>
  <c r="J63" i="15"/>
  <c r="J53" i="15" s="1"/>
  <c r="J54" i="15"/>
  <c r="W81" i="15"/>
  <c r="W64" i="15"/>
  <c r="I152" i="15"/>
  <c r="I151" i="15"/>
  <c r="L129" i="15"/>
  <c r="L120" i="15" s="1"/>
  <c r="L168" i="15"/>
  <c r="Q16" i="10" s="1"/>
  <c r="L121" i="15"/>
  <c r="L63" i="15"/>
  <c r="L53" i="15" s="1"/>
  <c r="L54" i="15"/>
  <c r="L65" i="15"/>
  <c r="L72" i="15"/>
  <c r="L82" i="15"/>
  <c r="L80" i="15"/>
  <c r="L71" i="15" s="1"/>
  <c r="O132" i="15"/>
  <c r="X132" i="15"/>
  <c r="J59" i="15"/>
  <c r="I66" i="15"/>
  <c r="L110" i="15"/>
  <c r="L108" i="15"/>
  <c r="L98" i="15" s="1"/>
  <c r="L99" i="15"/>
  <c r="K132" i="15"/>
  <c r="P132" i="15" s="1"/>
  <c r="L125" i="15"/>
  <c r="L183" i="15"/>
  <c r="W54" i="15"/>
  <c r="I127" i="15" l="1"/>
  <c r="I134" i="15" s="1"/>
  <c r="O127" i="15"/>
  <c r="J104" i="15"/>
  <c r="O106" i="15" s="1"/>
  <c r="P127" i="15"/>
  <c r="I83" i="15"/>
  <c r="X83" i="15" s="1"/>
  <c r="I149" i="15"/>
  <c r="J165" i="15" s="1"/>
  <c r="J174" i="15" s="1"/>
  <c r="J177" i="15" s="1"/>
  <c r="L104" i="15"/>
  <c r="K106" i="15" s="1"/>
  <c r="K111" i="15"/>
  <c r="P111" i="15" s="1"/>
  <c r="X66" i="15"/>
  <c r="O66" i="15"/>
  <c r="L76" i="15"/>
  <c r="P78" i="15" s="1"/>
  <c r="K83" i="15"/>
  <c r="P83" i="15" s="1"/>
  <c r="K66" i="15"/>
  <c r="P66" i="15" s="1"/>
  <c r="L59" i="15"/>
  <c r="P61" i="15" s="1"/>
  <c r="X78" i="15"/>
  <c r="I78" i="15"/>
  <c r="K127" i="15"/>
  <c r="K134" i="15" s="1"/>
  <c r="X61" i="15"/>
  <c r="I61" i="15"/>
  <c r="I68" i="15" s="1"/>
  <c r="O61" i="15"/>
  <c r="X111" i="15"/>
  <c r="O111" i="15"/>
  <c r="O83" i="15" l="1"/>
  <c r="X106" i="15"/>
  <c r="I106" i="15"/>
  <c r="I113" i="15" s="1"/>
  <c r="J168" i="15"/>
  <c r="P16" i="10" s="1"/>
  <c r="S16" i="10" s="1"/>
  <c r="I85" i="15"/>
  <c r="K113" i="15"/>
  <c r="P106" i="15"/>
  <c r="K145" i="15" s="1"/>
  <c r="L163" i="15" s="1"/>
  <c r="K78" i="15"/>
  <c r="K85" i="15" s="1"/>
  <c r="K61" i="15"/>
  <c r="K68" i="15" s="1"/>
  <c r="I154" i="15"/>
  <c r="I145" i="15"/>
  <c r="J163" i="15" s="1"/>
  <c r="I138" i="15"/>
  <c r="J183" i="15"/>
  <c r="J169" i="15" l="1"/>
  <c r="K154" i="15"/>
  <c r="K138" i="15"/>
  <c r="J172" i="15"/>
  <c r="J164" i="15"/>
  <c r="L172" i="15"/>
  <c r="L169" i="15"/>
  <c r="L164" i="15"/>
  <c r="F16" i="10" s="1"/>
  <c r="T16" i="10" s="1"/>
  <c r="J173" i="15" l="1"/>
  <c r="J178" i="15"/>
  <c r="J181" i="15" s="1"/>
  <c r="L173" i="15"/>
  <c r="L178" i="15"/>
  <c r="L181" i="15" s="1"/>
  <c r="L182" i="15" l="1"/>
  <c r="G16" i="10"/>
  <c r="J182" i="15"/>
  <c r="K89" i="14"/>
  <c r="D89" i="14"/>
  <c r="K88" i="14"/>
  <c r="D88" i="14"/>
  <c r="K87" i="14"/>
  <c r="D87" i="14"/>
  <c r="K86" i="14"/>
  <c r="D86" i="14"/>
  <c r="K85" i="14"/>
  <c r="L98" i="14" s="1"/>
  <c r="D85" i="14"/>
  <c r="K84" i="14"/>
  <c r="J84" i="14"/>
  <c r="K83" i="14"/>
  <c r="J83" i="14"/>
  <c r="AL82" i="14"/>
  <c r="A82" i="14"/>
  <c r="K80" i="14"/>
  <c r="J80" i="14"/>
  <c r="K79" i="14"/>
  <c r="J79" i="14"/>
  <c r="AL78" i="14"/>
  <c r="A78" i="14"/>
  <c r="K76" i="14"/>
  <c r="J76" i="14"/>
  <c r="K75" i="14"/>
  <c r="J75" i="14"/>
  <c r="A74" i="14"/>
  <c r="AA72" i="14"/>
  <c r="Z72" i="14"/>
  <c r="Y72" i="14"/>
  <c r="V71" i="14"/>
  <c r="U71" i="14"/>
  <c r="T71" i="14"/>
  <c r="S71" i="14"/>
  <c r="R71" i="14"/>
  <c r="Q71" i="14"/>
  <c r="F71" i="14"/>
  <c r="L71" i="14" s="1"/>
  <c r="J71" i="14" s="1"/>
  <c r="G71" i="14" s="1"/>
  <c r="E71" i="14"/>
  <c r="C71" i="14"/>
  <c r="B71" i="14"/>
  <c r="A70" i="14"/>
  <c r="AA68" i="14"/>
  <c r="Z68" i="14"/>
  <c r="Y68" i="14"/>
  <c r="V67" i="14"/>
  <c r="U67" i="14"/>
  <c r="T67" i="14"/>
  <c r="S67" i="14"/>
  <c r="R67" i="14"/>
  <c r="Q67" i="14"/>
  <c r="L67" i="14"/>
  <c r="K68" i="14" s="1"/>
  <c r="K67" i="14"/>
  <c r="J67" i="14"/>
  <c r="X68" i="14" s="1"/>
  <c r="I67" i="14"/>
  <c r="H67" i="14"/>
  <c r="G67" i="14"/>
  <c r="F67" i="14"/>
  <c r="E67" i="14"/>
  <c r="C67" i="14"/>
  <c r="B67" i="14"/>
  <c r="AA64" i="14"/>
  <c r="Z64" i="14"/>
  <c r="Y64" i="14"/>
  <c r="K63" i="14"/>
  <c r="F63" i="14"/>
  <c r="K62" i="14"/>
  <c r="I62" i="14"/>
  <c r="I61" i="14" s="1"/>
  <c r="G62" i="14"/>
  <c r="G61" i="14" s="1"/>
  <c r="H61" i="14"/>
  <c r="AA59" i="14"/>
  <c r="Z59" i="14"/>
  <c r="Y59" i="14"/>
  <c r="J58" i="14"/>
  <c r="I58" i="14"/>
  <c r="H58" i="14"/>
  <c r="F58" i="14"/>
  <c r="K57" i="14"/>
  <c r="F57" i="14"/>
  <c r="K56" i="14"/>
  <c r="F56" i="14"/>
  <c r="K55" i="14"/>
  <c r="F55" i="14"/>
  <c r="L54" i="14"/>
  <c r="K54" i="14"/>
  <c r="J54" i="14"/>
  <c r="I54" i="14"/>
  <c r="H54" i="14"/>
  <c r="G54" i="14"/>
  <c r="K53" i="14"/>
  <c r="I53" i="14"/>
  <c r="H53" i="14"/>
  <c r="G53" i="14"/>
  <c r="K52" i="14"/>
  <c r="I52" i="14"/>
  <c r="H52" i="14"/>
  <c r="G52" i="14"/>
  <c r="L51" i="14"/>
  <c r="K51" i="14"/>
  <c r="J51" i="14"/>
  <c r="W51" i="14" s="1"/>
  <c r="I51" i="14"/>
  <c r="H51" i="14"/>
  <c r="G51" i="14"/>
  <c r="V50" i="14"/>
  <c r="U50" i="14"/>
  <c r="T50" i="14"/>
  <c r="L56" i="14" s="1"/>
  <c r="S50" i="14"/>
  <c r="J56" i="14" s="1"/>
  <c r="I89" i="14" s="1"/>
  <c r="R50" i="14"/>
  <c r="L55" i="14" s="1"/>
  <c r="Q50" i="14"/>
  <c r="J55" i="14" s="1"/>
  <c r="I88" i="14" s="1"/>
  <c r="F50" i="14"/>
  <c r="E50" i="14"/>
  <c r="C50" i="14"/>
  <c r="B50" i="14"/>
  <c r="AJ19" i="14"/>
  <c r="A1" i="14"/>
  <c r="P72" i="14" l="1"/>
  <c r="K74" i="14" s="1"/>
  <c r="L107" i="14"/>
  <c r="O15" i="10"/>
  <c r="O72" i="14"/>
  <c r="I74" i="14" s="1"/>
  <c r="L97" i="14"/>
  <c r="L100" i="14" s="1"/>
  <c r="Q15" i="10" s="1"/>
  <c r="J62" i="14"/>
  <c r="W62" i="14" s="1"/>
  <c r="L62" i="14"/>
  <c r="L53" i="14" s="1"/>
  <c r="K61" i="14"/>
  <c r="O68" i="14"/>
  <c r="P68" i="14"/>
  <c r="I85" i="14"/>
  <c r="J98" i="14" s="1"/>
  <c r="L63" i="14"/>
  <c r="K72" i="14"/>
  <c r="I72" i="14"/>
  <c r="X72" i="14"/>
  <c r="I87" i="14"/>
  <c r="I68" i="14"/>
  <c r="L106" i="14" l="1"/>
  <c r="L109" i="14" s="1"/>
  <c r="R15" i="10" s="1"/>
  <c r="J63" i="14"/>
  <c r="J57" i="14" s="1"/>
  <c r="J107" i="14"/>
  <c r="N15" i="10"/>
  <c r="J53" i="14"/>
  <c r="I86" i="14" s="1"/>
  <c r="J97" i="14" s="1"/>
  <c r="L61" i="14"/>
  <c r="L52" i="14" s="1"/>
  <c r="J61" i="14"/>
  <c r="J52" i="14" s="1"/>
  <c r="L115" i="14"/>
  <c r="I64" i="14"/>
  <c r="L57" i="14"/>
  <c r="K64" i="14"/>
  <c r="P64" i="14" s="1"/>
  <c r="W53" i="14" l="1"/>
  <c r="P59" i="14"/>
  <c r="K82" i="14" s="1"/>
  <c r="L95" i="14" s="1"/>
  <c r="I59" i="14"/>
  <c r="I66" i="14" s="1"/>
  <c r="X59" i="14"/>
  <c r="J106" i="14"/>
  <c r="J109" i="14" s="1"/>
  <c r="J100" i="14"/>
  <c r="P15" i="10" s="1"/>
  <c r="O59" i="14"/>
  <c r="X64" i="14"/>
  <c r="O64" i="14"/>
  <c r="K59" i="14"/>
  <c r="K66" i="14" s="1"/>
  <c r="K78" i="14" l="1"/>
  <c r="J115" i="14"/>
  <c r="I82" i="14"/>
  <c r="J95" i="14" s="1"/>
  <c r="I78" i="14"/>
  <c r="L104" i="14"/>
  <c r="L101" i="14"/>
  <c r="L96" i="14"/>
  <c r="F15" i="10" s="1"/>
  <c r="T15" i="10" s="1"/>
  <c r="J101" i="14" l="1"/>
  <c r="J96" i="14"/>
  <c r="E15" i="10" s="1"/>
  <c r="S15" i="10" s="1"/>
  <c r="J104" i="14"/>
  <c r="L105" i="14"/>
  <c r="L110" i="14"/>
  <c r="L113" i="14" s="1"/>
  <c r="L114" i="14" l="1"/>
  <c r="G15" i="10"/>
  <c r="J105" i="14"/>
  <c r="J114" i="14" s="1"/>
  <c r="J110" i="14"/>
  <c r="J113" i="14" s="1"/>
  <c r="D100" i="13" l="1"/>
  <c r="D99" i="13"/>
  <c r="D98" i="13"/>
  <c r="D97" i="13"/>
  <c r="D96" i="13"/>
  <c r="K95" i="13"/>
  <c r="J95" i="13"/>
  <c r="K94" i="13"/>
  <c r="J94" i="13"/>
  <c r="AL93" i="13"/>
  <c r="A93" i="13"/>
  <c r="K91" i="13"/>
  <c r="J91" i="13"/>
  <c r="K90" i="13"/>
  <c r="J90" i="13"/>
  <c r="A89" i="13"/>
  <c r="AA87" i="13"/>
  <c r="Z87" i="13"/>
  <c r="Y87" i="13"/>
  <c r="V86" i="13"/>
  <c r="U86" i="13"/>
  <c r="T86" i="13"/>
  <c r="S86" i="13"/>
  <c r="R86" i="13"/>
  <c r="Q86" i="13"/>
  <c r="L86" i="13"/>
  <c r="P87" i="13" s="1"/>
  <c r="K86" i="13"/>
  <c r="J86" i="13"/>
  <c r="O87" i="13" s="1"/>
  <c r="I86" i="13"/>
  <c r="H86" i="13"/>
  <c r="G86" i="13"/>
  <c r="F86" i="13"/>
  <c r="E86" i="13"/>
  <c r="C86" i="13"/>
  <c r="B86" i="13"/>
  <c r="AA85" i="13"/>
  <c r="Z85" i="13"/>
  <c r="Y85" i="13"/>
  <c r="V84" i="13"/>
  <c r="U84" i="13"/>
  <c r="T84" i="13"/>
  <c r="S84" i="13"/>
  <c r="R84" i="13"/>
  <c r="Q84" i="13"/>
  <c r="L84" i="13"/>
  <c r="P85" i="13" s="1"/>
  <c r="K84" i="13"/>
  <c r="J84" i="13"/>
  <c r="X85" i="13" s="1"/>
  <c r="I84" i="13"/>
  <c r="H84" i="13"/>
  <c r="G84" i="13"/>
  <c r="F84" i="13"/>
  <c r="E84" i="13"/>
  <c r="C84" i="13"/>
  <c r="B84" i="13"/>
  <c r="AA83" i="13"/>
  <c r="Z83" i="13"/>
  <c r="Y83" i="13"/>
  <c r="V82" i="13"/>
  <c r="U82" i="13"/>
  <c r="T82" i="13"/>
  <c r="S82" i="13"/>
  <c r="R82" i="13"/>
  <c r="Q82" i="13"/>
  <c r="L82" i="13"/>
  <c r="P83" i="13" s="1"/>
  <c r="K82" i="13"/>
  <c r="J82" i="13"/>
  <c r="X83" i="13" s="1"/>
  <c r="I82" i="13"/>
  <c r="H82" i="13"/>
  <c r="G82" i="13"/>
  <c r="F82" i="13"/>
  <c r="E82" i="13"/>
  <c r="C82" i="13"/>
  <c r="B82" i="13"/>
  <c r="AA81" i="13"/>
  <c r="Z81" i="13"/>
  <c r="Y81" i="13"/>
  <c r="V80" i="13"/>
  <c r="U80" i="13"/>
  <c r="T80" i="13"/>
  <c r="S80" i="13"/>
  <c r="R80" i="13"/>
  <c r="Q80" i="13"/>
  <c r="L80" i="13"/>
  <c r="P81" i="13" s="1"/>
  <c r="K80" i="13"/>
  <c r="J80" i="13"/>
  <c r="X81" i="13" s="1"/>
  <c r="I80" i="13"/>
  <c r="H80" i="13"/>
  <c r="G80" i="13"/>
  <c r="F80" i="13"/>
  <c r="E80" i="13"/>
  <c r="C80" i="13"/>
  <c r="B80" i="13"/>
  <c r="AA79" i="13"/>
  <c r="Z79" i="13"/>
  <c r="Y79" i="13"/>
  <c r="V78" i="13"/>
  <c r="U78" i="13"/>
  <c r="T78" i="13"/>
  <c r="S78" i="13"/>
  <c r="R78" i="13"/>
  <c r="Q78" i="13"/>
  <c r="L78" i="13"/>
  <c r="P79" i="13" s="1"/>
  <c r="K78" i="13"/>
  <c r="J78" i="13"/>
  <c r="X79" i="13" s="1"/>
  <c r="I78" i="13"/>
  <c r="H78" i="13"/>
  <c r="G78" i="13"/>
  <c r="F78" i="13"/>
  <c r="E78" i="13"/>
  <c r="C78" i="13"/>
  <c r="B78" i="13"/>
  <c r="AA77" i="13"/>
  <c r="Z77" i="13"/>
  <c r="Y77" i="13"/>
  <c r="V76" i="13"/>
  <c r="U76" i="13"/>
  <c r="T76" i="13"/>
  <c r="S76" i="13"/>
  <c r="R76" i="13"/>
  <c r="Q76" i="13"/>
  <c r="L76" i="13"/>
  <c r="P77" i="13" s="1"/>
  <c r="K76" i="13"/>
  <c r="J76" i="13"/>
  <c r="X77" i="13" s="1"/>
  <c r="I76" i="13"/>
  <c r="H76" i="13"/>
  <c r="G76" i="13"/>
  <c r="F76" i="13"/>
  <c r="E76" i="13"/>
  <c r="C76" i="13"/>
  <c r="B76" i="13"/>
  <c r="AA75" i="13"/>
  <c r="Z75" i="13"/>
  <c r="Y75" i="13"/>
  <c r="V74" i="13"/>
  <c r="U74" i="13"/>
  <c r="T74" i="13"/>
  <c r="S74" i="13"/>
  <c r="R74" i="13"/>
  <c r="Q74" i="13"/>
  <c r="L74" i="13"/>
  <c r="P75" i="13" s="1"/>
  <c r="K74" i="13"/>
  <c r="J74" i="13"/>
  <c r="X75" i="13" s="1"/>
  <c r="I74" i="13"/>
  <c r="H74" i="13"/>
  <c r="G74" i="13"/>
  <c r="F74" i="13"/>
  <c r="E74" i="13"/>
  <c r="C74" i="13"/>
  <c r="B74" i="13"/>
  <c r="AA73" i="13"/>
  <c r="Z73" i="13"/>
  <c r="Y73" i="13"/>
  <c r="V72" i="13"/>
  <c r="U72" i="13"/>
  <c r="T72" i="13"/>
  <c r="S72" i="13"/>
  <c r="R72" i="13"/>
  <c r="Q72" i="13"/>
  <c r="L72" i="13"/>
  <c r="P73" i="13" s="1"/>
  <c r="K72" i="13"/>
  <c r="J72" i="13"/>
  <c r="X73" i="13" s="1"/>
  <c r="I72" i="13"/>
  <c r="H72" i="13"/>
  <c r="G72" i="13"/>
  <c r="F72" i="13"/>
  <c r="E72" i="13"/>
  <c r="C72" i="13"/>
  <c r="B72" i="13"/>
  <c r="AA71" i="13"/>
  <c r="Z71" i="13"/>
  <c r="Y71" i="13"/>
  <c r="V70" i="13"/>
  <c r="U70" i="13"/>
  <c r="T70" i="13"/>
  <c r="S70" i="13"/>
  <c r="R70" i="13"/>
  <c r="Q70" i="13"/>
  <c r="L70" i="13"/>
  <c r="P71" i="13" s="1"/>
  <c r="K70" i="13"/>
  <c r="J70" i="13"/>
  <c r="X71" i="13" s="1"/>
  <c r="I70" i="13"/>
  <c r="H70" i="13"/>
  <c r="G70" i="13"/>
  <c r="F70" i="13"/>
  <c r="E70" i="13"/>
  <c r="C70" i="13"/>
  <c r="B70" i="13"/>
  <c r="AA67" i="13"/>
  <c r="Z67" i="13"/>
  <c r="Y67" i="13"/>
  <c r="K66" i="13"/>
  <c r="F66" i="13"/>
  <c r="K65" i="13"/>
  <c r="K64" i="13" s="1"/>
  <c r="I65" i="13"/>
  <c r="I64" i="13" s="1"/>
  <c r="G65" i="13"/>
  <c r="G64" i="13" s="1"/>
  <c r="H64" i="13"/>
  <c r="AA62" i="13"/>
  <c r="Z62" i="13"/>
  <c r="Y62" i="13"/>
  <c r="J61" i="13"/>
  <c r="I61" i="13"/>
  <c r="H61" i="13"/>
  <c r="F61" i="13"/>
  <c r="K60" i="13"/>
  <c r="F60" i="13"/>
  <c r="K59" i="13"/>
  <c r="F59" i="13"/>
  <c r="K58" i="13"/>
  <c r="F58" i="13"/>
  <c r="AA57" i="13"/>
  <c r="Z57" i="13"/>
  <c r="Y57" i="13"/>
  <c r="V57" i="13"/>
  <c r="U57" i="13"/>
  <c r="T57" i="13"/>
  <c r="S57" i="13"/>
  <c r="R57" i="13"/>
  <c r="Q57" i="13"/>
  <c r="L57" i="13"/>
  <c r="K57" i="13"/>
  <c r="J57" i="13"/>
  <c r="X57" i="13" s="1"/>
  <c r="I57" i="13"/>
  <c r="G57" i="13"/>
  <c r="F57" i="13"/>
  <c r="E57" i="13"/>
  <c r="C57" i="13"/>
  <c r="B57" i="13"/>
  <c r="L56" i="13"/>
  <c r="K56" i="13"/>
  <c r="J56" i="13"/>
  <c r="I56" i="13"/>
  <c r="H56" i="13"/>
  <c r="G56" i="13"/>
  <c r="K55" i="13"/>
  <c r="I55" i="13"/>
  <c r="H55" i="13"/>
  <c r="G55" i="13"/>
  <c r="K54" i="13"/>
  <c r="I54" i="13"/>
  <c r="H54" i="13"/>
  <c r="G54" i="13"/>
  <c r="L53" i="13"/>
  <c r="K98" i="13" s="1"/>
  <c r="K53" i="13"/>
  <c r="J53" i="13"/>
  <c r="W53" i="13" s="1"/>
  <c r="I53" i="13"/>
  <c r="H53" i="13"/>
  <c r="G53" i="13"/>
  <c r="V52" i="13"/>
  <c r="U52" i="13"/>
  <c r="T52" i="13"/>
  <c r="S52" i="13"/>
  <c r="R52" i="13"/>
  <c r="Q52" i="13"/>
  <c r="F52" i="13"/>
  <c r="E52" i="13"/>
  <c r="C52" i="13"/>
  <c r="B52" i="13"/>
  <c r="A51" i="13"/>
  <c r="AJ20" i="13"/>
  <c r="A1" i="13"/>
  <c r="L59" i="13" l="1"/>
  <c r="K100" i="13" s="1"/>
  <c r="J58" i="13"/>
  <c r="I99" i="13" s="1"/>
  <c r="J59" i="13"/>
  <c r="I100" i="13" s="1"/>
  <c r="I98" i="13"/>
  <c r="O71" i="13"/>
  <c r="O73" i="13"/>
  <c r="O75" i="13"/>
  <c r="O77" i="13"/>
  <c r="O79" i="13"/>
  <c r="O81" i="13"/>
  <c r="O83" i="13"/>
  <c r="O85" i="13"/>
  <c r="L65" i="13"/>
  <c r="L64" i="13" s="1"/>
  <c r="L54" i="13" s="1"/>
  <c r="L58" i="13"/>
  <c r="K99" i="13" s="1"/>
  <c r="I96" i="13"/>
  <c r="J109" i="13" s="1"/>
  <c r="K71" i="13"/>
  <c r="K75" i="13"/>
  <c r="K77" i="13"/>
  <c r="K79" i="13"/>
  <c r="K81" i="13"/>
  <c r="K83" i="13"/>
  <c r="K85" i="13"/>
  <c r="K87" i="13"/>
  <c r="K96" i="13"/>
  <c r="L109" i="13" s="1"/>
  <c r="J65" i="13"/>
  <c r="I71" i="13"/>
  <c r="I73" i="13"/>
  <c r="I75" i="13"/>
  <c r="I77" i="13"/>
  <c r="I79" i="13"/>
  <c r="I81" i="13"/>
  <c r="I83" i="13"/>
  <c r="I85" i="13"/>
  <c r="I87" i="13"/>
  <c r="X87" i="13"/>
  <c r="K73" i="13"/>
  <c r="L118" i="13" l="1"/>
  <c r="O14" i="10"/>
  <c r="J118" i="13"/>
  <c r="N14" i="10"/>
  <c r="L66" i="13"/>
  <c r="L60" i="13" s="1"/>
  <c r="K62" i="13" s="1"/>
  <c r="L55" i="13"/>
  <c r="K97" i="13" s="1"/>
  <c r="L108" i="13" s="1"/>
  <c r="L117" i="13" s="1"/>
  <c r="L120" i="13" s="1"/>
  <c r="R14" i="10" s="1"/>
  <c r="J64" i="13"/>
  <c r="J54" i="13" s="1"/>
  <c r="J66" i="13"/>
  <c r="W65" i="13"/>
  <c r="J55" i="13"/>
  <c r="K67" i="13" l="1"/>
  <c r="P67" i="13" s="1"/>
  <c r="P62" i="13"/>
  <c r="L111" i="13"/>
  <c r="Q14" i="10" s="1"/>
  <c r="I67" i="13"/>
  <c r="J60" i="13"/>
  <c r="I62" i="13" s="1"/>
  <c r="I97" i="13"/>
  <c r="J108" i="13" s="1"/>
  <c r="W55" i="13"/>
  <c r="L126" i="13"/>
  <c r="K69" i="13" l="1"/>
  <c r="K89" i="13"/>
  <c r="O62" i="13"/>
  <c r="K93" i="13"/>
  <c r="L106" i="13" s="1"/>
  <c r="L107" i="13" s="1"/>
  <c r="F14" i="10" s="1"/>
  <c r="T14" i="10" s="1"/>
  <c r="I69" i="13"/>
  <c r="X62" i="13"/>
  <c r="J111" i="13"/>
  <c r="P14" i="10" s="1"/>
  <c r="J117" i="13"/>
  <c r="J120" i="13" s="1"/>
  <c r="O67" i="13"/>
  <c r="X67" i="13"/>
  <c r="I93" i="13" l="1"/>
  <c r="J106" i="13" s="1"/>
  <c r="J107" i="13" s="1"/>
  <c r="E14" i="10" s="1"/>
  <c r="S14" i="10" s="1"/>
  <c r="L115" i="13"/>
  <c r="L116" i="13" s="1"/>
  <c r="L112" i="13"/>
  <c r="I89" i="13"/>
  <c r="J126" i="13"/>
  <c r="J112" i="13" l="1"/>
  <c r="J115" i="13"/>
  <c r="J116" i="13" s="1"/>
  <c r="J125" i="13" s="1"/>
  <c r="L125" i="13"/>
  <c r="G14" i="10"/>
  <c r="U14" i="10" s="1"/>
  <c r="L121" i="13"/>
  <c r="L124" i="13" s="1"/>
  <c r="J121" i="13"/>
  <c r="J124" i="13" s="1"/>
  <c r="D108" i="12" l="1"/>
  <c r="D107" i="12"/>
  <c r="D106" i="12"/>
  <c r="D105" i="12"/>
  <c r="D104" i="12"/>
  <c r="K103" i="12"/>
  <c r="J103" i="12"/>
  <c r="K102" i="12"/>
  <c r="J102" i="12"/>
  <c r="AL101" i="12"/>
  <c r="A101" i="12"/>
  <c r="K99" i="12"/>
  <c r="J99" i="12"/>
  <c r="K98" i="12"/>
  <c r="J98" i="12"/>
  <c r="AL97" i="12"/>
  <c r="A97" i="12"/>
  <c r="AA95" i="12"/>
  <c r="Z95" i="12"/>
  <c r="Y95" i="12"/>
  <c r="V94" i="12"/>
  <c r="U94" i="12"/>
  <c r="T94" i="12"/>
  <c r="S94" i="12"/>
  <c r="R94" i="12"/>
  <c r="Q94" i="12"/>
  <c r="F94" i="12"/>
  <c r="L94" i="12" s="1"/>
  <c r="P95" i="12" s="1"/>
  <c r="E94" i="12"/>
  <c r="C94" i="12"/>
  <c r="B94" i="12"/>
  <c r="AA93" i="12"/>
  <c r="Z93" i="12"/>
  <c r="Y93" i="12"/>
  <c r="V92" i="12"/>
  <c r="U92" i="12"/>
  <c r="T92" i="12"/>
  <c r="S92" i="12"/>
  <c r="R92" i="12"/>
  <c r="Q92" i="12"/>
  <c r="L92" i="12"/>
  <c r="P93" i="12" s="1"/>
  <c r="K92" i="12"/>
  <c r="J92" i="12"/>
  <c r="X93" i="12" s="1"/>
  <c r="I92" i="12"/>
  <c r="H92" i="12"/>
  <c r="G92" i="12"/>
  <c r="F92" i="12"/>
  <c r="E92" i="12"/>
  <c r="B92" i="12"/>
  <c r="AA91" i="12"/>
  <c r="Z91" i="12"/>
  <c r="Y91" i="12"/>
  <c r="V90" i="12"/>
  <c r="U90" i="12"/>
  <c r="T90" i="12"/>
  <c r="S90" i="12"/>
  <c r="R90" i="12"/>
  <c r="Q90" i="12"/>
  <c r="L90" i="12"/>
  <c r="P91" i="12" s="1"/>
  <c r="K90" i="12"/>
  <c r="J90" i="12"/>
  <c r="O91" i="12" s="1"/>
  <c r="I90" i="12"/>
  <c r="H90" i="12"/>
  <c r="G90" i="12"/>
  <c r="F90" i="12"/>
  <c r="E90" i="12"/>
  <c r="B90" i="12"/>
  <c r="AA89" i="12"/>
  <c r="Z89" i="12"/>
  <c r="Y89" i="12"/>
  <c r="V88" i="12"/>
  <c r="U88" i="12"/>
  <c r="T88" i="12"/>
  <c r="S88" i="12"/>
  <c r="R88" i="12"/>
  <c r="Q88" i="12"/>
  <c r="L88" i="12"/>
  <c r="K89" i="12" s="1"/>
  <c r="K88" i="12"/>
  <c r="J88" i="12"/>
  <c r="O89" i="12" s="1"/>
  <c r="I88" i="12"/>
  <c r="H88" i="12"/>
  <c r="G88" i="12"/>
  <c r="F88" i="12"/>
  <c r="E88" i="12"/>
  <c r="B88" i="12"/>
  <c r="AA87" i="12"/>
  <c r="Z87" i="12"/>
  <c r="Y87" i="12"/>
  <c r="V86" i="12"/>
  <c r="U86" i="12"/>
  <c r="T86" i="12"/>
  <c r="S86" i="12"/>
  <c r="R86" i="12"/>
  <c r="Q86" i="12"/>
  <c r="F86" i="12"/>
  <c r="L86" i="12" s="1"/>
  <c r="J86" i="12" s="1"/>
  <c r="G86" i="12" s="1"/>
  <c r="E86" i="12"/>
  <c r="C86" i="12"/>
  <c r="B86" i="12"/>
  <c r="AA83" i="12"/>
  <c r="Z83" i="12"/>
  <c r="Y83" i="12"/>
  <c r="K82" i="12"/>
  <c r="F82" i="12"/>
  <c r="K81" i="12"/>
  <c r="K80" i="12" s="1"/>
  <c r="I81" i="12"/>
  <c r="I80" i="12" s="1"/>
  <c r="G81" i="12"/>
  <c r="H80" i="12"/>
  <c r="AA78" i="12"/>
  <c r="Z78" i="12"/>
  <c r="Y78" i="12"/>
  <c r="J77" i="12"/>
  <c r="I77" i="12"/>
  <c r="H77" i="12"/>
  <c r="F77" i="12"/>
  <c r="K76" i="12"/>
  <c r="F76" i="12"/>
  <c r="K75" i="12"/>
  <c r="F75" i="12"/>
  <c r="K74" i="12"/>
  <c r="F74" i="12"/>
  <c r="L73" i="12"/>
  <c r="K73" i="12"/>
  <c r="J73" i="12"/>
  <c r="I73" i="12"/>
  <c r="H73" i="12"/>
  <c r="G73" i="12"/>
  <c r="K72" i="12"/>
  <c r="I72" i="12"/>
  <c r="H72" i="12"/>
  <c r="G72" i="12"/>
  <c r="K71" i="12"/>
  <c r="I71" i="12"/>
  <c r="H71" i="12"/>
  <c r="G71" i="12"/>
  <c r="L70" i="12"/>
  <c r="K70" i="12"/>
  <c r="J70" i="12"/>
  <c r="I70" i="12"/>
  <c r="H70" i="12"/>
  <c r="G70" i="12"/>
  <c r="V69" i="12"/>
  <c r="U69" i="12"/>
  <c r="T69" i="12"/>
  <c r="L75" i="12" s="1"/>
  <c r="S69" i="12"/>
  <c r="J75" i="12" s="1"/>
  <c r="R69" i="12"/>
  <c r="L74" i="12" s="1"/>
  <c r="Q69" i="12"/>
  <c r="J74" i="12" s="1"/>
  <c r="F69" i="12"/>
  <c r="E69" i="12"/>
  <c r="B69" i="12"/>
  <c r="AA68" i="12"/>
  <c r="Z68" i="12"/>
  <c r="Y68" i="12"/>
  <c r="V67" i="12"/>
  <c r="U67" i="12"/>
  <c r="T67" i="12"/>
  <c r="S67" i="12"/>
  <c r="R67" i="12"/>
  <c r="Q67" i="12"/>
  <c r="L67" i="12"/>
  <c r="K68" i="12" s="1"/>
  <c r="K67" i="12"/>
  <c r="J67" i="12"/>
  <c r="O68" i="12" s="1"/>
  <c r="I67" i="12"/>
  <c r="H67" i="12"/>
  <c r="G67" i="12"/>
  <c r="F67" i="12"/>
  <c r="E67" i="12"/>
  <c r="B67" i="12"/>
  <c r="AA66" i="12"/>
  <c r="Z66" i="12"/>
  <c r="Y66" i="12"/>
  <c r="V65" i="12"/>
  <c r="U65" i="12"/>
  <c r="T65" i="12"/>
  <c r="S65" i="12"/>
  <c r="R65" i="12"/>
  <c r="Q65" i="12"/>
  <c r="F65" i="12"/>
  <c r="L65" i="12" s="1"/>
  <c r="J65" i="12" s="1"/>
  <c r="G65" i="12" s="1"/>
  <c r="E65" i="12"/>
  <c r="C65" i="12"/>
  <c r="B65" i="12"/>
  <c r="AA62" i="12"/>
  <c r="Z62" i="12"/>
  <c r="Y62" i="12"/>
  <c r="K61" i="12"/>
  <c r="F61" i="12"/>
  <c r="K60" i="12"/>
  <c r="K59" i="12" s="1"/>
  <c r="I60" i="12"/>
  <c r="I59" i="12" s="1"/>
  <c r="G60" i="12"/>
  <c r="G59" i="12" s="1"/>
  <c r="H59" i="12"/>
  <c r="AA57" i="12"/>
  <c r="Z57" i="12"/>
  <c r="Y57" i="12"/>
  <c r="J56" i="12"/>
  <c r="I56" i="12"/>
  <c r="H56" i="12"/>
  <c r="F56" i="12"/>
  <c r="K55" i="12"/>
  <c r="F55" i="12"/>
  <c r="K54" i="12"/>
  <c r="F54" i="12"/>
  <c r="K53" i="12"/>
  <c r="F53" i="12"/>
  <c r="L52" i="12"/>
  <c r="K52" i="12"/>
  <c r="J52" i="12"/>
  <c r="I52" i="12"/>
  <c r="H52" i="12"/>
  <c r="G52" i="12"/>
  <c r="K51" i="12"/>
  <c r="I51" i="12"/>
  <c r="H51" i="12"/>
  <c r="G51" i="12"/>
  <c r="K50" i="12"/>
  <c r="I50" i="12"/>
  <c r="H50" i="12"/>
  <c r="G50" i="12"/>
  <c r="L49" i="12"/>
  <c r="K49" i="12"/>
  <c r="J49" i="12"/>
  <c r="I49" i="12"/>
  <c r="H49" i="12"/>
  <c r="G49" i="12"/>
  <c r="V48" i="12"/>
  <c r="U48" i="12"/>
  <c r="T48" i="12"/>
  <c r="L54" i="12" s="1"/>
  <c r="S48" i="12"/>
  <c r="J54" i="12" s="1"/>
  <c r="I108" i="12" s="1"/>
  <c r="R48" i="12"/>
  <c r="L53" i="12" s="1"/>
  <c r="Q48" i="12"/>
  <c r="J53" i="12" s="1"/>
  <c r="F48" i="12"/>
  <c r="E48" i="12"/>
  <c r="B48" i="12"/>
  <c r="AJ19" i="12"/>
  <c r="K87" i="12" l="1"/>
  <c r="K66" i="12"/>
  <c r="X66" i="12"/>
  <c r="X87" i="12"/>
  <c r="J94" i="12"/>
  <c r="K104" i="12"/>
  <c r="L117" i="12" s="1"/>
  <c r="O13" i="10" s="1"/>
  <c r="O23" i="10" s="1"/>
  <c r="J60" i="12"/>
  <c r="J61" i="12" s="1"/>
  <c r="I62" i="12" s="1"/>
  <c r="I107" i="12"/>
  <c r="J81" i="12"/>
  <c r="W81" i="12" s="1"/>
  <c r="K106" i="12"/>
  <c r="P87" i="12"/>
  <c r="L81" i="12"/>
  <c r="L80" i="12" s="1"/>
  <c r="L71" i="12" s="1"/>
  <c r="X68" i="12"/>
  <c r="X91" i="12"/>
  <c r="W60" i="12"/>
  <c r="I106" i="12"/>
  <c r="L60" i="12"/>
  <c r="L59" i="12" s="1"/>
  <c r="L50" i="12" s="1"/>
  <c r="G80" i="12"/>
  <c r="I89" i="12"/>
  <c r="I68" i="12"/>
  <c r="P89" i="12"/>
  <c r="I91" i="12"/>
  <c r="P66" i="12"/>
  <c r="P68" i="12"/>
  <c r="X89" i="12"/>
  <c r="O93" i="12"/>
  <c r="O95" i="12"/>
  <c r="K107" i="12"/>
  <c r="K108" i="12"/>
  <c r="K91" i="12"/>
  <c r="W49" i="12"/>
  <c r="O66" i="12"/>
  <c r="W70" i="12"/>
  <c r="O87" i="12"/>
  <c r="K93" i="12"/>
  <c r="K95" i="12"/>
  <c r="I104" i="12"/>
  <c r="J117" i="12" s="1"/>
  <c r="I66" i="12"/>
  <c r="I87" i="12"/>
  <c r="J80" i="12"/>
  <c r="J71" i="12" s="1"/>
  <c r="I93" i="12"/>
  <c r="I95" i="12"/>
  <c r="G94" i="12" l="1"/>
  <c r="X95" i="12"/>
  <c r="J126" i="12"/>
  <c r="N13" i="10"/>
  <c r="N23" i="10" s="1"/>
  <c r="L126" i="12"/>
  <c r="J82" i="12"/>
  <c r="I83" i="12" s="1"/>
  <c r="J72" i="12"/>
  <c r="W72" i="12" s="1"/>
  <c r="L72" i="12"/>
  <c r="X62" i="12"/>
  <c r="O62" i="12"/>
  <c r="J59" i="12"/>
  <c r="J50" i="12" s="1"/>
  <c r="J51" i="12"/>
  <c r="L51" i="12"/>
  <c r="L82" i="12"/>
  <c r="L76" i="12" s="1"/>
  <c r="P78" i="12" s="1"/>
  <c r="L61" i="12"/>
  <c r="L55" i="12" s="1"/>
  <c r="J55" i="12"/>
  <c r="K105" i="12" l="1"/>
  <c r="L116" i="12" s="1"/>
  <c r="L119" i="12" s="1"/>
  <c r="Q13" i="10" s="1"/>
  <c r="Q23" i="10" s="1"/>
  <c r="I57" i="12"/>
  <c r="I64" i="12" s="1"/>
  <c r="I105" i="12"/>
  <c r="J116" i="12" s="1"/>
  <c r="J119" i="12" s="1"/>
  <c r="P13" i="10" s="1"/>
  <c r="P23" i="10" s="1"/>
  <c r="K83" i="12"/>
  <c r="P83" i="12" s="1"/>
  <c r="J76" i="12"/>
  <c r="I78" i="12" s="1"/>
  <c r="I85" i="12" s="1"/>
  <c r="W51" i="12"/>
  <c r="X57" i="12"/>
  <c r="K57" i="12"/>
  <c r="P57" i="12"/>
  <c r="K62" i="12"/>
  <c r="P62" i="12" s="1"/>
  <c r="X83" i="12"/>
  <c r="O83" i="12"/>
  <c r="O57" i="12"/>
  <c r="K78" i="12"/>
  <c r="K97" i="12" l="1"/>
  <c r="I423" i="21"/>
  <c r="G50" i="11"/>
  <c r="L125" i="12"/>
  <c r="L128" i="12" s="1"/>
  <c r="J125" i="12"/>
  <c r="J128" i="12" s="1"/>
  <c r="J134" i="12" s="1"/>
  <c r="X78" i="12"/>
  <c r="O78" i="12"/>
  <c r="I97" i="12" s="1"/>
  <c r="K85" i="12"/>
  <c r="K101" i="12"/>
  <c r="L114" i="12" s="1"/>
  <c r="L123" i="12" s="1"/>
  <c r="K64" i="12"/>
  <c r="L134" i="12" l="1"/>
  <c r="R13" i="10"/>
  <c r="R23" i="10" s="1"/>
  <c r="C50" i="11"/>
  <c r="E50" i="11"/>
  <c r="L120" i="12"/>
  <c r="I101" i="12"/>
  <c r="J114" i="12" s="1"/>
  <c r="J120" i="12" s="1"/>
  <c r="L115" i="12"/>
  <c r="F13" i="10" s="1"/>
  <c r="F23" i="10" s="1"/>
  <c r="L124" i="12"/>
  <c r="L129" i="12"/>
  <c r="L132" i="12" s="1"/>
  <c r="L133" i="12" l="1"/>
  <c r="G13" i="10"/>
  <c r="G23" i="10" s="1"/>
  <c r="H46" i="11" s="1"/>
  <c r="H50" i="11"/>
  <c r="K423" i="21"/>
  <c r="J123" i="12"/>
  <c r="J129" i="12" s="1"/>
  <c r="J132" i="12" s="1"/>
  <c r="J115" i="12"/>
  <c r="E13" i="10" s="1"/>
  <c r="E23" i="10" s="1"/>
  <c r="G46" i="11" s="1"/>
  <c r="D46" i="11" l="1"/>
  <c r="F46" i="11"/>
  <c r="D50" i="11"/>
  <c r="F50" i="11"/>
  <c r="C46" i="11"/>
  <c r="E46" i="11"/>
  <c r="E44" i="11" s="1"/>
  <c r="J124" i="12"/>
  <c r="J133" i="12" s="1"/>
  <c r="U15" i="10" l="1"/>
  <c r="U16" i="10"/>
  <c r="U17" i="10"/>
  <c r="T13" i="10" l="1"/>
  <c r="T23" i="10" s="1"/>
  <c r="S13" i="10"/>
  <c r="S23" i="10" s="1"/>
  <c r="I421" i="21" l="1"/>
  <c r="I422" i="21" s="1"/>
  <c r="G65" i="11"/>
  <c r="G68" i="11" s="1"/>
  <c r="E65" i="11"/>
  <c r="E68" i="11" s="1"/>
  <c r="G63" i="11"/>
  <c r="G66" i="11" s="1"/>
  <c r="G69" i="11" s="1"/>
  <c r="E63" i="11"/>
  <c r="E64" i="11" s="1"/>
  <c r="E67" i="11" s="1"/>
  <c r="C63" i="11"/>
  <c r="C64" i="11" s="1"/>
  <c r="D60" i="11"/>
  <c r="H54" i="11"/>
  <c r="H55" i="11" s="1"/>
  <c r="F53" i="11"/>
  <c r="E53" i="11"/>
  <c r="D53" i="11"/>
  <c r="F49" i="11"/>
  <c r="E49" i="11"/>
  <c r="D49" i="11"/>
  <c r="C49" i="11"/>
  <c r="C44" i="11" s="1"/>
  <c r="G44" i="11"/>
  <c r="H31" i="11"/>
  <c r="U26" i="10"/>
  <c r="T26" i="10"/>
  <c r="S26" i="10"/>
  <c r="W28" i="10"/>
  <c r="W24" i="10" s="1"/>
  <c r="V28" i="10"/>
  <c r="V24" i="10" s="1"/>
  <c r="L28" i="10"/>
  <c r="L24" i="10" s="1"/>
  <c r="K28" i="10"/>
  <c r="K24" i="10" s="1"/>
  <c r="J28" i="10"/>
  <c r="J24" i="10" s="1"/>
  <c r="I28" i="10"/>
  <c r="I24" i="10" s="1"/>
  <c r="H28" i="10"/>
  <c r="H24" i="10" s="1"/>
  <c r="P28" i="10"/>
  <c r="P27" i="10" s="1"/>
  <c r="S27" i="10" s="1"/>
  <c r="M28" i="10"/>
  <c r="M24" i="10" s="1"/>
  <c r="E28" i="10"/>
  <c r="E24" i="10" s="1"/>
  <c r="F56" i="11" l="1"/>
  <c r="S24" i="10"/>
  <c r="Q28" i="10"/>
  <c r="Q27" i="10" s="1"/>
  <c r="T27" i="10" s="1"/>
  <c r="N28" i="10"/>
  <c r="N25" i="10" s="1"/>
  <c r="F28" i="10"/>
  <c r="F24" i="10" s="1"/>
  <c r="T24" i="10" s="1"/>
  <c r="O28" i="10"/>
  <c r="O25" i="10" s="1"/>
  <c r="G70" i="11"/>
  <c r="D55" i="11"/>
  <c r="F55" i="11"/>
  <c r="D54" i="11"/>
  <c r="G64" i="11"/>
  <c r="G67" i="11" s="1"/>
  <c r="E66" i="11"/>
  <c r="E69" i="11" s="1"/>
  <c r="E70" i="11" s="1"/>
  <c r="H51" i="11"/>
  <c r="F54" i="11"/>
  <c r="R28" i="10"/>
  <c r="R27" i="10" s="1"/>
  <c r="U27" i="10" s="1"/>
  <c r="S28" i="10"/>
  <c r="T28" i="10"/>
  <c r="D51" i="11" l="1"/>
  <c r="F51" i="11"/>
  <c r="U13" i="10"/>
  <c r="Y13" i="10" s="1"/>
  <c r="AE13" i="10" s="1"/>
  <c r="H52" i="11"/>
  <c r="U23" i="10" l="1"/>
  <c r="K421" i="21" s="1"/>
  <c r="K422" i="21" s="1"/>
  <c r="F52" i="11"/>
  <c r="D52" i="11"/>
  <c r="G28" i="10"/>
  <c r="G24" i="10" s="1"/>
  <c r="U24" i="10" s="1"/>
  <c r="F62" i="11"/>
  <c r="H44" i="11"/>
  <c r="D56" i="11"/>
  <c r="D62" i="11" s="1"/>
  <c r="D63" i="11" s="1"/>
  <c r="D66" i="11" s="1"/>
  <c r="H47" i="11"/>
  <c r="H56" i="11"/>
  <c r="H62" i="11" s="1"/>
  <c r="H65" i="11" s="1"/>
  <c r="H68" i="11" s="1"/>
  <c r="F65" i="11" l="1"/>
  <c r="H48" i="11"/>
  <c r="H58" i="11" s="1"/>
  <c r="F47" i="11"/>
  <c r="F57" i="11" s="1"/>
  <c r="D47" i="11"/>
  <c r="D57" i="11" s="1"/>
  <c r="D69" i="11" s="1"/>
  <c r="D44" i="11"/>
  <c r="F44" i="11"/>
  <c r="U28" i="10"/>
  <c r="H63" i="11"/>
  <c r="H66" i="11" s="1"/>
  <c r="D65" i="11"/>
  <c r="D68" i="11" s="1"/>
  <c r="H57" i="11"/>
  <c r="D64" i="11"/>
  <c r="D67" i="11" s="1"/>
  <c r="F63" i="11"/>
  <c r="F66" i="11" s="1"/>
  <c r="F68" i="11"/>
  <c r="D48" i="11" l="1"/>
  <c r="D58" i="11" s="1"/>
  <c r="D70" i="11" s="1"/>
  <c r="F48" i="11"/>
  <c r="F58" i="11" s="1"/>
  <c r="F64" i="11"/>
  <c r="F67" i="11" s="1"/>
  <c r="H64" i="11"/>
  <c r="H67" i="11" s="1"/>
  <c r="H70" i="11" s="1"/>
  <c r="H69" i="11"/>
  <c r="F69" i="11"/>
  <c r="F70" i="11" l="1"/>
</calcChain>
</file>

<file path=xl/sharedStrings.xml><?xml version="1.0" encoding="utf-8"?>
<sst xmlns="http://schemas.openxmlformats.org/spreadsheetml/2006/main" count="2323" uniqueCount="422">
  <si>
    <t>Унифицированная форма № КС-2</t>
  </si>
  <si>
    <t>Утверждена постановлением Госкомстата России</t>
  </si>
  <si>
    <t>от 11.11.99. № 100</t>
  </si>
  <si>
    <t>Код</t>
  </si>
  <si>
    <t>Форма по ОКУД</t>
  </si>
  <si>
    <t>0322005</t>
  </si>
  <si>
    <t>04741510</t>
  </si>
  <si>
    <t>Инвестор-Застройщик:</t>
  </si>
  <si>
    <t>ГУП "Московский метрополитен" 129110, г.Москва, проспект Мира, д. 41 стр.2</t>
  </si>
  <si>
    <t>по ОКПО</t>
  </si>
  <si>
    <t>организация, адрес, телефон, факс</t>
  </si>
  <si>
    <t>03997784</t>
  </si>
  <si>
    <t>Заказчик-Генподрядчик:</t>
  </si>
  <si>
    <t>АО "Мосинжпроект" 101000, г.Москва, Сверчков пер., д.4/1</t>
  </si>
  <si>
    <t>29478604</t>
  </si>
  <si>
    <t>Подрядчик</t>
  </si>
  <si>
    <t>ООО "МИП-Строй №1", 101000, г. Москва, Девяткин пер., д.5, стр.3., комн.204</t>
  </si>
  <si>
    <t>Стройка</t>
  </si>
  <si>
    <t>Юго-Западный участок ТПК, ст."Проспект Вернадского" - ст."Можайская". 6 этап: "Участок линии от ст."Проспект Вернадского" до ст.Аминьевское шоссе"</t>
  </si>
  <si>
    <t>Главстройгрупп (к0,7)</t>
  </si>
  <si>
    <t>наименование, адрес</t>
  </si>
  <si>
    <t>Объект</t>
  </si>
  <si>
    <t>наименование</t>
  </si>
  <si>
    <t xml:space="preserve">Вид деятельности по ОКДП  </t>
  </si>
  <si>
    <t xml:space="preserve">Договор подряда  </t>
  </si>
  <si>
    <t>номер</t>
  </si>
  <si>
    <t>дата</t>
  </si>
  <si>
    <t xml:space="preserve">Вид операции  </t>
  </si>
  <si>
    <t>Номер документа</t>
  </si>
  <si>
    <t>Дата составления</t>
  </si>
  <si>
    <t>Отчетный период</t>
  </si>
  <si>
    <t>с</t>
  </si>
  <si>
    <t>по</t>
  </si>
  <si>
    <t>8</t>
  </si>
  <si>
    <t>AKT</t>
  </si>
  <si>
    <t>О ПРИЕМКЕ ВЫПОЛНЕННЫХ РАБОТ</t>
  </si>
  <si>
    <t>Номер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</si>
  <si>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</si>
  <si>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</si>
  <si>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</si>
  <si>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</si>
  <si>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</si>
  <si>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</si>
  <si>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</si>
  <si>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 и нормы НР и СП</t>
  </si>
  <si>
    <t>Всего в текущем уровне цен, руб.</t>
  </si>
  <si>
    <t>п/п</t>
  </si>
  <si>
    <t>поз. по сме-те</t>
  </si>
  <si>
    <t xml:space="preserve">ГЛАВА 2 ССР </t>
  </si>
  <si>
    <t xml:space="preserve">Том </t>
  </si>
  <si>
    <t>Подраздел</t>
  </si>
  <si>
    <t xml:space="preserve">Локальная смета № </t>
  </si>
  <si>
    <t>ЗП</t>
  </si>
  <si>
    <t>ЭМ</t>
  </si>
  <si>
    <t>в т.ч. ЗПМ</t>
  </si>
  <si>
    <t>МР</t>
  </si>
  <si>
    <t>НР от ЗП</t>
  </si>
  <si>
    <t>%</t>
  </si>
  <si>
    <t>СП от ЗП</t>
  </si>
  <si>
    <t>НР и СП от ЗПМ</t>
  </si>
  <si>
    <t>ЗТР</t>
  </si>
  <si>
    <t>чел-ч</t>
  </si>
  <si>
    <t>Доплата к эксплуатации строительных машин (от ЗПМ)</t>
  </si>
  <si>
    <t>)*(1.67-1)</t>
  </si>
  <si>
    <t>Всего с доплатой</t>
  </si>
  <si>
    <t>Установка распорных анкеров в готовые отверстия</t>
  </si>
  <si>
    <t>Анкер клиновый, из нержавеющей стали, для установки в бетон и природный камень, BZ 8-10/75 HCR</t>
  </si>
  <si>
    <t xml:space="preserve">   Итого по ТСН-2001.16</t>
  </si>
  <si>
    <t xml:space="preserve">   Итого возвратных сумм</t>
  </si>
  <si>
    <t>СМР</t>
  </si>
  <si>
    <t>в т.ч. ЗП и ЗПМ</t>
  </si>
  <si>
    <t>Прочие</t>
  </si>
  <si>
    <t>3</t>
  </si>
  <si>
    <t>Установка вентилей, задвижек, затворов, клапанов обратных, кранов проходных на трубопроводах из стальных труб диаметром до 100 мм</t>
  </si>
  <si>
    <t/>
  </si>
  <si>
    <t>Локальная смета №12-4017-Л-Р-11.4.3.1-ОВ1.3-СМ1К</t>
  </si>
  <si>
    <t>Воздуховоды круглого сечения из оцинкованной стали, толщина стенки до 1,2 мм, диаметр до 200 мм</t>
  </si>
  <si>
    <r>
      <t>3.20-1-15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</si>
  <si>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Прокладка воздуховодов из черной, оцинкованной стали и алюминия толщиной 0,9 мм периметром 3700 мм, от 4100 до 4500 мм</t>
  </si>
  <si>
    <t>Воздуховоды прямоугольного сечения из оцинкованной стали, толщина стенки до 1,2 мм, периметр до 4000 мм</t>
  </si>
  <si>
    <t>Оклеивание поверхностей изоляции рулонными материалами</t>
  </si>
  <si>
    <t>Дроссель-клапаны для регулирования расхода воздуха, в обечайке, с сектором управления, из оцинкованной стали, прямоугольные, периметр 1300 мм</t>
  </si>
  <si>
    <t>Прокладка воздуховодов из черной, оцинкованной стали и алюминия толщиной 0,5 мм диаметром до 200 мм</t>
  </si>
  <si>
    <t>Прокладка воздуховодов из черной, оцинкованной стали и алюминия толщиной 0,5 мм периметром до 600 мм</t>
  </si>
  <si>
    <t>Воздуховоды прямоугольного сечения из оцинкованной стали, толщина стенки до 1,2 мм, периметр до 1000 мм</t>
  </si>
  <si>
    <t>Прокладка воздуховодов из черной, оцинкованной стали и алюминия толщиной 0,5 мм периметром 800 мм, 1000 мм</t>
  </si>
  <si>
    <t>Прокладка воздуховодов из черной, оцинкованной стали и алюминия толщиной 0,7 мм периметром от 1100 до 1600 мм</t>
  </si>
  <si>
    <t>Прокладка воздуховодов из черной, оцинкованной стали и алюминия толщиной 0,7 мм периметром до 2400 мм</t>
  </si>
  <si>
    <r>
      <t xml:space="preserve">Заказчик - Генподрядчик: </t>
    </r>
    <r>
      <rPr>
        <sz val="16"/>
        <rFont val="Times New Roman"/>
        <family val="1"/>
        <charset val="204"/>
      </rPr>
      <t>АО "Мосинжпроект", 101000, г. Москва, Сверчков пер., д.4/1</t>
    </r>
  </si>
  <si>
    <r>
      <rPr>
        <b/>
        <sz val="16"/>
        <rFont val="Times New Roman"/>
        <family val="1"/>
        <charset val="204"/>
      </rPr>
      <t>Подрядчик:</t>
    </r>
    <r>
      <rPr>
        <sz val="16"/>
        <rFont val="Times New Roman"/>
        <family val="1"/>
        <charset val="204"/>
      </rPr>
      <t xml:space="preserve"> ООО "МИП-Строй №1"</t>
    </r>
  </si>
  <si>
    <t>Субподрядчик:</t>
  </si>
  <si>
    <t>ООО "СТРОЙ-МОНТАЖ 2002"</t>
  </si>
  <si>
    <r>
      <rPr>
        <b/>
        <sz val="16"/>
        <rFont val="Times New Roman"/>
        <family val="1"/>
        <charset val="204"/>
      </rPr>
      <t>Объект:</t>
    </r>
    <r>
      <rPr>
        <sz val="16"/>
        <rFont val="Times New Roman"/>
        <family val="1"/>
        <charset val="204"/>
      </rPr>
      <t xml:space="preserve"> Юго-западный участок третьего пересадочного контура, ст. метро "Проспект вернадского" - ст. метро "Можайская" (ст. Аминьевское шоссе, Мичуренский проспект)</t>
    </r>
  </si>
  <si>
    <r>
      <t xml:space="preserve">Контракт: </t>
    </r>
    <r>
      <rPr>
        <sz val="16"/>
        <rFont val="Times New Roman"/>
        <family val="1"/>
        <charset val="204"/>
      </rPr>
      <t>№779-1119-ЗП-МИП1/Н 12.12.2019</t>
    </r>
  </si>
  <si>
    <t>№ п/п</t>
  </si>
  <si>
    <t xml:space="preserve">№ раздела </t>
  </si>
  <si>
    <t>№ сметы, чертежа</t>
  </si>
  <si>
    <t>Наименование объектов строительства и работ</t>
  </si>
  <si>
    <t>Обслуживающие процессы</t>
  </si>
  <si>
    <t xml:space="preserve">ВЗиС </t>
  </si>
  <si>
    <t>Материалы</t>
  </si>
  <si>
    <r>
      <t xml:space="preserve">Прочие (К=1,15 к ЗП и ЗПМ - </t>
    </r>
    <r>
      <rPr>
        <b/>
        <i/>
        <sz val="14"/>
        <rFont val="Times New Roman"/>
        <family val="1"/>
        <charset val="204"/>
      </rPr>
      <t>Распоряжение №761-РП от 23.12.15</t>
    </r>
    <r>
      <rPr>
        <b/>
        <sz val="14"/>
        <rFont val="Times New Roman"/>
        <family val="1"/>
        <charset val="204"/>
      </rPr>
      <t>)</t>
    </r>
  </si>
  <si>
    <t>Всего</t>
  </si>
  <si>
    <t>Давальческий материал</t>
  </si>
  <si>
    <t xml:space="preserve">Давальческое оборудование </t>
  </si>
  <si>
    <t>Производитель работ</t>
  </si>
  <si>
    <t>Стоимость                                                    в базовых                                                                   ценах</t>
  </si>
  <si>
    <t>Стоимость в текущих ценах К=1,0</t>
  </si>
  <si>
    <t xml:space="preserve">Стоимость в текущих ценах                                                                                                                                                                                          К1=0,925
</t>
  </si>
  <si>
    <t>Стоимость                                                    в базовых ценах</t>
  </si>
  <si>
    <t>Стоимость                                                   в текущих ценах К=1,0</t>
  </si>
  <si>
    <t xml:space="preserve">Стоимость в текущих ценах                                                                                                                                                                                          К1=0,975
</t>
  </si>
  <si>
    <t>Стоимость                                                                                          в базовых                                        ценах</t>
  </si>
  <si>
    <t>Стоимость                                                           в текущих ценах К=1,0</t>
  </si>
  <si>
    <t>Стоимость                                                    в базовых                                                                        ценах</t>
  </si>
  <si>
    <t>1</t>
  </si>
  <si>
    <t>ООО "Строй-Монтаж 2002"</t>
  </si>
  <si>
    <t>2</t>
  </si>
  <si>
    <t>4</t>
  </si>
  <si>
    <t>Всего по акту №2 за июль месяц</t>
  </si>
  <si>
    <t>ПНР</t>
  </si>
  <si>
    <t xml:space="preserve">Прочие затраты </t>
  </si>
  <si>
    <t xml:space="preserve">Субподрядчик: </t>
  </si>
  <si>
    <t xml:space="preserve">  Генеральный директор ООО "Строй-Монтаж 2002"     </t>
  </si>
  <si>
    <t>/Д.В. Алексеев/</t>
  </si>
  <si>
    <t>Унифицированная форма № КС-3</t>
  </si>
  <si>
    <t>Утверждена Постановлением Госкомстата РФ</t>
  </si>
  <si>
    <t>от 11.11.99 №100</t>
  </si>
  <si>
    <t>Инвестор-Застройщик: ГУП "Московский метрополитен" 129110, г.Москва, проспект Мира, д. 41 стр.2</t>
  </si>
  <si>
    <t xml:space="preserve"> 03997784</t>
  </si>
  <si>
    <t>Заказчик-Генподрядчик: АО "Мосинжпроект" 101000, г.Москва, Сверчков пер., д.4/1</t>
  </si>
  <si>
    <t>Подрядчик: ООО "МИП-Строй №1", 101000, г. Москва, Девяткин пер., д.5, стр.3., комн.204</t>
  </si>
  <si>
    <t>01140469</t>
  </si>
  <si>
    <t xml:space="preserve">Субподрядчик: ООО "СТРОЙ-МОНТАЖ 2002", 125362, г. Москва, улица Свободы, дом 17,Э Подвал П I ком. 1, оф. 2 </t>
  </si>
  <si>
    <t>Стройка: Юго-Западный участок ТПК, ст."Проспект Вернадского" - ст."Можайская". 6 этап: "Участок линии от ст."Проспект Вернадского" до ст.Аминьевское шоссе"</t>
  </si>
  <si>
    <t>Объект: Юго-Западный участок ТПК, ст."Проспект Вернадского" - ст."Можайская". 6 этап: "Участок линии от ст."Проспект Вернадского" до ст.Аминьевское шоссе"</t>
  </si>
  <si>
    <t>779-1119-ЗП-МИП1/Н</t>
  </si>
  <si>
    <t>СПРАВКА
О  СТОИМОСТИ ВЫПОЛНЕННЫХ РАБОТ И ЗАТРАТ</t>
  </si>
  <si>
    <t xml:space="preserve"> №№
п/п</t>
  </si>
  <si>
    <t>Наименование пусковых комплексов, объектов, видов работ, оборудования, затрат</t>
  </si>
  <si>
    <t xml:space="preserve">    СТОИМОСТЬ  ВЫПОЛНЕННЫХ  РАБОТ  И  ЗАТРАТ</t>
  </si>
  <si>
    <t>С начала проведения работ</t>
  </si>
  <si>
    <t>С начала года</t>
  </si>
  <si>
    <t>В том числе: отчетный месяц</t>
  </si>
  <si>
    <t>В базовых ценах</t>
  </si>
  <si>
    <t>В текущ. ценах</t>
  </si>
  <si>
    <t xml:space="preserve">В текущ. ценах </t>
  </si>
  <si>
    <t>Июнь</t>
  </si>
  <si>
    <t>Всего работ и затрат , включаемых в стоимость работ</t>
  </si>
  <si>
    <t xml:space="preserve"> в том числе:</t>
  </si>
  <si>
    <t>НДС - 20%</t>
  </si>
  <si>
    <t>Итого СМР с НДС 20%</t>
  </si>
  <si>
    <t>5</t>
  </si>
  <si>
    <t>6</t>
  </si>
  <si>
    <t>7</t>
  </si>
  <si>
    <t>Итого прочие с НДС 20%</t>
  </si>
  <si>
    <t>9</t>
  </si>
  <si>
    <t>Оборудование</t>
  </si>
  <si>
    <t>10</t>
  </si>
  <si>
    <t>11</t>
  </si>
  <si>
    <t>Итого оборудование с НДС 20%</t>
  </si>
  <si>
    <t>12</t>
  </si>
  <si>
    <r>
      <t xml:space="preserve">Всего работ и затрат облагаемых налогом </t>
    </r>
    <r>
      <rPr>
        <b/>
        <i/>
        <sz val="10"/>
        <color indexed="10"/>
        <rFont val="Arial"/>
        <family val="2"/>
        <charset val="204"/>
      </rPr>
      <t xml:space="preserve"> </t>
    </r>
  </si>
  <si>
    <t>13</t>
  </si>
  <si>
    <r>
      <t>Итого НДС</t>
    </r>
    <r>
      <rPr>
        <b/>
        <i/>
        <sz val="10"/>
        <color indexed="10"/>
        <rFont val="Arial"/>
        <family val="2"/>
        <charset val="204"/>
      </rPr>
      <t xml:space="preserve"> </t>
    </r>
  </si>
  <si>
    <t>14</t>
  </si>
  <si>
    <r>
      <t xml:space="preserve">ВСЕГО с НДС </t>
    </r>
    <r>
      <rPr>
        <b/>
        <i/>
        <sz val="10"/>
        <color indexed="10"/>
        <rFont val="Arial"/>
        <family val="2"/>
        <charset val="204"/>
      </rPr>
      <t xml:space="preserve"> </t>
    </r>
  </si>
  <si>
    <t>15</t>
  </si>
  <si>
    <t>Материал Подрядчика</t>
  </si>
  <si>
    <t>16</t>
  </si>
  <si>
    <t>Оборудование Подрядчика</t>
  </si>
  <si>
    <t>Удержания:</t>
  </si>
  <si>
    <t>Гарантийное удержание 2%</t>
  </si>
  <si>
    <t>Итого гарангтийное удержание 2% с НДС 20%</t>
  </si>
  <si>
    <t xml:space="preserve">Всего удержания </t>
  </si>
  <si>
    <t>-</t>
  </si>
  <si>
    <t>Итого НДС</t>
  </si>
  <si>
    <t>ВСЕГО удержаний с НДС 20%</t>
  </si>
  <si>
    <t xml:space="preserve">Всего к оплате </t>
  </si>
  <si>
    <t xml:space="preserve">Итого НДС </t>
  </si>
  <si>
    <t xml:space="preserve">ВСЕГО К ОПЛАТЕ с НДС </t>
  </si>
  <si>
    <t xml:space="preserve">Генеральный директор                                          ООО "МИП-Строй №1"      </t>
  </si>
  <si>
    <t>________________________________________________________________________</t>
  </si>
  <si>
    <t>К.В. Маслаков</t>
  </si>
  <si>
    <t>М.П.</t>
  </si>
  <si>
    <t>Субподрядчик</t>
  </si>
  <si>
    <t>Генеральный директор ООО "Строй-Монтаж 2002"</t>
  </si>
  <si>
    <t>Д.В. Алексеев</t>
  </si>
  <si>
    <t>Июль</t>
  </si>
  <si>
    <t>Станционный комплекс "Аминьевское шоссе". Вестибюль №2, камера съездов, ТПП. Внутренние инженерные системы(не включая ТПП). Отопление, вентиляция, кондиционирование, дымоудаление. Дымоудаление</t>
  </si>
  <si>
    <t>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 6 этап.</t>
  </si>
  <si>
    <t>Стоимость давальческого материала</t>
  </si>
  <si>
    <t>Стоимость давальческого оборудования</t>
  </si>
  <si>
    <t>Возврат стоимости Материалов Подрядчика</t>
  </si>
  <si>
    <t>Итого по акту без давальческого материала с К=1:</t>
  </si>
  <si>
    <t>в т.ч. Материалы</t>
  </si>
  <si>
    <t>ЗП+ЗПМ с К=1,15</t>
  </si>
  <si>
    <t>Итого по акту с К=1 с К-1,15 к ЗП и ЗПМ</t>
  </si>
  <si>
    <t>Итого по акту с К=0,925</t>
  </si>
  <si>
    <t>Итого по акту с К=0,925 с К-1,15 к ЗП и ЗПМ</t>
  </si>
  <si>
    <t>Итого по Акту с К=0,925+К=1,15 без стоимости материалов Подрядчика</t>
  </si>
  <si>
    <t>в том числе:    СМР</t>
  </si>
  <si>
    <t xml:space="preserve">                         прочие затраты</t>
  </si>
  <si>
    <t xml:space="preserve">                         ПНР</t>
  </si>
  <si>
    <t xml:space="preserve">                         оборудование </t>
  </si>
  <si>
    <t xml:space="preserve">Итого по Акту №1 с  К=1,15 </t>
  </si>
  <si>
    <t>В том числе                   СМР</t>
  </si>
  <si>
    <t xml:space="preserve">                                           прочие</t>
  </si>
  <si>
    <t xml:space="preserve">                                           ПНР</t>
  </si>
  <si>
    <t xml:space="preserve">                           оборудование</t>
  </si>
  <si>
    <t>Принял: Генеральный директор  ООО "МИП-Строй №1"</t>
  </si>
  <si>
    <t>Сдал: Генеральный директор ООО "СТРОЙ-МОНТАЖ 2002"</t>
  </si>
  <si>
    <t>Д.В.Алексеев</t>
  </si>
  <si>
    <t xml:space="preserve">ООО "СТРОЙ-МОНТАЖ 2002", 125362, г. Москва, улица Свободы, дом 17,Э Подвал П I ком. 1, оф. 2 </t>
  </si>
  <si>
    <t xml:space="preserve">ИТОГО </t>
  </si>
  <si>
    <t>РЕЕСТР №4</t>
  </si>
  <si>
    <t xml:space="preserve"> актов выполненных работ за Сентябрь 2020г.  </t>
  </si>
  <si>
    <t>Август</t>
  </si>
  <si>
    <t>Инвестор</t>
  </si>
  <si>
    <t>ГУП "Московский метрополитен", 129110, г. Москва, пр-т Мира, д.41, стр.2 (495)-622-75-83</t>
  </si>
  <si>
    <t>Заказчик</t>
  </si>
  <si>
    <t>АО "Мосинжпроект", 101990, г. Москва, Сверчков пер., д.4/1.(495)-225-19-40)</t>
  </si>
  <si>
    <t xml:space="preserve">ООО "МИП-Строй №1", 101000, г. Москва, Девяткин пер. д.5, стр. 3, ком. 204 </t>
  </si>
  <si>
    <t>"Юго-Западный участок ТПК, ст. "Проспект Вернадского"-ст. Можайска". 6 этап: "Участок линии от ст. "Проспект Вернадского" до ст. "Аминьевское шоссе"</t>
  </si>
  <si>
    <t>12-4017-Л-Р-8.3.1-ВК-СМ1 Инженерные системы. Тонельный водопровод и водоотвод</t>
  </si>
  <si>
    <t>262-0619-ОК-1/Н</t>
  </si>
  <si>
    <t>Составлен(а) в уровне текущих (прогнозных) цен ТСН-2001 МГЭ строительство №166 июль 2020 года и Коэффициенты пересчета к ТСН-2001.13-2 июнь 2020 года</t>
  </si>
  <si>
    <t>ВСЕГО в базисном уровне цен, руб.</t>
  </si>
  <si>
    <r>
      <t>3.16-3-1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</t>
    </r>
  </si>
  <si>
    <t>Установка фасонных частей чугунных напорных диаметром 65 мм</t>
  </si>
  <si>
    <r>
      <t>Угольник чугунный оцинкованный 90°-2-Ц-50 ГОСТ 8946-75, масса 0,790 кг</t>
    </r>
    <r>
      <rPr>
        <i/>
        <sz val="10"/>
        <rFont val="Arial"/>
        <family val="2"/>
        <charset val="204"/>
      </rPr>
      <t xml:space="preserve">
Базисная стоимость: 26,18 = [143,22 /  5,58] +  2% Заг.скл</t>
    </r>
  </si>
  <si>
    <r>
      <t>1.12-8-24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</t>
    </r>
  </si>
  <si>
    <t>Муфты чугунные, диаметр условного прохода 50 мм</t>
  </si>
  <si>
    <r>
      <t>Угольник проходной из ковкого чугуна с цилиндрической резьбой и цинковым покрытием 90°-1-Ц-20 ГОСТ 8946-75, масса без покрытия не более 0,146 кг</t>
    </r>
    <r>
      <rPr>
        <i/>
        <sz val="10"/>
        <rFont val="Arial"/>
        <family val="2"/>
        <charset val="204"/>
      </rPr>
      <t xml:space="preserve">
Базисная стоимость: 23,58 = [129 /  5,58] +  2% Заг.скл</t>
    </r>
  </si>
  <si>
    <r>
      <t>1.12-7-98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</t>
    </r>
  </si>
  <si>
    <t>Трубы бесшовные холоднодеформированные из коррозионностойкой стали, ГОСТ 9941-81, наружный диаметр 57 мм, толщина стенки 3,5 мм</t>
  </si>
  <si>
    <t>Тройник переходной 89x4-57x4 мм из коррозионно-стойкой стали 12х18Н10Т, геометрия по ГОСТ 17376-2001, вес 0,9 кг</t>
  </si>
  <si>
    <t>01.06.2020</t>
  </si>
  <si>
    <t>30.06.2020</t>
  </si>
  <si>
    <t>Платформенная часть. Внутренние инженерные системы. Водоснабжение и водоотведение</t>
  </si>
  <si>
    <t>Прокладка трубопроводов отопления и газоснабжения из стальных бесшовных труб диаметром 200 мм</t>
  </si>
  <si>
    <t>Трубы стальные бесшовные горячедеформированные со снятой фаской из стали марок 15, 20, 25, ГОСТ 8732-78, наружный диаметр 159 мм, толщина стенки 4,5 мм</t>
  </si>
  <si>
    <t>Отводы крутоизогнутые из стали 20, ГОСТ 17375-01, наружный диаметр 159 мм, толщина стенки, мм 4,5-5,0, под углом 90°, 60°, 45°</t>
  </si>
  <si>
    <t>Подвески пружинные, жесткие</t>
  </si>
  <si>
    <t>Отдельные конструктивные элементы с преобладанием горячекатаных профилей, средняя масса сборочной единицы до 0,05 т</t>
  </si>
  <si>
    <t>Анкер-шпилька распорный, высокоэффективный, с шестигранной гайкой и шайбой, из оцинкованной стали, для использования в бетоне с трещинами, диаметр 10 мм, длина 110 мм, толщина прикрепляемой детали минимальная/максимальная 30/50 мм</t>
  </si>
  <si>
    <t>Техпластина резиновая, марка ТМКЩ, толщина от 2 до 40 мм</t>
  </si>
  <si>
    <t>Гайки шестигранные из нержавеющей стали, диаметр 12 мм</t>
  </si>
  <si>
    <t>Шайбы плоские из нержавеющей стали, диаметр 12 мм</t>
  </si>
  <si>
    <t xml:space="preserve"> 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</si>
  <si>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150 мм</t>
  </si>
  <si>
    <t>Фланцы стальные плоские приварные с соединительным выступом, из стали ВСт3СП, ГОСТ 12820-80, условное давление 1 (10) МПа (кгс/см2), диаметр условного прохода 150 мм</t>
  </si>
  <si>
    <r>
      <t>Задвижка с обрезиненным клином KR11.02.150.16 ф/ф Тмах=120С Ду 150 Ру 16 корпус чугун GGG40 ГРАНАР, расчетный вес 38,35 кг</t>
    </r>
    <r>
      <rPr>
        <i/>
        <sz val="10"/>
        <rFont val="Arial"/>
        <family val="2"/>
        <charset val="204"/>
      </rPr>
      <t xml:space="preserve">
Базисная стоимость: 2 596,32 = [14 203,38 /  5,58] +  2% Заг.скл</t>
    </r>
  </si>
  <si>
    <t>"Аминьевское шоссе". Вестибюль №2. Внутренние инженерные системы. Водоснабжение и водоотведение</t>
  </si>
  <si>
    <r>
      <t>3.16-9-3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</si>
  <si>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Прокладка трубопроводов отопления и газоснабжения из стальных бесшовных труб диаметром 80 мм</t>
  </si>
  <si>
    <t>Трубы бесшовные горячедеформированные из коррозионностойкой стали, ГОСТ 9940-81, наружный диаметр 76 мм, толщина стенки 3,5 мм</t>
  </si>
  <si>
    <r>
      <t>3.16-9-2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</si>
  <si>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Прокладка трубопроводов отопления и газоснабжения из стальных бесшовных труб диаметром 65 мм</t>
  </si>
  <si>
    <r>
      <t>Тройник Дн 76х6 равнопроходной, цельнотянутый из нержавеющей стали 12х18н10т, геометрия по ГОСТ 17376-2001, расчетный вес 3,7 кг</t>
    </r>
    <r>
      <rPr>
        <i/>
        <sz val="10"/>
        <rFont val="Arial"/>
        <family val="2"/>
        <charset val="204"/>
      </rPr>
      <t xml:space="preserve">
Базисная стоимость: 200,00 = [1 094,1 /  5,58] +  2% Заг.скл</t>
    </r>
  </si>
  <si>
    <r>
      <t>Тройник переходной из стали 12х18Н10Т O76Х4-57х4 геометрия по ГОСТ 17376-2001, вес 0,8 кг</t>
    </r>
    <r>
      <rPr>
        <i/>
        <sz val="10"/>
        <rFont val="Arial"/>
        <family val="2"/>
        <charset val="204"/>
      </rPr>
      <t xml:space="preserve">
Базисная стоимость: 195,96 = [1 072,03 /  5,58] +  2% Заг.скл</t>
    </r>
  </si>
  <si>
    <r>
      <t>Отвод стальной, крутоизогнутый, 90°, Ду 65, 90-76х3,5, ст.12х18х10т, ГОСТ 17375, вес 1,00 кг</t>
    </r>
    <r>
      <rPr>
        <i/>
        <sz val="10"/>
        <rFont val="Arial"/>
        <family val="2"/>
        <charset val="204"/>
      </rPr>
      <t xml:space="preserve">
Базисная стоимость: 129,57 = [708,82 /  5,58] +  2% Заг.скл</t>
    </r>
  </si>
  <si>
    <r>
      <t>Переход 76x4-57x4 мм из коррозийно-стойкой стали 12Х18Н10Т геометрия по ГОСТ 17378-2001</t>
    </r>
    <r>
      <rPr>
        <i/>
        <sz val="10"/>
        <rFont val="Arial"/>
        <family val="2"/>
        <charset val="204"/>
      </rPr>
      <t xml:space="preserve">
Базисная стоимость: 63,75 = [348,76 /  5,58] +  2% Заг.скл</t>
    </r>
  </si>
  <si>
    <r>
      <t>3.13-11-6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</si>
  <si>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Окраска металлических огрунтованных поверхностей органосиликатной композицией ОС-12-01</t>
  </si>
  <si>
    <t>Композиция (краска) органосиликатная, марка ОС-12-03, для окраски огрунтованных металлических поверхностей</t>
  </si>
  <si>
    <t>к нр *2</t>
  </si>
  <si>
    <t>)*(1.67-1)*2</t>
  </si>
  <si>
    <t>Конструктивные элементы вспомогательного назначения, элементы крепления подвесных потолков, трубопроводов, воздуховодов, закл.детали, детали крепления стеновых панелей, ворот, переплетов решеток, массой не более 50 кг, с преобл. толстолистовой стали без отверстий и сборосварочных операций</t>
  </si>
  <si>
    <r>
      <t>3.9-72-2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</si>
  <si>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Анкер-гильза распорный из оцинкованной стали, с шестигранной головкой, установка в бетон и кирпич, диаметр 12 мм, длина 75 мм, толщина прикрепляемой детали 35 мм</t>
  </si>
  <si>
    <t>"Юго-Западный участок ТПК, ст. "Проспект Вернадского"-ст. Можайская". 6 этап: "Участок линии от ст. "Проспект Вернадского" до ст. "Аминьевское шоссе"</t>
  </si>
  <si>
    <r>
      <t>3.16-10-5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</si>
  <si>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Прокладка трубопроводов отопления и водоснабжения из стальных электросварных труб диаметром 100 мм</t>
  </si>
  <si>
    <t>Трубы бесшовные горячедеформированные из коррозионностойкой стали, ГОСТ 9940-81, наружный диаметр 108 мм, толщина стенки 5 мм</t>
  </si>
  <si>
    <t>Резина листовая вулканизированная</t>
  </si>
  <si>
    <t>Трубы бесшовные холоднодеформированные из коррозионностойкой стали, ГОСТ 9941-81, наружный диаметр 25 мм, толщина стенки 2,8 мм</t>
  </si>
  <si>
    <t>Трубы бесшовные холоднодеформированные из коррозионностойкой стали, ГОСТ 9941-81, наружный диаметр 57 мм, толщина стенки 3,5 мм (прим.)</t>
  </si>
  <si>
    <t>Окраска металлических огрунтованных поверхностей органосиликатной композицией ОС-12-01 (в 2 слоя)</t>
  </si>
  <si>
    <t>127.1</t>
  </si>
  <si>
    <r>
      <t>1.1-1-413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</si>
  <si>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к нр )*2</t>
  </si>
  <si>
    <r>
      <t>3.22-28-5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</si>
  <si>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Установка фасонных частей стальных сварных диаметром 100 мм-250 мм</t>
  </si>
  <si>
    <t>ТРОЙНИК ПЕРЕХОДНОЙ СВАРНОЙ ИЗ СТАЛИ 08Х18Н10Т, ДИАМЕТР 89Х3,5-57Х4ММ ГОСТ 17376-2001</t>
  </si>
  <si>
    <t>Фитинги (сгоны) из стальных водогазопроводных неоцинкованных труб для соединения стальных трубопроводов с муфтой и контргайкой, диаметр условного прохода до 50 мм</t>
  </si>
  <si>
    <r>
      <t>3.16-3-1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</si>
  <si>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УГОЛЬНИК ЧУГУННЫЙ ОЦИНКОВАННЫЙ 90°-2-Ц-50 ГОСТ 8946-75, МАССА 0,790 КГ</t>
  </si>
  <si>
    <t>УГОЛЬНИК ПРОХОДНОЙ ИЗ КОВКОГО ЧУГУНА С ЦИЛИНДРИЧЕСКОЙ РЕЗЬБОЙ И ЦИНКОВЫМ ПОКРЫТИЕМ 90°-1-Ц-20 ГОСТ 8946-75, МАССА БЕЗ ПОКРЫТИЯ НЕ БОЛЕЕ 0,146 КГ</t>
  </si>
  <si>
    <t>04.09.2020</t>
  </si>
  <si>
    <r>
      <t>3.20-1-15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</t>
    </r>
  </si>
  <si>
    <r>
      <t>3.26-38-1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</t>
    </r>
  </si>
  <si>
    <r>
      <t>Покрытие комбинированное Изовент М на основе базальтового рулонного материала, кашированного алюминиевой фольгой, и клеевого состава ПВК-2002, предел огнестойкости R45, ПТМ - 3,4 мм, толщина МБОР - 5 мм</t>
    </r>
    <r>
      <rPr>
        <i/>
        <sz val="10"/>
        <rFont val="Arial"/>
        <family val="2"/>
        <charset val="204"/>
      </rPr>
      <t xml:space="preserve">
Базисная стоимость: 29,12 = [159,32 /  5,58] +  2% Заг.скл</t>
    </r>
  </si>
  <si>
    <r>
      <t>Покрытие комбинированное огнезащитное для воздуховодов Изовент ЕІ60, на основе базальтового рулонного материала, кашированного алюминиевой фольгой и клеевого состава ПВК-2002, расход ПВК-2002 0,6 кг/м?</t>
    </r>
    <r>
      <rPr>
        <i/>
        <sz val="10"/>
        <rFont val="Arial"/>
        <family val="2"/>
        <charset val="204"/>
      </rPr>
      <t xml:space="preserve">
Базисная стоимость: 33,81 = [184,98 /  5,58] +  2% Заг.скл</t>
    </r>
  </si>
  <si>
    <t xml:space="preserve"> Инженерные системы ТПП. Водоснабжение и водоотведение</t>
  </si>
  <si>
    <r>
      <t>Кран шаровой фланцевый из нержавеющей стали, диаметр 65 мм, с рукояткой, давление до 1,6МПа, артикул BV18.04.065.16.Ф/Ф</t>
    </r>
    <r>
      <rPr>
        <i/>
        <sz val="10"/>
        <rFont val="Arial"/>
        <family val="2"/>
        <charset val="204"/>
      </rPr>
      <t xml:space="preserve">
Базисная стоимость: 4 659,06 = [25 487,81 /  5,58] +  2% Заг.скл</t>
    </r>
  </si>
  <si>
    <t>Фланцы ответные стальные приварные в комплекте (фланцев – 2 шт., прокладок – 2 шт., болты, гайки), из стали марки 12х18Н9Т, условное давление 0,25 (2,5) МПа (кгс/см2), диаметр условного прохода 65 мм</t>
  </si>
  <si>
    <r>
      <t>3.16-9-4</t>
    </r>
    <r>
      <rPr>
        <i/>
        <sz val="10"/>
        <rFont val="Arial"/>
        <family val="2"/>
        <charset val="204"/>
      </rPr>
      <t xml:space="preserve">
Поправка: ТСН-2001.3-29. О.П. п.1.4.а</t>
    </r>
  </si>
  <si>
    <t>Прокладка трубопроводов отопления и газоснабжения из стальных бесшовных труб диаметром 100 мм</t>
  </si>
  <si>
    <t>Прокладка трубопроводов водоснабжения из стальных водогазопроводных оцинкованных труб диаметром 15 мм</t>
  </si>
  <si>
    <t>Трубы стальные сварные водогазопроводные, оцинкованные, обыкновенные, ГОСТ 3262-75, диаметр условного прохода 15 мм, толщина стенки 2,8 мм</t>
  </si>
  <si>
    <t>Прокладка трубопроводов водоснабжения из стальных водогазопроводных оцинкованных труб диаметром 20 мм</t>
  </si>
  <si>
    <t>Трубы стальные сварные водогазопроводные, оцинкованные, обыкновенные, ГОСТ 3262-75, диаметр условного прохода 20 мм, толщина стенки 2,8 мм</t>
  </si>
  <si>
    <t>Прокладка трубопроводов водоснабжения из стальных водогазопроводных оцинкованных труб диаметром 50 мм</t>
  </si>
  <si>
    <t>Трубы стальные сварные водогазопроводные, оцинкованные, обыкновенные, ГОСТ 3262-75, диаметр условного прохода 50 мм, толщина стенки 3,5 мм</t>
  </si>
  <si>
    <r>
      <t>Тройник сварной, равнопроходной, диаметр 76х3,5, материал сталь 12Х18Н10Т ГОСТ 17376-2001, вес 0,8 кг</t>
    </r>
    <r>
      <rPr>
        <i/>
        <sz val="10"/>
        <rFont val="Arial"/>
        <family val="2"/>
        <charset val="204"/>
      </rPr>
      <t xml:space="preserve">
Базисная стоимость: 191,10 = [1 045,42 /  5,58] +  2% Заг.скл</t>
    </r>
  </si>
  <si>
    <r>
      <t>Тройник переходной из стали 12х18Н10Т 76Х4-57х4 геометрия по ГОСТ 17376-2001, вес 0,8 кг</t>
    </r>
    <r>
      <rPr>
        <i/>
        <sz val="10"/>
        <rFont val="Arial"/>
        <family val="2"/>
        <charset val="204"/>
      </rPr>
      <t xml:space="preserve">
Базисная стоимость: 195,96 = [1 072,03 /  5,58] +  2% Заг.скл</t>
    </r>
  </si>
  <si>
    <r>
      <t>Отвод 90° 76х4 мм из коррозийно-стойкой стали 12Х18Н10Т геометрия по ГОСТ 17375-2001</t>
    </r>
    <r>
      <rPr>
        <i/>
        <sz val="10"/>
        <rFont val="Arial"/>
        <family val="2"/>
        <charset val="204"/>
      </rPr>
      <t xml:space="preserve">
Базисная стоимость: 130,62 = [714,59 /  5,58] +  2% Заг.скл</t>
    </r>
  </si>
  <si>
    <r>
      <t>Переход концентрический из стали 12х18Н10Т К-76х4,0-57х3,5 геометрия по ГОСТ 17378-2001, вес 0,4 кг</t>
    </r>
    <r>
      <rPr>
        <i/>
        <sz val="10"/>
        <rFont val="Arial"/>
        <family val="2"/>
        <charset val="204"/>
      </rPr>
      <t xml:space="preserve">
Базисная стоимость: 74,21 = [405,93 /  5,58] +  2% Заг.скл</t>
    </r>
  </si>
  <si>
    <t>Станционный комплекс "Аминьевское шоссе". Инженерные системы ТПП. Отопление, вентиляция, кондиционирование, дымоудаление.</t>
  </si>
  <si>
    <r>
      <t>3.20-12-6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</si>
  <si>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Установка заслонок воздушных и клапанов воздушных КВР с ручным приводом периметром до 1000 мм</t>
  </si>
  <si>
    <r>
      <t>1.19-6-75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</t>
    </r>
  </si>
  <si>
    <t>Заслонки регулирующие для ручного регулирования воздушных потоков из оцинкованной стали, РР, АЗД 192, сечение 200х200 мм</t>
  </si>
  <si>
    <r>
      <t>3.20-11-15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ТСН-2001.3-20. О.П. п.1.20</t>
    </r>
  </si>
  <si>
    <t>Установка клапанов огнезадерживающих периметром до 1600 мм</t>
  </si>
  <si>
    <t>)*(1.67-1)*1.05</t>
  </si>
  <si>
    <t>Клапан противопожарный универсальный, нормально-открытый, исполнение общепромышленное, канальный, с электроприводом на 220 В, привод снаружи,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рамы, размер 100х150 мм</t>
  </si>
  <si>
    <r>
      <t>Клапан противопожарный универсальный КПУ-1Н-О-Н-200*300-2*ф-MВ220-сн-кк-0-0-0-0-0, нормально-открытый, исполнение общепромышленное, канальный, с электроприводом, на 220В, привод снаружи, без терморазмыкающего устройства, с клеммной коробкой, без решеток, без монтажного лючка, без рукоятки для ручного взвода, без монтажной рамы, размер 200х300 мм</t>
    </r>
    <r>
      <rPr>
        <i/>
        <sz val="10"/>
        <rFont val="Arial"/>
        <family val="2"/>
        <charset val="204"/>
      </rPr>
      <t xml:space="preserve">
Базисная стоимость: 2 696,12 = [14 749,33 /  5,58] +  2% Заг.скл</t>
    </r>
  </si>
  <si>
    <r>
      <t>3.20-11-16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ТСН-2001.3-20. О.П. п.1.20</t>
    </r>
  </si>
  <si>
    <t>Установка клапанов огнезадерживающих периметром до 3200 мм</t>
  </si>
  <si>
    <r>
      <t>Клапан противопожарный типа КПУ Назначение - нормально открытый; Исполнение - общепромышленное; Рабочее сечение - 600х400; Тип клапана - канальный (два фланца); Тип привода - электропривод Belimo на 220В; Терморазмыкающее устройство - есть; Размещение привода - снаружи; Клеммная колодка/коробка - нет; Дополнительная комплектация - нет; Монтажный лючок - есть; Переходник на круглое сечение - нет; Рукоятка для ручного взвода - есть; Монтажная рама - нет; Предел огнестойкости - ЕI 90.</t>
    </r>
    <r>
      <rPr>
        <i/>
        <sz val="10"/>
        <rFont val="Arial"/>
        <family val="2"/>
        <charset val="204"/>
      </rPr>
      <t xml:space="preserve">
Базисная стоимость: 2 754,20 = [15 067,1 /  5,58] +  2% Заг.скл</t>
    </r>
  </si>
  <si>
    <r>
      <t>3.20-11-17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ТСН-2001.3-20. О.П. п.1.20</t>
    </r>
  </si>
  <si>
    <t>Установка клапанов огнезадерживающих периметром до 4500 мм</t>
  </si>
  <si>
    <r>
      <t>Клапан противопожарный универсальный КПУ-1Н нормально открытый; исполнение общепромышленное, канальный, с электроприводом Belimo на 220В, привод снаружи, с терморазмыкающим устройством, без клеммной колодки/коробки, без решеток, без монтажного лючка, без рукоятки для ручного взвода, без монтажной рамы, КПУ-1Н-О-Н-1200*900-2*ф-MB220-T-сн-0-0-0-0-0-0 , вес 40 кг</t>
    </r>
    <r>
      <rPr>
        <i/>
        <sz val="10"/>
        <rFont val="Arial"/>
        <family val="2"/>
        <charset val="204"/>
      </rPr>
      <t xml:space="preserve">
Базисная стоимость: 3 539,42 = [19 362,71 /  5,58] +  2% Заг.скл</t>
    </r>
  </si>
  <si>
    <r>
      <t>Клапан противопожарный универсальный КПУ-1Н нормально открытый, исполнение общепромышленное, канальный, с электроприводом Belimo на 220 В, привод снаружи, с терморазмыкающим устройством,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рамы: КПУ-1Н-О-Н-1600*400-2*ф-МВ220-сн-0-0-0-0-0-0</t>
    </r>
    <r>
      <rPr>
        <i/>
        <sz val="10"/>
        <rFont val="Arial"/>
        <family val="2"/>
        <charset val="204"/>
      </rPr>
      <t xml:space="preserve">
Базисная стоимость: 4 714,91 = [25 793,3 /  5,58] +  2% Заг.скл</t>
    </r>
  </si>
  <si>
    <r>
      <t>3.20-1-2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</t>
    </r>
  </si>
  <si>
    <r>
      <t>3.20-1-3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</t>
    </r>
  </si>
  <si>
    <r>
      <t>3.20-1-11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</t>
    </r>
  </si>
  <si>
    <r>
      <t>3.20-1-9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</t>
    </r>
  </si>
  <si>
    <t>Прокладка воздуховодов из черной, оцинкованной стали и алюминия толщиной 0,7 мм периметром 900 мм</t>
  </si>
  <si>
    <r>
      <t>3.20-1-11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</si>
  <si>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05.09.2020</t>
  </si>
  <si>
    <t>Локальная смета: 11-4017-Л-Р-11.4.3.1-ОВ1.1-СМ1К (рег. №48837-ТПК_5-0699-Р-ССР2-изм1.1)</t>
  </si>
  <si>
    <r>
      <t>4.21-39-1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  Поправка: ТСН-2001.4. О.П. тб2. п.1</t>
    </r>
  </si>
  <si>
    <t>Клапаны огнезадерживающие КПУ диаметром 125 мм</t>
  </si>
  <si>
    <r>
      <t>Клапан противопожарный универсальный, нормально-открытый, исполнение общепромышленное, ниппельный, с электроприводом на 220В, привод снаружи, без терморазмыкающего устройства, с клеммной коробкой, без решеток, без монтажного лючка, без рукоятки для ручного взвода, без монтажной рамы, размер 100 мм</t>
    </r>
    <r>
      <rPr>
        <i/>
        <sz val="10"/>
        <rFont val="Arial"/>
        <family val="2"/>
        <charset val="204"/>
      </rPr>
      <t xml:space="preserve">
Базисная стоимость: 2 397,57 = [13 116,1 /  5,58] +  2% Заг.скл</t>
    </r>
  </si>
  <si>
    <r>
      <t>4.21-39-2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  Поправка: ТСН-2001.4. О.П. тб2. п.1</t>
    </r>
  </si>
  <si>
    <t>Клапаны огнезадерживающие КПУ диаметром 200 мм</t>
  </si>
  <si>
    <r>
      <t>Клапан противопожарный универсальный, нормально-открытый, исполнение общепромышленное, ниппельный, с электроприводом на 220 В, привод снаружи, без терморазмыкающего устройства, без клеммной коробки/колодки, без решеток, без монтажного лючка, без переходника на круглое сечение, без рукоятки для ручного взвода; без монтажной рамы, размер 160 мм</t>
    </r>
    <r>
      <rPr>
        <i/>
        <sz val="10"/>
        <rFont val="Arial"/>
        <family val="2"/>
        <charset val="204"/>
      </rPr>
      <t xml:space="preserve">
Базисная стоимость: 1 689,77 = [9 244,07 /  5,58] +  2% Заг.скл</t>
    </r>
  </si>
  <si>
    <r>
      <t>Клапан противопожарный универсальный, нормально-открытый, исполнение общепромышленное, ниппельный, с электроприводом на 220В, привод снаружи, без терморазмыкающего устройства, без клеммной колодки/коробки, без решеток, без монтажного лючка, без рукоятки для ручного взвода, без монтажной рамы, размер 200 мм</t>
    </r>
    <r>
      <rPr>
        <i/>
        <sz val="10"/>
        <rFont val="Arial"/>
        <family val="2"/>
        <charset val="204"/>
      </rPr>
      <t xml:space="preserve">
Базисная стоимость: 2 323,96 = [12 713,4 /  5,58] +  2% Заг.скл</t>
    </r>
  </si>
  <si>
    <r>
      <t>4.21-39-3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  Поправка: ТСН-2001.4. О.П. тб2. п.1</t>
    </r>
  </si>
  <si>
    <t>Клапаны огнезадерживающие КПУ диаметром 315 мм</t>
  </si>
  <si>
    <r>
      <t>Клапан противопожарный универсальный, нормально-открытый, исполнение общепромышленное, ниппельный, с электроприводом, на 220В, привод снаружи, без терморазмыкающего устройства, с клеммной коробкой, без решеток, без монтажного лючка, без рукоятки для ручного взвода, без монтажной рамы, размер 250 мм</t>
    </r>
    <r>
      <rPr>
        <i/>
        <sz val="10"/>
        <rFont val="Arial"/>
        <family val="2"/>
        <charset val="204"/>
      </rPr>
      <t xml:space="preserve">
Базисная стоимость: 2 454,42 = [13 427,08 /  5,58] +  2% Заг.скл</t>
    </r>
  </si>
  <si>
    <r>
      <t>3.20-11-15</t>
    </r>
    <r>
      <rPr>
        <i/>
        <sz val="10"/>
        <rFont val="Arial"/>
        <family val="2"/>
        <charset val="204"/>
      </rPr>
      <t xml:space="preserve">
Поправка: ТСН-2001.3-20. О.П. п.1.20  Поправка: ТСН-2001.3-29. О.П. п.4.1</t>
    </r>
  </si>
  <si>
    <r>
      <t>Клапан противопожарный универсальный, нормально-открытый, исполнение общепромышленное, канальный, с электроприводом на 220В, привод снаружи, без терморазмыкающего устройства,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рамы, размер 100х100 мм</t>
    </r>
    <r>
      <rPr>
        <i/>
        <sz val="10"/>
        <rFont val="Arial"/>
        <family val="2"/>
        <charset val="204"/>
      </rPr>
      <t xml:space="preserve">
Базисная стоимость: 2 525,16 = [13 814,13 /  5,58] +  2% Заг.скл</t>
    </r>
  </si>
  <si>
    <r>
      <t>Клапан противопожарный универсальный, нормально-открытый, исполнение общепромышленное, канальный, с электроприводом на 220 В, привод снаружи,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рамы, размер 100х150 мм</t>
    </r>
    <r>
      <rPr>
        <i/>
        <sz val="10"/>
        <rFont val="Arial"/>
        <family val="2"/>
        <charset val="204"/>
      </rPr>
      <t xml:space="preserve">
Базисная стоимость: 2 539,27 = [13 891,32 /  5,58] +  2% Заг.скл</t>
    </r>
  </si>
  <si>
    <r>
      <t>Клапан противопожарный, исполнение общепромышленное, нормально открытый, количество фланцев 2, с электроприводом, напряжение питания 220, размещение привода снаружи, без терморазмыкающего устройства, с клеммной колодкой, без решеток, без монтажного лючка, без переходника на круглое сечение, без рукоятки для ручного взвода, без монтажной рамы, размер 150х150 мм</t>
    </r>
    <r>
      <rPr>
        <i/>
        <sz val="10"/>
        <rFont val="Arial"/>
        <family val="2"/>
        <charset val="204"/>
      </rPr>
      <t xml:space="preserve">
Базисная стоимость: 2 637,02 = [14 426,03 /  5,58] +  2% Заг.скл</t>
    </r>
  </si>
  <si>
    <r>
      <t>Клапан противопожарный универсальный, нормально-открытый, исполнение общепромышленное, канальный, с электроприводом на 220 В, привод снаружи, без терморазмыкающего устройства,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рамы, размер 200х100 мм</t>
    </r>
    <r>
      <rPr>
        <i/>
        <sz val="10"/>
        <rFont val="Arial"/>
        <family val="2"/>
        <charset val="204"/>
      </rPr>
      <t xml:space="preserve">
Базисная стоимость: 2 553,39 = [13 968,5 /  5,58] +  2% Заг.скл</t>
    </r>
  </si>
  <si>
    <r>
      <t>Клапан противопожарный универсальный, нормально-открытый, исполнение общепромышленное, канальный, с электроприводом на 220В, привод снаружи, без терморазмыкающего устройства, с клеммной коробкой, без решеток, без монтажного лючка, без рукоятки для ручного взвода, без монтажной рамы, размер 150х200 мм</t>
    </r>
    <r>
      <rPr>
        <i/>
        <sz val="10"/>
        <rFont val="Arial"/>
        <family val="2"/>
        <charset val="204"/>
      </rPr>
      <t xml:space="preserve">
Базисная стоимость: 2 653,79 = [14 517,77 /  5,58] +  2% Заг.скл</t>
    </r>
  </si>
  <si>
    <r>
      <t>Клапан противопожарный универсальный КПУ-1Н-О-Н-200х200-2*ф-МВ220-Т-сн-0-0-0-0-0-мрп, нормально открытый, предел огнестойкости EI90, общепромышленное исполнение, рабочее сечение (ШхВ) 200х200 мм, канальный, два фланца, электропривод «Belimo» на 220В, терморазмыкающее устройство, привод снаружи, без клеммной колодки/коробки, без решеток, без монтажного лючка, без переходника на круглое сечение, без рукоятки для ручного взвода, с монтажной рамой для присоединения к стене</t>
    </r>
    <r>
      <rPr>
        <i/>
        <sz val="10"/>
        <rFont val="Arial"/>
        <family val="2"/>
        <charset val="204"/>
      </rPr>
      <t xml:space="preserve">
Базисная стоимость: 2 625,25 = [14 361,64 /  5,58] +  2% Заг.скл</t>
    </r>
  </si>
  <si>
    <r>
      <t>Клапан противопожарный для вентиляционных систем с пределом огнестойкости не менее ЕІ90, исполнение общепромышленное габаритные размеры 250х150 мм, нормально открытый, 2 фланца, с электроприводом привода напряжение 230 В, с терморазмыкающим устройством, размещение привода снаружи, без решеток, без клеммной колодки, с монтажным лючком, без переходника на круглое сечение, без рукоятки для ручного взвода, с монтажной рамой для присоединения к стене</t>
    </r>
    <r>
      <rPr>
        <i/>
        <sz val="10"/>
        <rFont val="Arial"/>
        <family val="2"/>
        <charset val="204"/>
      </rPr>
      <t xml:space="preserve">
Базисная стоимость: 2 625,25 = [14 361,64 /  5,58] +  2% Заг.скл</t>
    </r>
  </si>
  <si>
    <r>
      <t>Клапан противопожарный универсальный тип КПУ-1Н, нормально открытый с пределом огнестойкости EI90, прямоугольного сечения, канальный, с электроприводом 0,006 кВт, 220В, установленным снаружи, размер 200*250 мм</t>
    </r>
    <r>
      <rPr>
        <i/>
        <sz val="10"/>
        <rFont val="Arial"/>
        <family val="2"/>
        <charset val="204"/>
      </rPr>
      <t xml:space="preserve">
Базисная стоимость: 2 489,28 = [13 617,8 /  5,58] +  2% Заг.скл</t>
    </r>
  </si>
  <si>
    <r>
      <t>Клапан противопожарный универсальный, нормально-открытый, исполнение общепромышленное, канальный, с электроприводом, на 220В, привод снаружи, без терморазмыкающего устройства, с клеммной коробкой, без решеток, без монтажного лючка, без рукоятки для ручного взвода, без монтажной рамы, размер 250х250 мм</t>
    </r>
    <r>
      <rPr>
        <i/>
        <sz val="10"/>
        <rFont val="Arial"/>
        <family val="2"/>
        <charset val="204"/>
      </rPr>
      <t xml:space="preserve">
Базисная стоимость: 2 696,12 = [14 749,33 /  5,58] +  2% Заг.скл</t>
    </r>
  </si>
  <si>
    <r>
      <t>Клапан противопожарный универсальный, нормально-открытый, исполнение общепромышленное, канальный, с электроприводом, на 220В, привод снаружи, без терморазмыкающего устройства, с клеммной коробкой, без решеток, без монтажного лючка, без рукоятки для ручного взвода, без монтажной рамы, размер 200х300 мм</t>
    </r>
    <r>
      <rPr>
        <i/>
        <sz val="10"/>
        <rFont val="Arial"/>
        <family val="2"/>
        <charset val="204"/>
      </rPr>
      <t xml:space="preserve">
Базисная стоимость: 2 696,12 = [14 749,33 /  5,58] +  2% Заг.скл</t>
    </r>
  </si>
  <si>
    <r>
      <t>Клапан противопожарный универсальный, нормально-открытый, исполнение общепромышленное, канальный, с электроприводом, на 220В, привод снаружи, без терморазмыкающего устройства, с клеммной коробкой, без решеток, без монтажного лючка, без рукоятки для ручного взвода, без монтажной рамы, размер 200х400 мм</t>
    </r>
    <r>
      <rPr>
        <i/>
        <sz val="10"/>
        <rFont val="Arial"/>
        <family val="2"/>
        <charset val="204"/>
      </rPr>
      <t xml:space="preserve">
Базисная стоимость: 2 749,89 = [15 043,53 /  5,58] +  2% Заг.скл</t>
    </r>
  </si>
  <si>
    <r>
      <t>Клапан противопожарный универсальный тип КПУ-1Н, нормально открытый с пределом огнестойкости EI90, прямоугольного сечения, канальный, с электроприводом 0,006 кВт, 220В, установленным снаружи, с монтажным лючком 400*250 мм</t>
    </r>
    <r>
      <rPr>
        <i/>
        <sz val="10"/>
        <rFont val="Arial"/>
        <family val="2"/>
        <charset val="204"/>
      </rPr>
      <t xml:space="preserve">
Базисная стоимость: 2 559,51 = [14 002 /  5,58] +  2% Заг.скл</t>
    </r>
  </si>
  <si>
    <r>
      <t>Клапан противопожарный универсальный, нормально-открытый, исполнение общепромышленное, канальный, с электроприводом, на 220В, привод снаружи, без терморазмыкающего устройства, с клеммной коробкой, без решеток, без монтажного лючка, без рукоятки для ручного взвода, без монтажной рамы, размер 200х500 мм</t>
    </r>
    <r>
      <rPr>
        <i/>
        <sz val="10"/>
        <rFont val="Arial"/>
        <family val="2"/>
        <charset val="204"/>
      </rPr>
      <t xml:space="preserve">
Базисная стоимость: 2 761,14 = [15 105,05 /  5,58] +  2% Заг.скл</t>
    </r>
  </si>
  <si>
    <r>
      <t>Клапан противопожарный, универсальный КПУ нормальнозакрытый; исполнение взрывозащищенное, канальный, с электроприводом Belimo на 220 В, привод снаружи, без терморазмыкающего устройства,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рамы: КПУ-3-П-Н-200*100-2*ф-МВ220-сн-0-0-0-0-0-0, вес: 13 кг</t>
    </r>
    <r>
      <rPr>
        <i/>
        <sz val="10"/>
        <rFont val="Arial"/>
        <family val="2"/>
        <charset val="204"/>
      </rPr>
      <t xml:space="preserve">
Базисная стоимость: 5 160,09 = [28 228,73 /  5,58] +  2% Заг.скл</t>
    </r>
  </si>
  <si>
    <r>
      <t>Клапан противопожарный универсальный КПУ-3; исполнение общепромышленное, канальный, с электроприводом Belimo на 220 В, привод снаружи,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рамы: КПУ-3-П-Н-150*200-2*ф-МВ220-сн-0-0-0-0-0-0, вес 22 кг</t>
    </r>
    <r>
      <rPr>
        <i/>
        <sz val="10"/>
        <rFont val="Arial"/>
        <family val="2"/>
        <charset val="204"/>
      </rPr>
      <t xml:space="preserve">
Базисная стоимость: 5 581,92 = [30 536,4 /  5,58] +  2% Заг.скл</t>
    </r>
  </si>
  <si>
    <r>
      <t>Клапан противопожарный универсальный КПУ-3; исполнение общепромышленное, канальный, с электроприводом Belimo на 220 В, привод снаружи, без терморазмыкающего устройства,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рамы: КПУ-3-П-Н-300х200-2*ф-МВ220-сн-0-0-0-0-0-0, вес 10 кг</t>
    </r>
    <r>
      <rPr>
        <i/>
        <sz val="10"/>
        <rFont val="Arial"/>
        <family val="2"/>
        <charset val="204"/>
      </rPr>
      <t xml:space="preserve">
Базисная стоимость: 5 674,12 = [31 040,75 /  5,58] +  2% Заг.скл</t>
    </r>
  </si>
  <si>
    <r>
      <t>Клапан противопожарный универсальный КПУ-3, исполнение общепромышленное, канальный, с электроприводом Belimo на 220 В, привод снаружи, без терморазмыкающего устройства, с клеммной колодкой, без решеток, без монтажного лючка, без переходника на круглое сечение, без рукоятки для ручного взвода, без монтажной рамы: КПУ-3-П-Н-400*250-2*ф-МВ220-сн-кл-0-0-0-0-0, расчетный вес 19 кг</t>
    </r>
    <r>
      <rPr>
        <i/>
        <sz val="10"/>
        <rFont val="Arial"/>
        <family val="2"/>
        <charset val="204"/>
      </rPr>
      <t xml:space="preserve">
Базисная стоимость: 4 694,87 = [25 683,7 /  5,58] +  2% Заг.скл</t>
    </r>
  </si>
  <si>
    <r>
      <t>Клапан противопожарный, универсальный КПУ нормальнозакрытый; исполнение взрывозащищенное, канальный, с электроприводом Belimo на 220 В, привод снаружи, без терморазмыкающего устройства, с клеммной колодкой, без монтажного лючка, без переходника на круглое сечение, без рукоятки для ручного взвода, без монтажной рамы: КПУ-3-П-Н-200*200-2*ф-МВ220-сн-кл-0-0-0-0-0, вес: 16 кг</t>
    </r>
    <r>
      <rPr>
        <i/>
        <sz val="10"/>
        <rFont val="Arial"/>
        <family val="2"/>
        <charset val="204"/>
      </rPr>
      <t xml:space="preserve">
Базисная стоимость: 5 238,32 = [28 656,7 /  5,58] +  2% Заг.скл</t>
    </r>
  </si>
  <si>
    <r>
      <t>Клапан противопожарный универсальный двойного действия КПУ-3, с пределом огнестойкости EI120 исполнение общепромышленное, канальный, прямоугольного сечения с монтажным лючком, с рукояткой для ручного взвода и электроприводом 0,008кВт, 220В, размер 400*300</t>
    </r>
    <r>
      <rPr>
        <i/>
        <sz val="10"/>
        <rFont val="Arial"/>
        <family val="2"/>
        <charset val="204"/>
      </rPr>
      <t xml:space="preserve">
Базисная стоимость: 5 224,27 = [28 579,79 /  5,58] +  2% Заг.скл</t>
    </r>
  </si>
  <si>
    <r>
      <t>Клапан противопожарный универсальный канальный прямоугольного сечения 150х150 двойного действия с реверсивным электроприводом, во взрывозащищенном исполнении, привод снаружи, без терморазмыкающего устройства, КПУ-3-ДД-Р-В-150*150-2*ф-ЭПВ220-сн-0-0-0-0-0-0</t>
    </r>
    <r>
      <rPr>
        <i/>
        <sz val="10"/>
        <rFont val="Arial"/>
        <family val="2"/>
        <charset val="204"/>
      </rPr>
      <t xml:space="preserve">
Базисная стоимость: 5 556,15 = [30 395,44 /  5,58] +  2% Заг.скл</t>
    </r>
  </si>
  <si>
    <r>
      <t>1.19-10-8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</t>
    </r>
  </si>
  <si>
    <r>
      <t>3.20-1-1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  Поправка: ТСН-2001.3-29. О.П. п.4.1</t>
    </r>
  </si>
  <si>
    <r>
      <t>3.20-1-2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  Поправка: ТСН-2001.3-29. О.П. п.4.1</t>
    </r>
  </si>
  <si>
    <r>
      <t>3.20-1-3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  Поправка: ТСН-2001.3-29. О.П. п.4.1</t>
    </r>
  </si>
  <si>
    <r>
      <t>3.20-1-10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  Поправка: ТСН-2001.3-29. О.П. п.4.1</t>
    </r>
  </si>
  <si>
    <r>
      <t>1.19-3-12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</t>
    </r>
  </si>
  <si>
    <r>
      <t>1.19-3-13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</t>
    </r>
  </si>
  <si>
    <r>
      <t>3.20-1-11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  Поправка: ТСН-2001.3-29. О.П. п.4.1</t>
    </r>
  </si>
  <si>
    <r>
      <t>3.26-38-1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  Поправка: ТСН-2001.3-29. О.П. п.4.1</t>
    </r>
  </si>
  <si>
    <r>
      <t>Покрытие комбинированное огнезащитное Изовент-комбинированное огнезащитное покрытие на основе базальтового рулонного материала кашированного алюминиевой фольгой и клеевого состава ПКВ-2002 расход ПКВ-2002 0,6 кг.м2</t>
    </r>
    <r>
      <rPr>
        <i/>
        <sz val="10"/>
        <rFont val="Arial"/>
        <family val="2"/>
        <charset val="204"/>
      </rPr>
      <t xml:space="preserve">
Базисная стоимость: 33,81 = [184,98 /  5,58] +  2% Заг.скл</t>
    </r>
  </si>
  <si>
    <t>Раздел 1/11.1</t>
  </si>
  <si>
    <t>Раздел: Перегон от ст. "Мичуренский проспект" до ст. "Аминьевское шоссе". Хозяйственно-питьевой, производственный и противопожарный тонельный водопровод В1Т</t>
  </si>
  <si>
    <t>Локальная смета №12-4017-Л-Р-8.3.1-ВК-СМ1</t>
  </si>
  <si>
    <t xml:space="preserve">Рег. № 48493-ТПК_5-0575-Р-ССР2 </t>
  </si>
  <si>
    <t>Работы выполнены в августе 2020г</t>
  </si>
  <si>
    <t>Раздел 2/11.3</t>
  </si>
  <si>
    <t>Локальная смета №12-4017-Л-Р-11.3.3.2-ВК-СМ1К</t>
  </si>
  <si>
    <t>Рег. № 48645-ТПК_5-0632-Р-ССР2-доп.1-изм.1.1</t>
  </si>
  <si>
    <t>Раздел 3/11.4</t>
  </si>
  <si>
    <t>Раздел 4/11.5</t>
  </si>
  <si>
    <t>Локальная смета №12-4017-Л-Р-11.4.3.2-ВК-СМ1</t>
  </si>
  <si>
    <t>Рег. № 48809-ТПК_5-0673-Р-ССР2</t>
  </si>
  <si>
    <t>Раздел 5/11.21</t>
  </si>
  <si>
    <t>Локальная смета №12-4017-Л-Р-12.3.1-ВК-СМ1</t>
  </si>
  <si>
    <t>Рег. № 48824-ТПК_5-0687-Р-ССР2</t>
  </si>
  <si>
    <t>Раздел 6/11.22</t>
  </si>
  <si>
    <t>Раздел 7/11.23</t>
  </si>
  <si>
    <t>Рег. № 48876-ТПК_5-0708-Р-ССР2-ИЗМ1.1</t>
  </si>
  <si>
    <t>Раздел 8/11.24</t>
  </si>
  <si>
    <t>Локальная смета №12-4017-Л-Р-11.5.4-ВК-СМ1</t>
  </si>
  <si>
    <t>Рег. № 48956-ТПК_5-0781-Р-ССР2</t>
  </si>
  <si>
    <t>Раздел 9/11.25</t>
  </si>
  <si>
    <t xml:space="preserve">Локальная смета №12-4017-Л-Р-11.5.3-ОВ-СМ1К </t>
  </si>
  <si>
    <t>Рег. № 48961-ТПК_5-0786-Р-ССР2-изм1.1</t>
  </si>
  <si>
    <t>Раздел 10/11.26</t>
  </si>
  <si>
    <t>Локальная смета №11-4017-Л-Р-11.4.3.1-ОВ1.1-СМ1К</t>
  </si>
  <si>
    <t>Рег. № 48837-ТПК_5-0699-Р-ССР2-изм1.1</t>
  </si>
  <si>
    <t>1_11.1</t>
  </si>
  <si>
    <t>2_11.3</t>
  </si>
  <si>
    <t>3_11.4</t>
  </si>
  <si>
    <t>4_11.5</t>
  </si>
  <si>
    <t>5_11.21</t>
  </si>
  <si>
    <t>6_11.22</t>
  </si>
  <si>
    <t>7_11.23</t>
  </si>
  <si>
    <t>8_11.24</t>
  </si>
  <si>
    <t>9_11.25</t>
  </si>
  <si>
    <t>10_11.26</t>
  </si>
  <si>
    <t>о стоимости выполненных работ и затрат в базовых и текущих ценах за Сентябрь 2020 г.</t>
  </si>
  <si>
    <t>приводите акт в соответствие с ГП</t>
  </si>
  <si>
    <t>зачем 13 сборник?</t>
  </si>
  <si>
    <r>
      <t>Составлен(а) в уровне текущих (прогнозных) цен ТСН-2001 МГЭ строительство №166 июль 2020 года</t>
    </r>
    <r>
      <rPr>
        <sz val="11"/>
        <color rgb="FFFF0000"/>
        <rFont val="Arial"/>
        <family val="2"/>
        <charset val="204"/>
      </rPr>
      <t xml:space="preserve"> и Коэффициенты пересчета к ТСН-2001.13-2 июнь 2020 года</t>
    </r>
  </si>
  <si>
    <t>?</t>
  </si>
  <si>
    <t>Здесь и далее: привести в соответствие с ГП копейки</t>
  </si>
  <si>
    <t xml:space="preserve">Составлен(а) в уровне текущих (прогнозных) цен ТСН-2001 МГЭ строительство №166 июль 2020 года </t>
  </si>
  <si>
    <r>
      <t>Клапан противопожарный универсальный КПУ-1Н-О-Н-200х200-2*ф-МВ220-Т-сн-0-0-0-0-0-мрп, нормально открытый, предел огнестойкости EI90, общепромышленное исполнение, рабочее сечение (ШхВ) 200х200 мм, канальный, два фланца, электропривод «Belimo» на 220В, терморазмыкающее устройство, привод снаружи, без клеммной колодки/коробки, без решеток, без монтажного лючка, без переходника на круглое сечение, без рукоятки для ручного взвода, с монтажной рамой для присоединения к стене</t>
    </r>
    <r>
      <rPr>
        <i/>
        <sz val="10"/>
        <rFont val="Arial"/>
        <family val="2"/>
        <charset val="204"/>
      </rPr>
      <t xml:space="preserve">
</t>
    </r>
    <r>
      <rPr>
        <sz val="11"/>
        <rFont val="Arial"/>
        <family val="2"/>
        <charset val="204"/>
      </rPr>
      <t>(14 361,64/5,58*1,02)</t>
    </r>
  </si>
  <si>
    <t>Локальная смета №12-4017-Л-Р-11.5.3-ОВ-СМ1К</t>
  </si>
  <si>
    <t>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</si>
</sst>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-* #,##0.00\ _₽_-;\-* #,##0.00\ _₽_-;_-* &quot;-&quot;??\ _₽_-;_-@_-"/>
    <numFmt numFmtId="165" formatCode="#,##0.00;[Red]\-\ #,##0.00"/>
    <numFmt numFmtId="166" formatCode="#,##0.00####;[Red]\-\ #,##0.00####"/>
    <numFmt numFmtId="167" formatCode="#,##0.00_ ;[Red]\-#,##0.00\ "/>
    <numFmt numFmtId="168" formatCode="_-* #,##0.00_р_._-;\-* #,##0.00_р_._-;_-* &quot;-&quot;??_р_._-;_-@_-"/>
    <numFmt numFmtId="169" formatCode="* #,##0.00;* \-#,##0.00;* &quot;-&quot;??;@"/>
    <numFmt numFmtId="170" formatCode="_-* #,##0_р_._-;\-* #,##0_р_._-;_-* &quot;-&quot;??_р_._-;_-@_-"/>
    <numFmt numFmtId="171" formatCode="#,##0_ ;\-#,##0\ "/>
    <numFmt numFmtId="172" formatCode="#,##0;[Red]\-\ #,##0"/>
    <numFmt numFmtId="173" formatCode="#,##0.00_ ;\-#,##0.00\ "/>
    <numFmt numFmtId="174" formatCode="_-* #,##0\ _₽_-;\-* #,##0\ _₽_-;_-* &quot;-&quot;??\ _₽_-;_-@_-"/>
  </numFmts>
  <fonts count="7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b/>
      <sz val="14"/>
      <name val="Arial"/>
      <family val="2"/>
      <charset val="204"/>
    </font>
    <font>
      <sz val="10"/>
      <name val="Arial Cyr"/>
      <charset val="204"/>
    </font>
    <font>
      <b/>
      <sz val="12"/>
      <name val="Arial"/>
      <family val="2"/>
      <charset val="204"/>
    </font>
    <font>
      <b/>
      <i/>
      <sz val="11"/>
      <name val="Arial"/>
      <family val="2"/>
      <charset val="204"/>
    </font>
    <font>
      <i/>
      <sz val="10"/>
      <name val="Arial"/>
      <family val="2"/>
      <charset val="204"/>
    </font>
    <font>
      <i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3"/>
      <name val="Arial"/>
      <family val="2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name val="Arial"/>
      <family val="2"/>
      <charset val="204"/>
    </font>
    <font>
      <sz val="16"/>
      <name val="Arial"/>
      <family val="2"/>
      <charset val="204"/>
    </font>
    <font>
      <sz val="20"/>
      <name val="Arial"/>
      <family val="2"/>
      <charset val="204"/>
    </font>
    <font>
      <sz val="18"/>
      <name val="Arial"/>
      <family val="2"/>
      <charset val="204"/>
    </font>
    <font>
      <b/>
      <sz val="22"/>
      <name val="Times New Roman"/>
      <family val="1"/>
      <charset val="204"/>
    </font>
    <font>
      <b/>
      <sz val="20"/>
      <name val="Times New Roman"/>
      <family val="1"/>
      <charset val="204"/>
    </font>
    <font>
      <sz val="9"/>
      <color indexed="64"/>
      <name val="Arial"/>
      <family val="2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8"/>
      <color indexed="64"/>
      <name val="Arial"/>
      <family val="2"/>
      <charset val="204"/>
    </font>
    <font>
      <b/>
      <u/>
      <sz val="14"/>
      <name val="Times New Roman"/>
      <family val="1"/>
      <charset val="204"/>
    </font>
    <font>
      <sz val="14"/>
      <name val="Arial"/>
      <family val="2"/>
      <charset val="204"/>
    </font>
    <font>
      <b/>
      <sz val="18"/>
      <name val="Arial"/>
      <family val="2"/>
      <charset val="204"/>
    </font>
    <font>
      <b/>
      <sz val="18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u/>
      <sz val="18"/>
      <name val="Times New Roman"/>
      <family val="1"/>
      <charset val="204"/>
    </font>
    <font>
      <sz val="1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3"/>
      <name val="Arial"/>
      <family val="2"/>
      <charset val="204"/>
    </font>
    <font>
      <sz val="12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0"/>
      <color indexed="10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0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8"/>
      <color indexed="64"/>
      <name val="Courier New"/>
      <family val="3"/>
      <charset val="204"/>
    </font>
    <font>
      <b/>
      <sz val="12"/>
      <color indexed="64"/>
      <name val="Arial"/>
      <family val="2"/>
      <charset val="204"/>
    </font>
    <font>
      <i/>
      <sz val="11"/>
      <color theme="4" tint="-0.24997711111789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sz val="11"/>
      <color rgb="FF7030A0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name val="Times New Roman"/>
      <family val="1"/>
      <charset val="204"/>
    </font>
    <font>
      <sz val="10"/>
      <color rgb="FFFF0000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name val="Arial"/>
      <family val="2"/>
      <charset val="204"/>
    </font>
    <font>
      <i/>
      <sz val="11"/>
      <color theme="4" tint="-0.249977111117893"/>
      <name val="Times New Roman"/>
      <family val="1"/>
      <charset val="204"/>
    </font>
    <font>
      <sz val="11"/>
      <color theme="4" tint="-0.249977111117893"/>
      <name val="Times New Roman"/>
      <family val="1"/>
      <charset val="204"/>
    </font>
    <font>
      <sz val="10"/>
      <color rgb="FF7030A0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0"/>
      <color theme="4" tint="-0.249977111117893"/>
      <name val="Times New Roman"/>
      <family val="1"/>
      <charset val="204"/>
    </font>
    <font>
      <sz val="10"/>
      <color theme="4" tint="-0.249977111117893"/>
      <name val="Times New Roman"/>
      <family val="1"/>
      <charset val="204"/>
    </font>
    <font>
      <sz val="11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3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2" fillId="0" borderId="0"/>
    <xf numFmtId="0" fontId="1" fillId="0" borderId="0"/>
    <xf numFmtId="0" fontId="2" fillId="0" borderId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2" fillId="0" borderId="0"/>
    <xf numFmtId="0" fontId="28" fillId="0" borderId="0" applyNumberFormat="0"/>
    <xf numFmtId="0" fontId="22" fillId="0" borderId="0" applyNumberFormat="0"/>
    <xf numFmtId="0" fontId="28" fillId="0" borderId="0"/>
    <xf numFmtId="0" fontId="7" fillId="0" borderId="0"/>
    <xf numFmtId="0" fontId="2" fillId="0" borderId="0"/>
    <xf numFmtId="0" fontId="28" fillId="0" borderId="0"/>
    <xf numFmtId="0" fontId="2" fillId="0" borderId="0"/>
    <xf numFmtId="0" fontId="7" fillId="0" borderId="0"/>
    <xf numFmtId="0" fontId="36" fillId="0" borderId="0"/>
    <xf numFmtId="0" fontId="7" fillId="0" borderId="0"/>
    <xf numFmtId="0" fontId="7" fillId="0" borderId="0"/>
    <xf numFmtId="0" fontId="47" fillId="0" borderId="0" applyNumberFormat="0"/>
    <xf numFmtId="0" fontId="28" fillId="0" borderId="0" applyNumberFormat="0"/>
    <xf numFmtId="0" fontId="2" fillId="0" borderId="0" applyNumberFormat="0" applyFont="0" applyFill="0" applyBorder="0" applyAlignment="0" applyProtection="0">
      <alignment vertical="top"/>
    </xf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9" fontId="12" fillId="0" borderId="0" applyFont="0" applyFill="0" applyBorder="0" applyAlignment="0" applyProtection="0"/>
    <xf numFmtId="0" fontId="7" fillId="0" borderId="0"/>
    <xf numFmtId="0" fontId="2" fillId="0" borderId="0"/>
    <xf numFmtId="0" fontId="63" fillId="0" borderId="0"/>
    <xf numFmtId="0" fontId="72" fillId="0" borderId="0"/>
  </cellStyleXfs>
  <cellXfs count="777">
    <xf numFmtId="0" fontId="0" fillId="0" borderId="0" xfId="0"/>
    <xf numFmtId="0" fontId="3" fillId="0" borderId="0" xfId="1" applyFont="1"/>
    <xf numFmtId="0" fontId="4" fillId="0" borderId="0" xfId="1" applyFont="1"/>
    <xf numFmtId="0" fontId="1" fillId="0" borderId="0" xfId="2"/>
    <xf numFmtId="0" fontId="2" fillId="0" borderId="0" xfId="4"/>
    <xf numFmtId="0" fontId="2" fillId="0" borderId="0" xfId="7"/>
    <xf numFmtId="0" fontId="3" fillId="0" borderId="4" xfId="7" applyFont="1" applyBorder="1" applyAlignment="1">
      <alignment horizontal="left" wrapText="1"/>
    </xf>
    <xf numFmtId="0" fontId="3" fillId="0" borderId="4" xfId="1" applyFont="1" applyBorder="1" applyAlignment="1">
      <alignment horizontal="left" wrapText="1"/>
    </xf>
    <xf numFmtId="0" fontId="3" fillId="0" borderId="0" xfId="1" applyFont="1" applyAlignment="1">
      <alignment horizontal="left" wrapText="1"/>
    </xf>
    <xf numFmtId="0" fontId="2" fillId="0" borderId="0" xfId="8"/>
    <xf numFmtId="0" fontId="2" fillId="0" borderId="5" xfId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/>
    </xf>
    <xf numFmtId="14" fontId="3" fillId="0" borderId="13" xfId="1" applyNumberFormat="1" applyFont="1" applyBorder="1" applyAlignment="1">
      <alignment horizontal="center"/>
    </xf>
    <xf numFmtId="0" fontId="2" fillId="0" borderId="0" xfId="1"/>
    <xf numFmtId="0" fontId="9" fillId="0" borderId="2" xfId="1" applyFont="1" applyBorder="1"/>
    <xf numFmtId="0" fontId="2" fillId="0" borderId="2" xfId="1" applyBorder="1"/>
    <xf numFmtId="0" fontId="14" fillId="2" borderId="0" xfId="17" applyFont="1" applyFill="1" applyAlignment="1">
      <alignment vertical="center"/>
    </xf>
    <xf numFmtId="0" fontId="16" fillId="2" borderId="0" xfId="17" applyFont="1" applyFill="1" applyAlignment="1">
      <alignment vertical="center" wrapText="1"/>
    </xf>
    <xf numFmtId="0" fontId="16" fillId="2" borderId="0" xfId="17" applyFont="1" applyFill="1" applyAlignment="1">
      <alignment vertical="center"/>
    </xf>
    <xf numFmtId="0" fontId="17" fillId="2" borderId="0" xfId="17" applyFont="1" applyFill="1" applyAlignment="1">
      <alignment horizontal="left" vertical="center"/>
    </xf>
    <xf numFmtId="0" fontId="18" fillId="2" borderId="0" xfId="17" applyFont="1" applyFill="1" applyAlignment="1">
      <alignment horizontal="left" vertical="center"/>
    </xf>
    <xf numFmtId="0" fontId="19" fillId="2" borderId="0" xfId="17" applyFont="1" applyFill="1" applyAlignment="1">
      <alignment vertical="center"/>
    </xf>
    <xf numFmtId="0" fontId="15" fillId="2" borderId="0" xfId="17" applyFont="1" applyFill="1" applyAlignment="1">
      <alignment vertical="center"/>
    </xf>
    <xf numFmtId="0" fontId="17" fillId="2" borderId="0" xfId="17" applyFont="1" applyFill="1" applyAlignment="1">
      <alignment vertical="center" wrapText="1"/>
    </xf>
    <xf numFmtId="0" fontId="17" fillId="2" borderId="0" xfId="17" applyFont="1" applyFill="1" applyAlignment="1">
      <alignment vertical="center"/>
    </xf>
    <xf numFmtId="0" fontId="20" fillId="2" borderId="0" xfId="1" applyFont="1" applyFill="1" applyAlignment="1">
      <alignment horizontal="center"/>
    </xf>
    <xf numFmtId="0" fontId="19" fillId="2" borderId="0" xfId="1" applyFont="1" applyFill="1" applyAlignment="1">
      <alignment vertical="center"/>
    </xf>
    <xf numFmtId="4" fontId="20" fillId="2" borderId="0" xfId="1" applyNumberFormat="1" applyFont="1" applyFill="1" applyAlignment="1">
      <alignment horizontal="center"/>
    </xf>
    <xf numFmtId="0" fontId="21" fillId="2" borderId="0" xfId="1" applyFont="1" applyFill="1" applyAlignment="1">
      <alignment horizontal="center"/>
    </xf>
    <xf numFmtId="0" fontId="19" fillId="2" borderId="0" xfId="19" applyFont="1" applyFill="1" applyAlignment="1">
      <alignment vertical="top"/>
    </xf>
    <xf numFmtId="0" fontId="23" fillId="2" borderId="14" xfId="1" applyFont="1" applyFill="1" applyBorder="1" applyAlignment="1">
      <alignment horizontal="center" vertical="center" wrapText="1"/>
    </xf>
    <xf numFmtId="0" fontId="23" fillId="2" borderId="14" xfId="17" applyFont="1" applyFill="1" applyBorder="1" applyAlignment="1">
      <alignment horizontal="center" vertical="center" wrapText="1"/>
    </xf>
    <xf numFmtId="0" fontId="25" fillId="2" borderId="13" xfId="18" applyFont="1" applyFill="1" applyBorder="1" applyAlignment="1">
      <alignment horizontal="center" vertical="center" wrapText="1"/>
    </xf>
    <xf numFmtId="49" fontId="25" fillId="2" borderId="13" xfId="20" applyNumberFormat="1" applyFont="1" applyFill="1" applyBorder="1" applyAlignment="1">
      <alignment horizontal="center" vertical="center" wrapText="1"/>
    </xf>
    <xf numFmtId="49" fontId="26" fillId="2" borderId="13" xfId="1" applyNumberFormat="1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5" fillId="2" borderId="13" xfId="21" applyNumberFormat="1" applyFont="1" applyFill="1" applyBorder="1" applyAlignment="1">
      <alignment horizontal="center" vertical="center" wrapText="1"/>
    </xf>
    <xf numFmtId="4" fontId="25" fillId="2" borderId="13" xfId="22" applyNumberFormat="1" applyFont="1" applyFill="1" applyBorder="1" applyAlignment="1">
      <alignment horizontal="center" vertical="center" wrapText="1"/>
    </xf>
    <xf numFmtId="4" fontId="25" fillId="2" borderId="13" xfId="23" applyNumberFormat="1" applyFont="1" applyFill="1" applyBorder="1" applyAlignment="1">
      <alignment horizontal="center" vertical="center" wrapText="1"/>
    </xf>
    <xf numFmtId="4" fontId="23" fillId="2" borderId="13" xfId="21" applyNumberFormat="1" applyFont="1" applyFill="1" applyBorder="1" applyAlignment="1">
      <alignment horizontal="center" vertical="center" wrapText="1"/>
    </xf>
    <xf numFmtId="167" fontId="25" fillId="2" borderId="13" xfId="24" applyNumberFormat="1" applyFont="1" applyFill="1" applyBorder="1" applyAlignment="1">
      <alignment horizontal="center" vertical="center" wrapText="1"/>
    </xf>
    <xf numFmtId="4" fontId="19" fillId="2" borderId="0" xfId="1" applyNumberFormat="1" applyFont="1" applyFill="1" applyAlignment="1">
      <alignment vertical="center"/>
    </xf>
    <xf numFmtId="4" fontId="26" fillId="2" borderId="13" xfId="1" applyNumberFormat="1" applyFont="1" applyFill="1" applyBorder="1" applyAlignment="1">
      <alignment horizontal="center" vertical="center" wrapText="1"/>
    </xf>
    <xf numFmtId="0" fontId="23" fillId="2" borderId="13" xfId="1" applyFont="1" applyFill="1" applyBorder="1" applyAlignment="1">
      <alignment horizontal="center" vertical="center"/>
    </xf>
    <xf numFmtId="49" fontId="27" fillId="2" borderId="13" xfId="1" applyNumberFormat="1" applyFont="1" applyFill="1" applyBorder="1" applyAlignment="1">
      <alignment horizontal="center" vertical="center" wrapText="1"/>
    </xf>
    <xf numFmtId="49" fontId="23" fillId="2" borderId="13" xfId="25" applyNumberFormat="1" applyFont="1" applyFill="1" applyBorder="1" applyAlignment="1">
      <alignment horizontal="left" vertical="center" wrapText="1"/>
    </xf>
    <xf numFmtId="4" fontId="29" fillId="2" borderId="13" xfId="21" applyNumberFormat="1" applyFont="1" applyFill="1" applyBorder="1" applyAlignment="1">
      <alignment horizontal="center" vertical="center" wrapText="1"/>
    </xf>
    <xf numFmtId="0" fontId="25" fillId="2" borderId="13" xfId="1" applyFont="1" applyFill="1" applyBorder="1" applyAlignment="1">
      <alignment horizontal="center" vertical="center"/>
    </xf>
    <xf numFmtId="49" fontId="25" fillId="2" borderId="13" xfId="1" applyNumberFormat="1" applyFont="1" applyFill="1" applyBorder="1" applyAlignment="1">
      <alignment horizontal="center" vertical="center" wrapText="1"/>
    </xf>
    <xf numFmtId="0" fontId="25" fillId="2" borderId="13" xfId="26" applyFont="1" applyFill="1" applyBorder="1" applyAlignment="1">
      <alignment horizontal="center" vertical="center" wrapText="1"/>
    </xf>
    <xf numFmtId="49" fontId="25" fillId="2" borderId="13" xfId="1" applyNumberFormat="1" applyFont="1" applyFill="1" applyBorder="1" applyAlignment="1">
      <alignment horizontal="left" vertical="center" wrapText="1"/>
    </xf>
    <xf numFmtId="0" fontId="30" fillId="2" borderId="13" xfId="1" applyFont="1" applyFill="1" applyBorder="1" applyAlignment="1">
      <alignment vertical="center"/>
    </xf>
    <xf numFmtId="0" fontId="30" fillId="2" borderId="0" xfId="1" applyFont="1" applyFill="1" applyAlignment="1">
      <alignment vertical="center"/>
    </xf>
    <xf numFmtId="0" fontId="25" fillId="2" borderId="13" xfId="1" applyNumberFormat="1" applyFont="1" applyFill="1" applyBorder="1" applyAlignment="1">
      <alignment horizontal="center" vertical="center" wrapText="1"/>
    </xf>
    <xf numFmtId="49" fontId="23" fillId="2" borderId="13" xfId="1" applyNumberFormat="1" applyFont="1" applyFill="1" applyBorder="1" applyAlignment="1">
      <alignment horizontal="center" vertical="center" wrapText="1"/>
    </xf>
    <xf numFmtId="49" fontId="23" fillId="2" borderId="13" xfId="1" applyNumberFormat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center" vertical="center"/>
    </xf>
    <xf numFmtId="49" fontId="18" fillId="2" borderId="0" xfId="1" applyNumberFormat="1" applyFont="1" applyFill="1" applyBorder="1" applyAlignment="1">
      <alignment horizontal="center" vertical="center" wrapText="1"/>
    </xf>
    <xf numFmtId="0" fontId="18" fillId="2" borderId="0" xfId="1" applyFont="1" applyFill="1" applyBorder="1" applyAlignment="1">
      <alignment horizontal="center" vertical="center" wrapText="1"/>
    </xf>
    <xf numFmtId="0" fontId="16" fillId="2" borderId="0" xfId="27" applyNumberFormat="1" applyFont="1" applyFill="1" applyBorder="1" applyAlignment="1"/>
    <xf numFmtId="0" fontId="31" fillId="2" borderId="0" xfId="1" applyFont="1" applyFill="1" applyAlignment="1">
      <alignment vertical="center"/>
    </xf>
    <xf numFmtId="167" fontId="15" fillId="2" borderId="0" xfId="28" applyNumberFormat="1" applyFont="1" applyFill="1" applyBorder="1"/>
    <xf numFmtId="0" fontId="32" fillId="2" borderId="0" xfId="29" applyFont="1" applyFill="1" applyBorder="1" applyAlignment="1"/>
    <xf numFmtId="0" fontId="19" fillId="2" borderId="4" xfId="1" applyFont="1" applyFill="1" applyBorder="1" applyAlignment="1"/>
    <xf numFmtId="0" fontId="19" fillId="2" borderId="0" xfId="1" applyFont="1" applyFill="1" applyAlignment="1"/>
    <xf numFmtId="0" fontId="34" fillId="2" borderId="4" xfId="9" applyFont="1" applyFill="1" applyBorder="1"/>
    <xf numFmtId="0" fontId="32" fillId="2" borderId="4" xfId="9" applyFont="1" applyFill="1" applyBorder="1"/>
    <xf numFmtId="0" fontId="31" fillId="2" borderId="0" xfId="27" applyNumberFormat="1" applyFont="1" applyFill="1" applyBorder="1" applyAlignment="1"/>
    <xf numFmtId="167" fontId="17" fillId="2" borderId="0" xfId="28" applyNumberFormat="1" applyFont="1" applyFill="1"/>
    <xf numFmtId="167" fontId="35" fillId="2" borderId="0" xfId="28" applyNumberFormat="1" applyFont="1" applyFill="1" applyBorder="1"/>
    <xf numFmtId="49" fontId="35" fillId="2" borderId="0" xfId="28" applyNumberFormat="1" applyFont="1" applyFill="1" applyBorder="1"/>
    <xf numFmtId="167" fontId="35" fillId="2" borderId="0" xfId="28" applyNumberFormat="1" applyFont="1" applyFill="1" applyBorder="1" applyAlignment="1">
      <alignment horizontal="center" wrapText="1"/>
    </xf>
    <xf numFmtId="167" fontId="35" fillId="2" borderId="0" xfId="28" applyNumberFormat="1" applyFont="1" applyFill="1" applyBorder="1" applyAlignment="1">
      <alignment horizontal="left" wrapText="1"/>
    </xf>
    <xf numFmtId="167" fontId="35" fillId="2" borderId="0" xfId="28" applyNumberFormat="1" applyFont="1" applyFill="1" applyBorder="1" applyAlignment="1">
      <alignment horizontal="left"/>
    </xf>
    <xf numFmtId="167" fontId="35" fillId="2" borderId="0" xfId="28" applyNumberFormat="1" applyFont="1" applyFill="1" applyBorder="1" applyAlignment="1"/>
    <xf numFmtId="167" fontId="19" fillId="2" borderId="0" xfId="28" applyNumberFormat="1" applyFont="1" applyFill="1"/>
    <xf numFmtId="49" fontId="19" fillId="2" borderId="0" xfId="28" applyNumberFormat="1" applyFont="1" applyFill="1"/>
    <xf numFmtId="167" fontId="19" fillId="2" borderId="0" xfId="28" applyNumberFormat="1" applyFont="1" applyFill="1" applyAlignment="1">
      <alignment horizontal="center" wrapText="1"/>
    </xf>
    <xf numFmtId="167" fontId="19" fillId="2" borderId="0" xfId="28" applyNumberFormat="1" applyFont="1" applyFill="1" applyAlignment="1">
      <alignment horizontal="left" wrapText="1"/>
    </xf>
    <xf numFmtId="167" fontId="19" fillId="2" borderId="0" xfId="28" applyNumberFormat="1" applyFont="1" applyFill="1" applyAlignment="1">
      <alignment horizontal="left"/>
    </xf>
    <xf numFmtId="167" fontId="19" fillId="2" borderId="0" xfId="28" applyNumberFormat="1" applyFont="1" applyFill="1" applyAlignment="1"/>
    <xf numFmtId="0" fontId="31" fillId="2" borderId="0" xfId="30" applyNumberFormat="1" applyFont="1" applyFill="1" applyBorder="1" applyAlignment="1"/>
    <xf numFmtId="0" fontId="16" fillId="2" borderId="0" xfId="30" applyNumberFormat="1" applyFont="1" applyFill="1" applyBorder="1" applyAlignment="1"/>
    <xf numFmtId="0" fontId="30" fillId="2" borderId="0" xfId="19" applyFont="1" applyFill="1" applyAlignment="1">
      <alignment vertical="center"/>
    </xf>
    <xf numFmtId="0" fontId="18" fillId="2" borderId="0" xfId="19" applyFont="1" applyFill="1" applyAlignment="1">
      <alignment horizontal="left" vertical="center"/>
    </xf>
    <xf numFmtId="0" fontId="19" fillId="2" borderId="0" xfId="19" applyFont="1" applyFill="1" applyAlignment="1">
      <alignment vertical="center"/>
    </xf>
    <xf numFmtId="0" fontId="18" fillId="2" borderId="0" xfId="19" applyFont="1" applyFill="1" applyAlignment="1">
      <alignment vertical="center" wrapText="1"/>
    </xf>
    <xf numFmtId="0" fontId="18" fillId="2" borderId="0" xfId="19" applyFont="1" applyFill="1" applyAlignment="1">
      <alignment vertical="center"/>
    </xf>
    <xf numFmtId="0" fontId="2" fillId="0" borderId="0" xfId="31" applyFont="1"/>
    <xf numFmtId="0" fontId="7" fillId="0" borderId="0" xfId="32" applyFont="1"/>
    <xf numFmtId="0" fontId="7" fillId="0" borderId="0" xfId="32" applyFont="1" applyAlignment="1">
      <alignment horizontal="right"/>
    </xf>
    <xf numFmtId="0" fontId="2" fillId="0" borderId="0" xfId="31" applyFont="1" applyBorder="1"/>
    <xf numFmtId="0" fontId="2" fillId="0" borderId="0" xfId="1" applyFont="1"/>
    <xf numFmtId="0" fontId="2" fillId="0" borderId="0" xfId="1" applyFont="1" applyBorder="1" applyAlignment="1"/>
    <xf numFmtId="0" fontId="2" fillId="0" borderId="0" xfId="1" applyFont="1" applyAlignment="1">
      <alignment horizontal="right"/>
    </xf>
    <xf numFmtId="0" fontId="2" fillId="0" borderId="0" xfId="1" quotePrefix="1" applyFont="1" applyBorder="1" applyAlignment="1"/>
    <xf numFmtId="49" fontId="2" fillId="0" borderId="0" xfId="1" applyNumberFormat="1" applyFont="1" applyBorder="1" applyAlignment="1"/>
    <xf numFmtId="0" fontId="2" fillId="0" borderId="0" xfId="1" applyFont="1" applyBorder="1" applyAlignment="1">
      <alignment vertical="top"/>
    </xf>
    <xf numFmtId="0" fontId="2" fillId="0" borderId="0" xfId="1" applyFont="1" applyBorder="1" applyAlignment="1">
      <alignment vertical="top" wrapText="1"/>
    </xf>
    <xf numFmtId="0" fontId="2" fillId="0" borderId="0" xfId="1" applyFont="1" applyBorder="1"/>
    <xf numFmtId="0" fontId="2" fillId="0" borderId="5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4" fontId="2" fillId="0" borderId="0" xfId="1" applyNumberFormat="1" applyFont="1" applyBorder="1" applyAlignment="1"/>
    <xf numFmtId="0" fontId="38" fillId="0" borderId="0" xfId="31" applyFont="1"/>
    <xf numFmtId="0" fontId="7" fillId="0" borderId="0" xfId="34" applyFont="1"/>
    <xf numFmtId="0" fontId="2" fillId="0" borderId="11" xfId="31" applyFont="1" applyBorder="1" applyAlignment="1">
      <alignment horizontal="center" vertical="center" wrapText="1"/>
    </xf>
    <xf numFmtId="0" fontId="2" fillId="0" borderId="12" xfId="31" applyFont="1" applyBorder="1" applyAlignment="1">
      <alignment horizontal="center" vertical="center" wrapText="1"/>
    </xf>
    <xf numFmtId="0" fontId="2" fillId="0" borderId="5" xfId="31" applyFont="1" applyBorder="1" applyAlignment="1">
      <alignment horizontal="center" vertical="center" wrapText="1"/>
    </xf>
    <xf numFmtId="0" fontId="38" fillId="0" borderId="11" xfId="31" applyFont="1" applyBorder="1" applyAlignment="1">
      <alignment horizontal="center" vertical="center" wrapText="1"/>
    </xf>
    <xf numFmtId="49" fontId="2" fillId="0" borderId="13" xfId="31" applyNumberFormat="1" applyFont="1" applyFill="1" applyBorder="1" applyAlignment="1">
      <alignment horizontal="center" vertical="top"/>
    </xf>
    <xf numFmtId="14" fontId="38" fillId="0" borderId="13" xfId="7" applyNumberFormat="1" applyFont="1" applyFill="1" applyBorder="1" applyAlignment="1">
      <alignment horizontal="center"/>
    </xf>
    <xf numFmtId="0" fontId="2" fillId="0" borderId="0" xfId="35" applyFont="1"/>
    <xf numFmtId="0" fontId="12" fillId="0" borderId="0" xfId="35" applyFont="1" applyAlignment="1">
      <alignment horizontal="center"/>
    </xf>
    <xf numFmtId="4" fontId="2" fillId="0" borderId="0" xfId="35" applyNumberFormat="1" applyFont="1" applyBorder="1" applyAlignment="1">
      <alignment horizontal="center"/>
    </xf>
    <xf numFmtId="0" fontId="2" fillId="0" borderId="0" xfId="35" applyFont="1" applyBorder="1" applyAlignment="1">
      <alignment horizontal="center"/>
    </xf>
    <xf numFmtId="0" fontId="7" fillId="0" borderId="0" xfId="10"/>
    <xf numFmtId="0" fontId="39" fillId="0" borderId="0" xfId="35" applyFont="1" applyAlignment="1">
      <alignment horizontal="center" vertical="center" wrapText="1"/>
    </xf>
    <xf numFmtId="0" fontId="39" fillId="0" borderId="0" xfId="35" applyFont="1" applyAlignment="1">
      <alignment horizontal="center" vertical="center"/>
    </xf>
    <xf numFmtId="3" fontId="2" fillId="0" borderId="33" xfId="35" applyNumberFormat="1" applyFont="1" applyBorder="1" applyAlignment="1">
      <alignment horizontal="center" vertical="center"/>
    </xf>
    <xf numFmtId="3" fontId="2" fillId="0" borderId="17" xfId="35" applyNumberFormat="1" applyFont="1" applyBorder="1" applyAlignment="1">
      <alignment horizontal="center" vertical="center"/>
    </xf>
    <xf numFmtId="3" fontId="2" fillId="0" borderId="34" xfId="35" applyNumberFormat="1" applyFont="1" applyBorder="1" applyAlignment="1">
      <alignment horizontal="center" vertical="center"/>
    </xf>
    <xf numFmtId="3" fontId="2" fillId="0" borderId="19" xfId="35" applyNumberFormat="1" applyFont="1" applyBorder="1" applyAlignment="1">
      <alignment horizontal="center" vertical="center"/>
    </xf>
    <xf numFmtId="0" fontId="7" fillId="0" borderId="0" xfId="10" applyBorder="1"/>
    <xf numFmtId="49" fontId="2" fillId="3" borderId="35" xfId="35" applyNumberFormat="1" applyFont="1" applyFill="1" applyBorder="1" applyAlignment="1">
      <alignment horizontal="center" vertical="center"/>
    </xf>
    <xf numFmtId="0" fontId="2" fillId="3" borderId="16" xfId="35" applyFont="1" applyFill="1" applyBorder="1" applyAlignment="1">
      <alignment vertical="center" wrapText="1"/>
    </xf>
    <xf numFmtId="170" fontId="40" fillId="3" borderId="36" xfId="35" applyNumberFormat="1" applyFont="1" applyFill="1" applyBorder="1" applyAlignment="1">
      <alignment vertical="center"/>
    </xf>
    <xf numFmtId="164" fontId="40" fillId="3" borderId="23" xfId="35" applyNumberFormat="1" applyFont="1" applyFill="1" applyBorder="1" applyAlignment="1">
      <alignment vertical="center"/>
    </xf>
    <xf numFmtId="168" fontId="40" fillId="3" borderId="23" xfId="35" applyNumberFormat="1" applyFont="1" applyFill="1" applyBorder="1" applyAlignment="1">
      <alignment vertical="center"/>
    </xf>
    <xf numFmtId="3" fontId="40" fillId="3" borderId="36" xfId="35" applyNumberFormat="1" applyFont="1" applyFill="1" applyBorder="1" applyAlignment="1">
      <alignment vertical="center"/>
    </xf>
    <xf numFmtId="168" fontId="40" fillId="3" borderId="36" xfId="35" applyNumberFormat="1" applyFont="1" applyFill="1" applyBorder="1" applyAlignment="1">
      <alignment vertical="center"/>
    </xf>
    <xf numFmtId="4" fontId="7" fillId="0" borderId="13" xfId="10" applyNumberFormat="1" applyBorder="1" applyAlignment="1">
      <alignment horizontal="right" vertical="center"/>
    </xf>
    <xf numFmtId="170" fontId="40" fillId="0" borderId="0" xfId="35" applyNumberFormat="1" applyFont="1" applyFill="1" applyBorder="1" applyAlignment="1">
      <alignment vertical="center"/>
    </xf>
    <xf numFmtId="164" fontId="40" fillId="0" borderId="0" xfId="35" applyNumberFormat="1" applyFont="1" applyFill="1" applyBorder="1" applyAlignment="1">
      <alignment vertical="center"/>
    </xf>
    <xf numFmtId="168" fontId="40" fillId="0" borderId="0" xfId="35" applyNumberFormat="1" applyFont="1" applyFill="1" applyBorder="1" applyAlignment="1">
      <alignment vertical="center"/>
    </xf>
    <xf numFmtId="0" fontId="7" fillId="0" borderId="0" xfId="10" applyFill="1" applyBorder="1"/>
    <xf numFmtId="49" fontId="2" fillId="0" borderId="37" xfId="35" applyNumberFormat="1" applyFont="1" applyFill="1" applyBorder="1" applyAlignment="1">
      <alignment horizontal="center" vertical="center"/>
    </xf>
    <xf numFmtId="4" fontId="2" fillId="0" borderId="28" xfId="35" applyNumberFormat="1" applyFont="1" applyFill="1" applyBorder="1" applyAlignment="1">
      <alignment vertical="center"/>
    </xf>
    <xf numFmtId="170" fontId="40" fillId="0" borderId="38" xfId="35" applyNumberFormat="1" applyFont="1" applyFill="1" applyBorder="1" applyAlignment="1">
      <alignment vertical="center"/>
    </xf>
    <xf numFmtId="168" fontId="40" fillId="0" borderId="31" xfId="35" applyNumberFormat="1" applyFont="1" applyFill="1" applyBorder="1" applyAlignment="1">
      <alignment vertical="center"/>
    </xf>
    <xf numFmtId="168" fontId="40" fillId="0" borderId="39" xfId="35" applyNumberFormat="1" applyFont="1" applyFill="1" applyBorder="1" applyAlignment="1">
      <alignment vertical="center"/>
    </xf>
    <xf numFmtId="49" fontId="2" fillId="0" borderId="16" xfId="35" applyNumberFormat="1" applyFont="1" applyFill="1" applyBorder="1" applyAlignment="1">
      <alignment horizontal="center" vertical="center"/>
    </xf>
    <xf numFmtId="4" fontId="2" fillId="0" borderId="16" xfId="35" applyNumberFormat="1" applyFont="1" applyFill="1" applyBorder="1" applyAlignment="1">
      <alignment vertical="center"/>
    </xf>
    <xf numFmtId="170" fontId="40" fillId="0" borderId="24" xfId="35" applyNumberFormat="1" applyFont="1" applyFill="1" applyBorder="1" applyAlignment="1">
      <alignment vertical="center"/>
    </xf>
    <xf numFmtId="164" fontId="40" fillId="0" borderId="25" xfId="35" applyNumberFormat="1" applyFont="1" applyFill="1" applyBorder="1" applyAlignment="1">
      <alignment vertical="center"/>
    </xf>
    <xf numFmtId="168" fontId="40" fillId="0" borderId="40" xfId="35" applyNumberFormat="1" applyFont="1" applyFill="1" applyBorder="1" applyAlignment="1">
      <alignment vertical="center"/>
    </xf>
    <xf numFmtId="171" fontId="40" fillId="0" borderId="22" xfId="35" applyNumberFormat="1" applyFont="1" applyFill="1" applyBorder="1" applyAlignment="1">
      <alignment vertical="center"/>
    </xf>
    <xf numFmtId="168" fontId="40" fillId="0" borderId="36" xfId="35" applyNumberFormat="1" applyFont="1" applyFill="1" applyBorder="1" applyAlignment="1">
      <alignment vertical="center"/>
    </xf>
    <xf numFmtId="49" fontId="2" fillId="0" borderId="41" xfId="35" applyNumberFormat="1" applyFont="1" applyFill="1" applyBorder="1" applyAlignment="1">
      <alignment horizontal="center" vertical="center"/>
    </xf>
    <xf numFmtId="4" fontId="2" fillId="0" borderId="21" xfId="35" applyNumberFormat="1" applyFont="1" applyFill="1" applyBorder="1" applyAlignment="1">
      <alignment vertical="center"/>
    </xf>
    <xf numFmtId="170" fontId="40" fillId="0" borderId="29" xfId="35" applyNumberFormat="1" applyFont="1" applyFill="1" applyBorder="1" applyAlignment="1">
      <alignment vertical="center"/>
    </xf>
    <xf numFmtId="168" fontId="40" fillId="0" borderId="25" xfId="35" applyNumberFormat="1" applyFont="1" applyFill="1" applyBorder="1" applyAlignment="1">
      <alignment vertical="center"/>
    </xf>
    <xf numFmtId="168" fontId="40" fillId="0" borderId="1" xfId="35" applyNumberFormat="1" applyFont="1" applyFill="1" applyBorder="1" applyAlignment="1">
      <alignment vertical="center"/>
    </xf>
    <xf numFmtId="164" fontId="40" fillId="0" borderId="31" xfId="35" applyNumberFormat="1" applyFont="1" applyFill="1" applyBorder="1" applyAlignment="1">
      <alignment vertical="center"/>
    </xf>
    <xf numFmtId="49" fontId="2" fillId="0" borderId="42" xfId="35" applyNumberFormat="1" applyFont="1" applyFill="1" applyBorder="1" applyAlignment="1">
      <alignment horizontal="center" vertical="center"/>
    </xf>
    <xf numFmtId="170" fontId="40" fillId="0" borderId="22" xfId="35" applyNumberFormat="1" applyFont="1" applyFill="1" applyBorder="1" applyAlignment="1">
      <alignment vertical="center"/>
    </xf>
    <xf numFmtId="164" fontId="40" fillId="0" borderId="23" xfId="35" applyNumberFormat="1" applyFont="1" applyFill="1" applyBorder="1" applyAlignment="1">
      <alignment vertical="center"/>
    </xf>
    <xf numFmtId="168" fontId="40" fillId="0" borderId="23" xfId="35" applyNumberFormat="1" applyFont="1" applyFill="1" applyBorder="1" applyAlignment="1">
      <alignment vertical="center"/>
    </xf>
    <xf numFmtId="49" fontId="2" fillId="0" borderId="35" xfId="35" applyNumberFormat="1" applyFont="1" applyFill="1" applyBorder="1" applyAlignment="1">
      <alignment horizontal="center" vertical="center"/>
    </xf>
    <xf numFmtId="168" fontId="40" fillId="0" borderId="43" xfId="35" applyNumberFormat="1" applyFont="1" applyFill="1" applyBorder="1" applyAlignment="1">
      <alignment vertical="center"/>
    </xf>
    <xf numFmtId="170" fontId="40" fillId="0" borderId="24" xfId="35" applyNumberFormat="1" applyFont="1" applyFill="1" applyBorder="1" applyAlignment="1">
      <alignment horizontal="center" vertical="center"/>
    </xf>
    <xf numFmtId="170" fontId="40" fillId="0" borderId="22" xfId="35" applyNumberFormat="1" applyFont="1" applyFill="1" applyBorder="1" applyAlignment="1">
      <alignment horizontal="center" vertical="center"/>
    </xf>
    <xf numFmtId="168" fontId="40" fillId="0" borderId="44" xfId="35" applyNumberFormat="1" applyFont="1" applyFill="1" applyBorder="1" applyAlignment="1">
      <alignment vertical="center"/>
    </xf>
    <xf numFmtId="49" fontId="12" fillId="0" borderId="45" xfId="35" applyNumberFormat="1" applyFont="1" applyFill="1" applyBorder="1" applyAlignment="1">
      <alignment horizontal="center" vertical="center"/>
    </xf>
    <xf numFmtId="4" fontId="41" fillId="0" borderId="46" xfId="35" applyNumberFormat="1" applyFont="1" applyFill="1" applyBorder="1" applyAlignment="1">
      <alignment vertical="center" wrapText="1"/>
    </xf>
    <xf numFmtId="170" fontId="43" fillId="0" borderId="15" xfId="35" applyNumberFormat="1" applyFont="1" applyFill="1" applyBorder="1" applyAlignment="1">
      <alignment vertical="center"/>
    </xf>
    <xf numFmtId="168" fontId="8" fillId="0" borderId="47" xfId="35" applyNumberFormat="1" applyFont="1" applyFill="1" applyBorder="1" applyAlignment="1">
      <alignment horizontal="right" vertical="center"/>
    </xf>
    <xf numFmtId="170" fontId="8" fillId="0" borderId="15" xfId="35" applyNumberFormat="1" applyFont="1" applyFill="1" applyBorder="1" applyAlignment="1">
      <alignment vertical="center"/>
    </xf>
    <xf numFmtId="168" fontId="8" fillId="0" borderId="48" xfId="35" applyNumberFormat="1" applyFont="1" applyFill="1" applyBorder="1" applyAlignment="1">
      <alignment horizontal="right" vertical="center"/>
    </xf>
    <xf numFmtId="170" fontId="43" fillId="0" borderId="0" xfId="35" applyNumberFormat="1" applyFont="1" applyFill="1" applyBorder="1" applyAlignment="1">
      <alignment vertical="center"/>
    </xf>
    <xf numFmtId="168" fontId="8" fillId="0" borderId="0" xfId="35" applyNumberFormat="1" applyFont="1" applyFill="1" applyBorder="1" applyAlignment="1">
      <alignment horizontal="right" vertical="center"/>
    </xf>
    <xf numFmtId="49" fontId="12" fillId="0" borderId="35" xfId="35" applyNumberFormat="1" applyFont="1" applyFill="1" applyBorder="1" applyAlignment="1">
      <alignment horizontal="center" vertical="center"/>
    </xf>
    <xf numFmtId="4" fontId="41" fillId="0" borderId="21" xfId="35" applyNumberFormat="1" applyFont="1" applyFill="1" applyBorder="1" applyAlignment="1">
      <alignment vertical="center" wrapText="1"/>
    </xf>
    <xf numFmtId="170" fontId="43" fillId="0" borderId="35" xfId="35" applyNumberFormat="1" applyFont="1" applyFill="1" applyBorder="1" applyAlignment="1">
      <alignment vertical="center"/>
    </xf>
    <xf numFmtId="168" fontId="8" fillId="0" borderId="25" xfId="35" applyNumberFormat="1" applyFont="1" applyFill="1" applyBorder="1" applyAlignment="1">
      <alignment horizontal="right" vertical="center"/>
    </xf>
    <xf numFmtId="170" fontId="8" fillId="0" borderId="35" xfId="35" applyNumberFormat="1" applyFont="1" applyFill="1" applyBorder="1" applyAlignment="1">
      <alignment vertical="center"/>
    </xf>
    <xf numFmtId="168" fontId="8" fillId="0" borderId="1" xfId="35" applyNumberFormat="1" applyFont="1" applyFill="1" applyBorder="1" applyAlignment="1">
      <alignment horizontal="right" vertical="center"/>
    </xf>
    <xf numFmtId="164" fontId="7" fillId="0" borderId="0" xfId="10" applyNumberFormat="1"/>
    <xf numFmtId="49" fontId="12" fillId="0" borderId="27" xfId="35" applyNumberFormat="1" applyFont="1" applyFill="1" applyBorder="1" applyAlignment="1">
      <alignment horizontal="center" vertical="center"/>
    </xf>
    <xf numFmtId="4" fontId="41" fillId="0" borderId="49" xfId="35" applyNumberFormat="1" applyFont="1" applyFill="1" applyBorder="1" applyAlignment="1">
      <alignment vertical="center" wrapText="1"/>
    </xf>
    <xf numFmtId="170" fontId="43" fillId="0" borderId="27" xfId="35" applyNumberFormat="1" applyFont="1" applyFill="1" applyBorder="1" applyAlignment="1">
      <alignment vertical="center"/>
    </xf>
    <xf numFmtId="168" fontId="8" fillId="0" borderId="43" xfId="35" applyNumberFormat="1" applyFont="1" applyFill="1" applyBorder="1" applyAlignment="1">
      <alignment horizontal="right" vertical="center"/>
    </xf>
    <xf numFmtId="170" fontId="8" fillId="0" borderId="27" xfId="35" applyNumberFormat="1" applyFont="1" applyFill="1" applyBorder="1" applyAlignment="1">
      <alignment vertical="center"/>
    </xf>
    <xf numFmtId="168" fontId="8" fillId="0" borderId="50" xfId="35" applyNumberFormat="1" applyFont="1" applyFill="1" applyBorder="1" applyAlignment="1">
      <alignment horizontal="right" vertical="center"/>
    </xf>
    <xf numFmtId="49" fontId="2" fillId="0" borderId="45" xfId="35" applyNumberFormat="1" applyFont="1" applyFill="1" applyBorder="1" applyAlignment="1">
      <alignment horizontal="center" vertical="center"/>
    </xf>
    <xf numFmtId="4" fontId="2" fillId="0" borderId="51" xfId="35" applyNumberFormat="1" applyFont="1" applyFill="1" applyBorder="1" applyAlignment="1">
      <alignment vertical="center"/>
    </xf>
    <xf numFmtId="164" fontId="40" fillId="0" borderId="32" xfId="35" applyNumberFormat="1" applyFont="1" applyFill="1" applyBorder="1" applyAlignment="1">
      <alignment vertical="center"/>
    </xf>
    <xf numFmtId="168" fontId="40" fillId="0" borderId="52" xfId="35" applyNumberFormat="1" applyFont="1" applyFill="1" applyBorder="1" applyAlignment="1">
      <alignment vertical="center"/>
    </xf>
    <xf numFmtId="168" fontId="40" fillId="0" borderId="5" xfId="35" applyNumberFormat="1" applyFont="1" applyFill="1" applyBorder="1" applyAlignment="1">
      <alignment vertical="center"/>
    </xf>
    <xf numFmtId="0" fontId="7" fillId="3" borderId="33" xfId="35" applyNumberFormat="1" applyFont="1" applyFill="1" applyBorder="1" applyAlignment="1">
      <alignment horizontal="center" vertical="center"/>
    </xf>
    <xf numFmtId="0" fontId="7" fillId="0" borderId="16" xfId="35" applyNumberFormat="1" applyFont="1" applyFill="1" applyBorder="1" applyAlignment="1">
      <alignment horizontal="center" vertical="center"/>
    </xf>
    <xf numFmtId="4" fontId="7" fillId="0" borderId="55" xfId="35" applyNumberFormat="1" applyFont="1" applyFill="1" applyBorder="1" applyAlignment="1">
      <alignment vertical="center"/>
    </xf>
    <xf numFmtId="168" fontId="7" fillId="0" borderId="20" xfId="35" applyNumberFormat="1" applyFont="1" applyFill="1" applyBorder="1" applyAlignment="1">
      <alignment vertical="center"/>
    </xf>
    <xf numFmtId="168" fontId="45" fillId="0" borderId="52" xfId="35" applyNumberFormat="1" applyFont="1" applyFill="1" applyBorder="1" applyAlignment="1">
      <alignment vertical="center"/>
    </xf>
    <xf numFmtId="168" fontId="45" fillId="0" borderId="20" xfId="35" applyNumberFormat="1" applyFont="1" applyFill="1" applyBorder="1" applyAlignment="1">
      <alignment vertical="center"/>
    </xf>
    <xf numFmtId="168" fontId="45" fillId="0" borderId="47" xfId="35" applyNumberFormat="1" applyFont="1" applyFill="1" applyBorder="1" applyAlignment="1">
      <alignment vertical="center"/>
    </xf>
    <xf numFmtId="168" fontId="7" fillId="0" borderId="0" xfId="35" applyNumberFormat="1" applyFont="1" applyFill="1" applyBorder="1" applyAlignment="1">
      <alignment vertical="center"/>
    </xf>
    <xf numFmtId="168" fontId="45" fillId="0" borderId="0" xfId="35" applyNumberFormat="1" applyFont="1" applyFill="1" applyBorder="1" applyAlignment="1">
      <alignment vertical="center"/>
    </xf>
    <xf numFmtId="0" fontId="7" fillId="0" borderId="21" xfId="35" applyNumberFormat="1" applyFont="1" applyFill="1" applyBorder="1" applyAlignment="1">
      <alignment horizontal="center" vertical="center"/>
    </xf>
    <xf numFmtId="4" fontId="7" fillId="0" borderId="21" xfId="35" applyNumberFormat="1" applyFont="1" applyFill="1" applyBorder="1" applyAlignment="1">
      <alignment vertical="center"/>
    </xf>
    <xf numFmtId="168" fontId="7" fillId="0" borderId="35" xfId="35" applyNumberFormat="1" applyFont="1" applyFill="1" applyBorder="1" applyAlignment="1">
      <alignment vertical="center"/>
    </xf>
    <xf numFmtId="168" fontId="45" fillId="0" borderId="25" xfId="35" applyNumberFormat="1" applyFont="1" applyFill="1" applyBorder="1" applyAlignment="1">
      <alignment vertical="center"/>
    </xf>
    <xf numFmtId="168" fontId="45" fillId="0" borderId="35" xfId="35" applyNumberFormat="1" applyFont="1" applyFill="1" applyBorder="1" applyAlignment="1">
      <alignment vertical="center"/>
    </xf>
    <xf numFmtId="0" fontId="7" fillId="0" borderId="28" xfId="35" applyNumberFormat="1" applyFont="1" applyFill="1" applyBorder="1" applyAlignment="1">
      <alignment horizontal="center" vertical="center"/>
    </xf>
    <xf numFmtId="4" fontId="7" fillId="0" borderId="56" xfId="35" applyNumberFormat="1" applyFont="1" applyFill="1" applyBorder="1" applyAlignment="1">
      <alignment vertical="center" wrapText="1"/>
    </xf>
    <xf numFmtId="168" fontId="7" fillId="0" borderId="37" xfId="35" applyNumberFormat="1" applyFont="1" applyFill="1" applyBorder="1" applyAlignment="1">
      <alignment vertical="center"/>
    </xf>
    <xf numFmtId="168" fontId="45" fillId="0" borderId="31" xfId="35" applyNumberFormat="1" applyFont="1" applyFill="1" applyBorder="1" applyAlignment="1">
      <alignment vertical="center"/>
    </xf>
    <xf numFmtId="168" fontId="45" fillId="0" borderId="37" xfId="35" applyNumberFormat="1" applyFont="1" applyFill="1" applyBorder="1" applyAlignment="1">
      <alignment vertical="center"/>
    </xf>
    <xf numFmtId="0" fontId="7" fillId="0" borderId="51" xfId="35" applyNumberFormat="1" applyFont="1" applyFill="1" applyBorder="1" applyAlignment="1">
      <alignment horizontal="center" vertical="center"/>
    </xf>
    <xf numFmtId="4" fontId="44" fillId="0" borderId="57" xfId="35" applyNumberFormat="1" applyFont="1" applyFill="1" applyBorder="1" applyAlignment="1">
      <alignment vertical="center" wrapText="1"/>
    </xf>
    <xf numFmtId="168" fontId="7" fillId="0" borderId="15" xfId="35" applyNumberFormat="1" applyFont="1" applyFill="1" applyBorder="1" applyAlignment="1">
      <alignment horizontal="right" vertical="center"/>
    </xf>
    <xf numFmtId="168" fontId="45" fillId="0" borderId="15" xfId="35" applyNumberFormat="1" applyFont="1" applyFill="1" applyBorder="1" applyAlignment="1">
      <alignment vertical="center"/>
    </xf>
    <xf numFmtId="4" fontId="44" fillId="0" borderId="26" xfId="35" applyNumberFormat="1" applyFont="1" applyFill="1" applyBorder="1" applyAlignment="1">
      <alignment vertical="center" wrapText="1"/>
    </xf>
    <xf numFmtId="168" fontId="7" fillId="0" borderId="35" xfId="35" applyNumberFormat="1" applyFont="1" applyFill="1" applyBorder="1" applyAlignment="1">
      <alignment horizontal="right" vertical="center"/>
    </xf>
    <xf numFmtId="0" fontId="7" fillId="0" borderId="49" xfId="35" applyNumberFormat="1" applyFont="1" applyFill="1" applyBorder="1" applyAlignment="1">
      <alignment horizontal="center" vertical="center"/>
    </xf>
    <xf numFmtId="4" fontId="44" fillId="0" borderId="56" xfId="35" applyNumberFormat="1" applyFont="1" applyFill="1" applyBorder="1" applyAlignment="1">
      <alignment vertical="center"/>
    </xf>
    <xf numFmtId="168" fontId="44" fillId="0" borderId="27" xfId="35" applyNumberFormat="1" applyFont="1" applyFill="1" applyBorder="1" applyAlignment="1">
      <alignment horizontal="right" vertical="center"/>
    </xf>
    <xf numFmtId="168" fontId="46" fillId="0" borderId="43" xfId="35" applyNumberFormat="1" applyFont="1" applyFill="1" applyBorder="1" applyAlignment="1">
      <alignment vertical="center"/>
    </xf>
    <xf numFmtId="168" fontId="46" fillId="0" borderId="27" xfId="35" applyNumberFormat="1" applyFont="1" applyFill="1" applyBorder="1" applyAlignment="1">
      <alignment vertical="center"/>
    </xf>
    <xf numFmtId="0" fontId="44" fillId="0" borderId="51" xfId="35" applyNumberFormat="1" applyFont="1" applyFill="1" applyBorder="1" applyAlignment="1">
      <alignment horizontal="center" vertical="center"/>
    </xf>
    <xf numFmtId="2" fontId="7" fillId="0" borderId="0" xfId="10" applyNumberFormat="1"/>
    <xf numFmtId="0" fontId="44" fillId="0" borderId="21" xfId="35" applyNumberFormat="1" applyFont="1" applyFill="1" applyBorder="1" applyAlignment="1">
      <alignment horizontal="center" vertical="center"/>
    </xf>
    <xf numFmtId="0" fontId="44" fillId="0" borderId="49" xfId="35" applyNumberFormat="1" applyFont="1" applyFill="1" applyBorder="1" applyAlignment="1">
      <alignment horizontal="center" vertical="center"/>
    </xf>
    <xf numFmtId="4" fontId="44" fillId="0" borderId="56" xfId="35" applyNumberFormat="1" applyFont="1" applyFill="1" applyBorder="1" applyAlignment="1">
      <alignment vertical="center" wrapText="1"/>
    </xf>
    <xf numFmtId="168" fontId="7" fillId="0" borderId="27" xfId="35" applyNumberFormat="1" applyFont="1" applyFill="1" applyBorder="1" applyAlignment="1">
      <alignment horizontal="right" vertical="center"/>
    </xf>
    <xf numFmtId="4" fontId="2" fillId="0" borderId="0" xfId="35" applyNumberFormat="1" applyFont="1"/>
    <xf numFmtId="168" fontId="7" fillId="0" borderId="0" xfId="35" applyNumberFormat="1" applyFont="1" applyFill="1" applyBorder="1" applyAlignment="1">
      <alignment horizontal="right" vertical="center"/>
    </xf>
    <xf numFmtId="0" fontId="40" fillId="0" borderId="0" xfId="10" applyFont="1"/>
    <xf numFmtId="168" fontId="44" fillId="0" borderId="0" xfId="35" applyNumberFormat="1" applyFont="1" applyFill="1" applyBorder="1" applyAlignment="1">
      <alignment horizontal="right" vertical="center"/>
    </xf>
    <xf numFmtId="168" fontId="46" fillId="0" borderId="0" xfId="35" applyNumberFormat="1" applyFont="1" applyFill="1" applyBorder="1" applyAlignment="1">
      <alignment vertical="center"/>
    </xf>
    <xf numFmtId="0" fontId="8" fillId="0" borderId="0" xfId="10" applyFont="1" applyAlignment="1">
      <alignment horizontal="left" vertical="top" wrapText="1"/>
    </xf>
    <xf numFmtId="0" fontId="40" fillId="0" borderId="0" xfId="30" applyFont="1"/>
    <xf numFmtId="2" fontId="48" fillId="0" borderId="0" xfId="36" applyNumberFormat="1" applyFont="1"/>
    <xf numFmtId="0" fontId="26" fillId="0" borderId="0" xfId="37" applyFont="1" applyAlignment="1">
      <alignment vertical="center" wrapText="1"/>
    </xf>
    <xf numFmtId="0" fontId="40" fillId="0" borderId="0" xfId="38" applyFont="1" applyAlignment="1">
      <alignment horizontal="center" vertical="top" wrapText="1"/>
    </xf>
    <xf numFmtId="0" fontId="40" fillId="0" borderId="0" xfId="38" applyFont="1" applyAlignment="1">
      <alignment vertical="top" wrapText="1"/>
    </xf>
    <xf numFmtId="0" fontId="8" fillId="0" borderId="0" xfId="30" applyFont="1"/>
    <xf numFmtId="164" fontId="1" fillId="0" borderId="0" xfId="39" applyFont="1"/>
    <xf numFmtId="0" fontId="3" fillId="0" borderId="0" xfId="1" applyFont="1" applyFill="1"/>
    <xf numFmtId="167" fontId="50" fillId="0" borderId="0" xfId="1" applyNumberFormat="1" applyFont="1" applyFill="1"/>
    <xf numFmtId="0" fontId="3" fillId="0" borderId="0" xfId="40" applyFont="1" applyFill="1"/>
    <xf numFmtId="0" fontId="50" fillId="0" borderId="0" xfId="1" applyFont="1" applyFill="1"/>
    <xf numFmtId="0" fontId="3" fillId="0" borderId="0" xfId="42" applyFont="1" applyFill="1"/>
    <xf numFmtId="0" fontId="4" fillId="0" borderId="0" xfId="40" applyFont="1" applyFill="1" applyAlignment="1">
      <alignment wrapText="1"/>
    </xf>
    <xf numFmtId="172" fontId="4" fillId="0" borderId="0" xfId="40" applyNumberFormat="1" applyFont="1" applyFill="1" applyAlignment="1"/>
    <xf numFmtId="4" fontId="4" fillId="0" borderId="0" xfId="40" applyNumberFormat="1" applyFont="1" applyFill="1" applyAlignment="1"/>
    <xf numFmtId="3" fontId="4" fillId="0" borderId="0" xfId="40" applyNumberFormat="1" applyFont="1" applyFill="1" applyAlignment="1"/>
    <xf numFmtId="0" fontId="3" fillId="0" borderId="0" xfId="40" applyFont="1" applyFill="1" applyAlignment="1">
      <alignment wrapText="1"/>
    </xf>
    <xf numFmtId="172" fontId="3" fillId="0" borderId="0" xfId="40" applyNumberFormat="1" applyFont="1" applyFill="1" applyAlignment="1">
      <alignment horizontal="right"/>
    </xf>
    <xf numFmtId="4" fontId="3" fillId="0" borderId="0" xfId="40" applyNumberFormat="1" applyFont="1" applyFill="1" applyAlignment="1">
      <alignment horizontal="right"/>
    </xf>
    <xf numFmtId="3" fontId="3" fillId="0" borderId="0" xfId="40" applyNumberFormat="1" applyFont="1" applyFill="1" applyAlignment="1">
      <alignment horizontal="right"/>
    </xf>
    <xf numFmtId="0" fontId="51" fillId="0" borderId="0" xfId="40" applyFont="1" applyFill="1"/>
    <xf numFmtId="0" fontId="51" fillId="0" borderId="0" xfId="40" applyFont="1" applyFill="1" applyAlignment="1">
      <alignment wrapText="1"/>
    </xf>
    <xf numFmtId="172" fontId="51" fillId="0" borderId="0" xfId="40" applyNumberFormat="1" applyFont="1" applyFill="1" applyAlignment="1">
      <alignment horizontal="right"/>
    </xf>
    <xf numFmtId="4" fontId="51" fillId="0" borderId="0" xfId="40" applyNumberFormat="1" applyFont="1" applyFill="1" applyAlignment="1">
      <alignment horizontal="right"/>
    </xf>
    <xf numFmtId="3" fontId="51" fillId="0" borderId="0" xfId="40" applyNumberFormat="1" applyFont="1" applyFill="1" applyAlignment="1">
      <alignment horizontal="right"/>
    </xf>
    <xf numFmtId="0" fontId="52" fillId="0" borderId="0" xfId="43" applyFont="1" applyFill="1" applyAlignment="1">
      <alignment horizontal="left" wrapText="1"/>
    </xf>
    <xf numFmtId="169" fontId="52" fillId="0" borderId="0" xfId="23" applyFont="1" applyFill="1" applyAlignment="1">
      <alignment horizontal="right" wrapText="1"/>
    </xf>
    <xf numFmtId="0" fontId="53" fillId="0" borderId="0" xfId="43" applyFont="1" applyFill="1" applyAlignment="1">
      <alignment horizontal="left"/>
    </xf>
    <xf numFmtId="0" fontId="53" fillId="0" borderId="0" xfId="17" applyFont="1" applyFill="1"/>
    <xf numFmtId="169" fontId="53" fillId="0" borderId="0" xfId="23" applyFont="1" applyFill="1" applyAlignment="1">
      <alignment horizontal="right" wrapText="1"/>
    </xf>
    <xf numFmtId="4" fontId="53" fillId="0" borderId="0" xfId="43" applyNumberFormat="1" applyFont="1" applyFill="1" applyAlignment="1">
      <alignment horizontal="right" wrapText="1"/>
    </xf>
    <xf numFmtId="173" fontId="52" fillId="0" borderId="0" xfId="23" applyNumberFormat="1" applyFont="1" applyFill="1" applyAlignment="1">
      <alignment horizontal="right" wrapText="1"/>
    </xf>
    <xf numFmtId="0" fontId="52" fillId="0" borderId="0" xfId="17" applyFont="1" applyFill="1"/>
    <xf numFmtId="0" fontId="4" fillId="0" borderId="0" xfId="24" applyNumberFormat="1" applyFont="1" applyFill="1" applyBorder="1" applyAlignment="1">
      <alignment vertical="center"/>
    </xf>
    <xf numFmtId="0" fontId="53" fillId="0" borderId="0" xfId="40" applyFont="1" applyFill="1" applyBorder="1" applyAlignment="1"/>
    <xf numFmtId="0" fontId="53" fillId="0" borderId="0" xfId="34" applyFont="1" applyFill="1" applyBorder="1" applyAlignment="1"/>
    <xf numFmtId="173" fontId="4" fillId="0" borderId="0" xfId="45" applyNumberFormat="1" applyFont="1" applyFill="1" applyBorder="1" applyAlignment="1">
      <alignment horizontal="right"/>
    </xf>
    <xf numFmtId="171" fontId="53" fillId="0" borderId="0" xfId="45" applyNumberFormat="1" applyFont="1" applyFill="1" applyBorder="1"/>
    <xf numFmtId="0" fontId="52" fillId="0" borderId="0" xfId="24" applyNumberFormat="1" applyFont="1" applyFill="1" applyBorder="1" applyAlignment="1">
      <alignment vertical="center"/>
    </xf>
    <xf numFmtId="0" fontId="52" fillId="0" borderId="0" xfId="40" applyFont="1" applyFill="1" applyBorder="1" applyAlignment="1"/>
    <xf numFmtId="0" fontId="52" fillId="0" borderId="0" xfId="34" applyFont="1" applyFill="1" applyBorder="1" applyAlignment="1"/>
    <xf numFmtId="173" fontId="3" fillId="0" borderId="0" xfId="45" applyNumberFormat="1" applyFont="1" applyFill="1" applyBorder="1" applyAlignment="1">
      <alignment horizontal="right"/>
    </xf>
    <xf numFmtId="171" fontId="52" fillId="0" borderId="0" xfId="45" applyNumberFormat="1" applyFont="1" applyFill="1" applyBorder="1" applyAlignment="1">
      <alignment horizontal="right" vertical="center" wrapText="1"/>
    </xf>
    <xf numFmtId="171" fontId="52" fillId="0" borderId="0" xfId="45" applyNumberFormat="1" applyFont="1" applyFill="1" applyBorder="1"/>
    <xf numFmtId="171" fontId="3" fillId="0" borderId="0" xfId="45" applyNumberFormat="1" applyFont="1" applyFill="1" applyBorder="1" applyAlignment="1">
      <alignment horizontal="right"/>
    </xf>
    <xf numFmtId="0" fontId="54" fillId="0" borderId="0" xfId="44" applyFont="1" applyFill="1"/>
    <xf numFmtId="0" fontId="58" fillId="0" borderId="2" xfId="9" applyFont="1" applyFill="1" applyBorder="1" applyAlignment="1">
      <alignment wrapText="1"/>
    </xf>
    <xf numFmtId="0" fontId="58" fillId="0" borderId="3" xfId="9" applyFont="1" applyFill="1" applyBorder="1" applyAlignment="1">
      <alignment wrapText="1"/>
    </xf>
    <xf numFmtId="4" fontId="0" fillId="0" borderId="0" xfId="0" applyNumberFormat="1"/>
    <xf numFmtId="0" fontId="60" fillId="0" borderId="1" xfId="9" applyFont="1" applyFill="1" applyBorder="1" applyAlignment="1">
      <alignment horizontal="right" wrapText="1"/>
    </xf>
    <xf numFmtId="0" fontId="60" fillId="0" borderId="2" xfId="9" applyFont="1" applyFill="1" applyBorder="1" applyAlignment="1">
      <alignment horizontal="left" wrapText="1"/>
    </xf>
    <xf numFmtId="0" fontId="26" fillId="0" borderId="1" xfId="9" applyFont="1" applyFill="1" applyBorder="1" applyAlignment="1">
      <alignment horizontal="right" wrapText="1"/>
    </xf>
    <xf numFmtId="169" fontId="0" fillId="0" borderId="0" xfId="0" applyNumberFormat="1"/>
    <xf numFmtId="0" fontId="26" fillId="0" borderId="2" xfId="9" applyFont="1" applyFill="1" applyBorder="1" applyAlignment="1">
      <alignment horizontal="right" wrapText="1"/>
    </xf>
    <xf numFmtId="0" fontId="60" fillId="0" borderId="3" xfId="9" applyFont="1" applyFill="1" applyBorder="1" applyAlignment="1">
      <alignment horizontal="left" wrapText="1"/>
    </xf>
    <xf numFmtId="173" fontId="0" fillId="0" borderId="0" xfId="0" applyNumberFormat="1"/>
    <xf numFmtId="0" fontId="57" fillId="0" borderId="4" xfId="17" applyFont="1" applyFill="1" applyBorder="1"/>
    <xf numFmtId="164" fontId="54" fillId="0" borderId="0" xfId="39" applyFont="1" applyFill="1"/>
    <xf numFmtId="0" fontId="56" fillId="0" borderId="0" xfId="17" applyFont="1" applyFill="1"/>
    <xf numFmtId="0" fontId="2" fillId="0" borderId="0" xfId="50" applyFill="1"/>
    <xf numFmtId="0" fontId="2" fillId="0" borderId="0" xfId="50" applyFill="1" applyAlignment="1">
      <alignment wrapText="1"/>
    </xf>
    <xf numFmtId="4" fontId="55" fillId="0" borderId="0" xfId="50" applyNumberFormat="1" applyFont="1" applyFill="1"/>
    <xf numFmtId="0" fontId="57" fillId="0" borderId="4" xfId="9" applyFont="1" applyFill="1" applyBorder="1"/>
    <xf numFmtId="170" fontId="40" fillId="0" borderId="13" xfId="35" applyNumberFormat="1" applyFont="1" applyFill="1" applyBorder="1" applyAlignment="1">
      <alignment vertical="center"/>
    </xf>
    <xf numFmtId="168" fontId="40" fillId="0" borderId="13" xfId="35" applyNumberFormat="1" applyFont="1" applyFill="1" applyBorder="1" applyAlignment="1">
      <alignment vertical="center"/>
    </xf>
    <xf numFmtId="3" fontId="40" fillId="3" borderId="13" xfId="35" applyNumberFormat="1" applyFont="1" applyFill="1" applyBorder="1" applyAlignment="1">
      <alignment vertical="center"/>
    </xf>
    <xf numFmtId="168" fontId="40" fillId="3" borderId="13" xfId="35" applyNumberFormat="1" applyFont="1" applyFill="1" applyBorder="1" applyAlignment="1">
      <alignment vertical="center"/>
    </xf>
    <xf numFmtId="171" fontId="40" fillId="0" borderId="13" xfId="35" applyNumberFormat="1" applyFont="1" applyFill="1" applyBorder="1" applyAlignment="1">
      <alignment vertical="center"/>
    </xf>
    <xf numFmtId="170" fontId="40" fillId="0" borderId="13" xfId="35" applyNumberFormat="1" applyFont="1" applyFill="1" applyBorder="1" applyAlignment="1">
      <alignment horizontal="center" vertical="center"/>
    </xf>
    <xf numFmtId="170" fontId="8" fillId="0" borderId="13" xfId="35" applyNumberFormat="1" applyFont="1" applyFill="1" applyBorder="1" applyAlignment="1">
      <alignment vertical="center"/>
    </xf>
    <xf numFmtId="168" fontId="8" fillId="0" borderId="13" xfId="35" applyNumberFormat="1" applyFont="1" applyFill="1" applyBorder="1" applyAlignment="1">
      <alignment horizontal="right" vertical="center"/>
    </xf>
    <xf numFmtId="164" fontId="7" fillId="0" borderId="13" xfId="10" applyNumberFormat="1" applyBorder="1"/>
    <xf numFmtId="0" fontId="7" fillId="0" borderId="13" xfId="10" applyBorder="1"/>
    <xf numFmtId="0" fontId="37" fillId="0" borderId="0" xfId="33" applyFont="1" applyAlignment="1">
      <alignment horizontal="right"/>
    </xf>
    <xf numFmtId="0" fontId="13" fillId="0" borderId="0" xfId="35" applyFont="1" applyAlignment="1">
      <alignment horizontal="center" vertical="center"/>
    </xf>
    <xf numFmtId="0" fontId="3" fillId="0" borderId="4" xfId="1" applyFont="1" applyBorder="1" applyAlignment="1">
      <alignment horizontal="left" wrapText="1"/>
    </xf>
    <xf numFmtId="0" fontId="3" fillId="0" borderId="5" xfId="1" applyFont="1" applyBorder="1" applyAlignment="1">
      <alignment horizontal="center"/>
    </xf>
    <xf numFmtId="0" fontId="3" fillId="0" borderId="0" xfId="1" applyFont="1" applyAlignment="1">
      <alignment horizontal="left" wrapText="1"/>
    </xf>
    <xf numFmtId="0" fontId="3" fillId="0" borderId="1" xfId="1" applyFont="1" applyBorder="1" applyAlignment="1">
      <alignment horizontal="center"/>
    </xf>
    <xf numFmtId="14" fontId="3" fillId="0" borderId="1" xfId="1" applyNumberFormat="1" applyFont="1" applyBorder="1" applyAlignment="1">
      <alignment horizontal="center"/>
    </xf>
    <xf numFmtId="0" fontId="3" fillId="0" borderId="0" xfId="1" applyFont="1" applyAlignment="1">
      <alignment horizontal="right"/>
    </xf>
    <xf numFmtId="0" fontId="2" fillId="0" borderId="11" xfId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2" fillId="0" borderId="0" xfId="1" quotePrefix="1" applyFont="1" applyBorder="1" applyAlignment="1">
      <alignment horizontal="center"/>
    </xf>
    <xf numFmtId="49" fontId="2" fillId="0" borderId="0" xfId="1" applyNumberFormat="1" applyFont="1" applyBorder="1" applyAlignment="1">
      <alignment horizontal="center"/>
    </xf>
    <xf numFmtId="14" fontId="2" fillId="0" borderId="0" xfId="1" applyNumberFormat="1" applyFont="1" applyBorder="1" applyAlignment="1">
      <alignment horizontal="center"/>
    </xf>
    <xf numFmtId="0" fontId="2" fillId="0" borderId="0" xfId="31" applyFont="1" applyBorder="1" applyAlignment="1">
      <alignment horizontal="center" vertical="center" wrapText="1"/>
    </xf>
    <xf numFmtId="0" fontId="38" fillId="0" borderId="0" xfId="31" applyFont="1" applyBorder="1" applyAlignment="1">
      <alignment horizontal="center" vertical="center" wrapText="1"/>
    </xf>
    <xf numFmtId="14" fontId="38" fillId="0" borderId="0" xfId="7" applyNumberFormat="1" applyFont="1" applyFill="1" applyBorder="1" applyAlignment="1">
      <alignment horizontal="center"/>
    </xf>
    <xf numFmtId="0" fontId="40" fillId="0" borderId="0" xfId="35" applyFont="1" applyBorder="1" applyAlignment="1">
      <alignment horizontal="center" vertical="center"/>
    </xf>
    <xf numFmtId="0" fontId="40" fillId="0" borderId="0" xfId="35" applyFont="1" applyBorder="1" applyAlignment="1">
      <alignment horizontal="center" vertical="center" wrapText="1"/>
    </xf>
    <xf numFmtId="4" fontId="40" fillId="0" borderId="0" xfId="35" applyNumberFormat="1" applyFont="1" applyBorder="1" applyAlignment="1">
      <alignment horizontal="center" vertical="center" wrapText="1"/>
    </xf>
    <xf numFmtId="3" fontId="2" fillId="0" borderId="0" xfId="35" applyNumberFormat="1" applyFont="1" applyBorder="1" applyAlignment="1">
      <alignment horizontal="center" vertical="center"/>
    </xf>
    <xf numFmtId="0" fontId="7" fillId="3" borderId="13" xfId="10" applyFill="1" applyBorder="1" applyAlignment="1">
      <alignment vertical="center"/>
    </xf>
    <xf numFmtId="3" fontId="2" fillId="0" borderId="0" xfId="35" applyNumberFormat="1" applyFont="1" applyBorder="1" applyAlignment="1">
      <alignment horizontal="left" vertical="center"/>
    </xf>
    <xf numFmtId="0" fontId="5" fillId="0" borderId="0" xfId="51" applyFont="1"/>
    <xf numFmtId="0" fontId="63" fillId="0" borderId="0" xfId="51"/>
    <xf numFmtId="0" fontId="3" fillId="0" borderId="0" xfId="51" applyFont="1"/>
    <xf numFmtId="0" fontId="4" fillId="0" borderId="0" xfId="51" applyFont="1"/>
    <xf numFmtId="0" fontId="3" fillId="0" borderId="0" xfId="51" applyFont="1" applyAlignment="1">
      <alignment horizontal="right"/>
    </xf>
    <xf numFmtId="0" fontId="3" fillId="0" borderId="58" xfId="51" applyFont="1" applyBorder="1" applyAlignment="1"/>
    <xf numFmtId="0" fontId="3" fillId="0" borderId="0" xfId="51" applyFont="1" applyBorder="1" applyAlignment="1"/>
    <xf numFmtId="0" fontId="3" fillId="0" borderId="10" xfId="51" applyFont="1" applyBorder="1" applyAlignment="1"/>
    <xf numFmtId="0" fontId="3" fillId="0" borderId="8" xfId="51" applyFont="1" applyBorder="1" applyAlignment="1"/>
    <xf numFmtId="0" fontId="3" fillId="0" borderId="4" xfId="51" applyFont="1" applyBorder="1" applyAlignment="1"/>
    <xf numFmtId="0" fontId="3" fillId="0" borderId="9" xfId="51" applyFont="1" applyBorder="1" applyAlignment="1"/>
    <xf numFmtId="0" fontId="3" fillId="0" borderId="4" xfId="51" applyFont="1" applyBorder="1" applyAlignment="1">
      <alignment horizontal="left" wrapText="1"/>
    </xf>
    <xf numFmtId="0" fontId="3" fillId="0" borderId="0" xfId="51" applyFont="1" applyBorder="1" applyAlignment="1">
      <alignment horizontal="left" wrapText="1"/>
    </xf>
    <xf numFmtId="0" fontId="3" fillId="0" borderId="5" xfId="51" applyFont="1" applyBorder="1" applyAlignment="1">
      <alignment horizontal="center"/>
    </xf>
    <xf numFmtId="0" fontId="3" fillId="0" borderId="1" xfId="51" applyFont="1" applyBorder="1" applyAlignment="1">
      <alignment horizontal="center"/>
    </xf>
    <xf numFmtId="0" fontId="2" fillId="0" borderId="5" xfId="51" applyFont="1" applyBorder="1" applyAlignment="1">
      <alignment horizontal="center" vertical="center" wrapText="1"/>
    </xf>
    <xf numFmtId="0" fontId="2" fillId="0" borderId="11" xfId="51" applyFont="1" applyBorder="1" applyAlignment="1">
      <alignment horizontal="center" vertical="center" wrapText="1"/>
    </xf>
    <xf numFmtId="14" fontId="3" fillId="0" borderId="1" xfId="51" applyNumberFormat="1" applyFont="1" applyBorder="1" applyAlignment="1">
      <alignment horizontal="center"/>
    </xf>
    <xf numFmtId="14" fontId="3" fillId="0" borderId="13" xfId="51" applyNumberFormat="1" applyFont="1" applyBorder="1" applyAlignment="1">
      <alignment horizontal="center"/>
    </xf>
    <xf numFmtId="0" fontId="3" fillId="0" borderId="13" xfId="51" applyFont="1" applyBorder="1" applyAlignment="1">
      <alignment horizontal="center" vertical="center" wrapText="1"/>
    </xf>
    <xf numFmtId="0" fontId="13" fillId="0" borderId="0" xfId="51" applyFont="1" applyAlignment="1">
      <alignment horizontal="center" wrapText="1"/>
    </xf>
    <xf numFmtId="0" fontId="3" fillId="0" borderId="0" xfId="51" applyFont="1" applyAlignment="1">
      <alignment horizontal="left" vertical="top"/>
    </xf>
    <xf numFmtId="0" fontId="3" fillId="0" borderId="0" xfId="51" applyFont="1" applyAlignment="1">
      <alignment horizontal="left" vertical="top" wrapText="1"/>
    </xf>
    <xf numFmtId="0" fontId="11" fillId="0" borderId="0" xfId="51" applyFont="1" applyAlignment="1">
      <alignment horizontal="right" wrapText="1"/>
    </xf>
    <xf numFmtId="166" fontId="3" fillId="0" borderId="0" xfId="51" applyNumberFormat="1" applyFont="1" applyAlignment="1">
      <alignment horizontal="right"/>
    </xf>
    <xf numFmtId="0" fontId="3" fillId="0" borderId="0" xfId="51" applyFont="1" applyAlignment="1">
      <alignment horizontal="right" wrapText="1"/>
    </xf>
    <xf numFmtId="165" fontId="3" fillId="0" borderId="0" xfId="51" applyNumberFormat="1" applyFont="1" applyAlignment="1">
      <alignment horizontal="right"/>
    </xf>
    <xf numFmtId="165" fontId="11" fillId="0" borderId="0" xfId="51" applyNumberFormat="1" applyFont="1" applyAlignment="1">
      <alignment horizontal="right"/>
    </xf>
    <xf numFmtId="165" fontId="63" fillId="0" borderId="0" xfId="51" applyNumberFormat="1"/>
    <xf numFmtId="0" fontId="11" fillId="0" borderId="0" xfId="51" applyFont="1" applyAlignment="1">
      <alignment horizontal="left" vertical="top"/>
    </xf>
    <xf numFmtId="0" fontId="11" fillId="0" borderId="0" xfId="51" applyFont="1" applyAlignment="1">
      <alignment horizontal="left" vertical="top" wrapText="1"/>
    </xf>
    <xf numFmtId="0" fontId="11" fillId="0" borderId="0" xfId="51" applyFont="1" applyAlignment="1">
      <alignment horizontal="right"/>
    </xf>
    <xf numFmtId="166" fontId="11" fillId="0" borderId="0" xfId="51" applyNumberFormat="1" applyFont="1" applyAlignment="1">
      <alignment horizontal="right"/>
    </xf>
    <xf numFmtId="0" fontId="11" fillId="0" borderId="0" xfId="51" applyFont="1" applyAlignment="1">
      <alignment horizontal="right" shrinkToFit="1"/>
    </xf>
    <xf numFmtId="0" fontId="4" fillId="0" borderId="6" xfId="51" applyFont="1" applyBorder="1" applyAlignment="1">
      <alignment horizontal="left" vertical="top"/>
    </xf>
    <xf numFmtId="0" fontId="4" fillId="0" borderId="6" xfId="51" applyFont="1" applyBorder="1" applyAlignment="1">
      <alignment horizontal="left" vertical="top" wrapText="1"/>
    </xf>
    <xf numFmtId="0" fontId="9" fillId="0" borderId="6" xfId="51" applyFont="1" applyBorder="1" applyAlignment="1">
      <alignment horizontal="right" wrapText="1"/>
    </xf>
    <xf numFmtId="0" fontId="4" fillId="0" borderId="6" xfId="51" applyFont="1" applyBorder="1" applyAlignment="1">
      <alignment horizontal="right"/>
    </xf>
    <xf numFmtId="166" fontId="4" fillId="0" borderId="6" xfId="51" applyNumberFormat="1" applyFont="1" applyBorder="1" applyAlignment="1">
      <alignment horizontal="right"/>
    </xf>
    <xf numFmtId="0" fontId="4" fillId="0" borderId="6" xfId="51" applyFont="1" applyBorder="1" applyAlignment="1">
      <alignment horizontal="right" wrapText="1"/>
    </xf>
    <xf numFmtId="0" fontId="63" fillId="0" borderId="6" xfId="51" applyBorder="1"/>
    <xf numFmtId="0" fontId="4" fillId="0" borderId="0" xfId="51" applyFont="1" applyAlignment="1">
      <alignment horizontal="left" wrapText="1"/>
    </xf>
    <xf numFmtId="0" fontId="3" fillId="0" borderId="0" xfId="51" applyFont="1" applyAlignment="1">
      <alignment wrapText="1"/>
    </xf>
    <xf numFmtId="0" fontId="61" fillId="0" borderId="0" xfId="1" applyFont="1" applyFill="1"/>
    <xf numFmtId="167" fontId="65" fillId="0" borderId="0" xfId="1" applyNumberFormat="1" applyFont="1" applyFill="1"/>
    <xf numFmtId="164" fontId="2" fillId="0" borderId="0" xfId="39" applyFont="1" applyFill="1"/>
    <xf numFmtId="0" fontId="2" fillId="0" borderId="0" xfId="1" applyFill="1"/>
    <xf numFmtId="0" fontId="65" fillId="0" borderId="0" xfId="1" applyFont="1" applyFill="1"/>
    <xf numFmtId="0" fontId="2" fillId="0" borderId="0" xfId="41" applyFont="1" applyFill="1"/>
    <xf numFmtId="164" fontId="55" fillId="0" borderId="0" xfId="39" applyFont="1" applyFill="1"/>
    <xf numFmtId="0" fontId="2" fillId="0" borderId="0" xfId="42" applyFill="1"/>
    <xf numFmtId="0" fontId="66" fillId="0" borderId="0" xfId="41" applyFont="1" applyFill="1"/>
    <xf numFmtId="0" fontId="67" fillId="0" borderId="0" xfId="43" applyFont="1" applyFill="1" applyAlignment="1">
      <alignment horizontal="left" wrapText="1"/>
    </xf>
    <xf numFmtId="169" fontId="67" fillId="0" borderId="0" xfId="23" applyFont="1" applyFill="1" applyAlignment="1">
      <alignment horizontal="right" wrapText="1"/>
    </xf>
    <xf numFmtId="0" fontId="68" fillId="0" borderId="0" xfId="43" applyFont="1" applyFill="1" applyAlignment="1">
      <alignment horizontal="left"/>
    </xf>
    <xf numFmtId="0" fontId="68" fillId="0" borderId="0" xfId="17" applyFont="1" applyFill="1"/>
    <xf numFmtId="169" fontId="68" fillId="0" borderId="0" xfId="23" applyFont="1" applyFill="1" applyAlignment="1">
      <alignment horizontal="right" wrapText="1"/>
    </xf>
    <xf numFmtId="4" fontId="68" fillId="0" borderId="0" xfId="43" applyNumberFormat="1" applyFont="1" applyFill="1" applyAlignment="1">
      <alignment horizontal="right" wrapText="1"/>
    </xf>
    <xf numFmtId="0" fontId="61" fillId="0" borderId="0" xfId="40" applyFont="1" applyFill="1" applyAlignment="1">
      <alignment wrapText="1"/>
    </xf>
    <xf numFmtId="173" fontId="67" fillId="0" borderId="0" xfId="23" applyNumberFormat="1" applyFont="1" applyFill="1" applyAlignment="1">
      <alignment horizontal="right" wrapText="1"/>
    </xf>
    <xf numFmtId="0" fontId="67" fillId="0" borderId="0" xfId="17" applyFont="1" applyFill="1"/>
    <xf numFmtId="0" fontId="59" fillId="0" borderId="0" xfId="24" applyNumberFormat="1" applyFont="1" applyFill="1" applyBorder="1" applyAlignment="1">
      <alignment vertical="center"/>
    </xf>
    <xf numFmtId="0" fontId="68" fillId="0" borderId="0" xfId="40" applyFont="1" applyFill="1" applyBorder="1" applyAlignment="1"/>
    <xf numFmtId="0" fontId="68" fillId="0" borderId="0" xfId="34" applyFont="1" applyFill="1" applyBorder="1" applyAlignment="1"/>
    <xf numFmtId="173" fontId="59" fillId="0" borderId="0" xfId="45" applyNumberFormat="1" applyFont="1" applyFill="1" applyBorder="1" applyAlignment="1">
      <alignment horizontal="right"/>
    </xf>
    <xf numFmtId="171" fontId="68" fillId="0" borderId="0" xfId="45" applyNumberFormat="1" applyFont="1" applyFill="1" applyBorder="1"/>
    <xf numFmtId="0" fontId="67" fillId="0" borderId="0" xfId="24" applyNumberFormat="1" applyFont="1" applyFill="1" applyBorder="1" applyAlignment="1">
      <alignment vertical="center"/>
    </xf>
    <xf numFmtId="0" fontId="67" fillId="0" borderId="0" xfId="40" applyFont="1" applyFill="1" applyBorder="1" applyAlignment="1"/>
    <xf numFmtId="0" fontId="67" fillId="0" borderId="0" xfId="34" applyFont="1" applyFill="1" applyBorder="1" applyAlignment="1"/>
    <xf numFmtId="173" fontId="61" fillId="0" borderId="0" xfId="45" applyNumberFormat="1" applyFont="1" applyFill="1" applyBorder="1" applyAlignment="1">
      <alignment horizontal="right"/>
    </xf>
    <xf numFmtId="171" fontId="67" fillId="0" borderId="0" xfId="45" applyNumberFormat="1" applyFont="1" applyFill="1" applyBorder="1" applyAlignment="1">
      <alignment horizontal="right" vertical="center" wrapText="1"/>
    </xf>
    <xf numFmtId="171" fontId="67" fillId="0" borderId="0" xfId="45" applyNumberFormat="1" applyFont="1" applyFill="1" applyBorder="1"/>
    <xf numFmtId="171" fontId="61" fillId="0" borderId="0" xfId="45" applyNumberFormat="1" applyFont="1" applyFill="1" applyBorder="1" applyAlignment="1">
      <alignment horizontal="right"/>
    </xf>
    <xf numFmtId="0" fontId="3" fillId="0" borderId="0" xfId="51" quotePrefix="1" applyFont="1" applyAlignment="1">
      <alignment horizontal="right" wrapText="1"/>
    </xf>
    <xf numFmtId="0" fontId="6" fillId="0" borderId="0" xfId="51" applyFont="1" applyAlignment="1">
      <alignment horizontal="center"/>
    </xf>
    <xf numFmtId="0" fontId="3" fillId="0" borderId="0" xfId="51" applyFont="1" applyFill="1" applyAlignment="1">
      <alignment horizontal="left" vertical="top"/>
    </xf>
    <xf numFmtId="0" fontId="2" fillId="0" borderId="0" xfId="40"/>
    <xf numFmtId="0" fontId="2" fillId="0" borderId="0" xfId="51" applyFont="1" applyAlignment="1">
      <alignment wrapText="1"/>
    </xf>
    <xf numFmtId="0" fontId="54" fillId="0" borderId="0" xfId="1" applyFont="1" applyFill="1"/>
    <xf numFmtId="167" fontId="70" fillId="0" borderId="0" xfId="1" applyNumberFormat="1" applyFont="1" applyFill="1"/>
    <xf numFmtId="0" fontId="2" fillId="0" borderId="0" xfId="40" applyFont="1" applyFill="1"/>
    <xf numFmtId="0" fontId="70" fillId="0" borderId="0" xfId="1" applyFont="1" applyFill="1"/>
    <xf numFmtId="0" fontId="66" fillId="0" borderId="0" xfId="40" applyFont="1" applyFill="1"/>
    <xf numFmtId="0" fontId="63" fillId="0" borderId="4" xfId="51" applyBorder="1"/>
    <xf numFmtId="166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/>
    </xf>
    <xf numFmtId="165" fontId="3" fillId="0" borderId="4" xfId="0" applyNumberFormat="1" applyFont="1" applyBorder="1" applyAlignment="1">
      <alignment horizontal="right"/>
    </xf>
    <xf numFmtId="165" fontId="3" fillId="0" borderId="4" xfId="0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right" wrapText="1"/>
    </xf>
    <xf numFmtId="0" fontId="3" fillId="0" borderId="4" xfId="0" applyFont="1" applyFill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4" fillId="0" borderId="0" xfId="9" applyFont="1" applyAlignment="1"/>
    <xf numFmtId="0" fontId="4" fillId="0" borderId="0" xfId="9" applyFont="1" applyAlignment="1">
      <alignment vertical="center" wrapText="1"/>
    </xf>
    <xf numFmtId="164" fontId="40" fillId="0" borderId="40" xfId="35" applyNumberFormat="1" applyFont="1" applyFill="1" applyBorder="1" applyAlignment="1">
      <alignment vertical="center"/>
    </xf>
    <xf numFmtId="0" fontId="63" fillId="0" borderId="0" xfId="51" applyFill="1"/>
    <xf numFmtId="0" fontId="3" fillId="0" borderId="0" xfId="51" applyFont="1" applyFill="1"/>
    <xf numFmtId="14" fontId="3" fillId="0" borderId="1" xfId="51" applyNumberFormat="1" applyFont="1" applyFill="1" applyBorder="1" applyAlignment="1">
      <alignment horizontal="center"/>
    </xf>
    <xf numFmtId="0" fontId="3" fillId="0" borderId="13" xfId="51" applyFont="1" applyFill="1" applyBorder="1" applyAlignment="1">
      <alignment horizontal="center" vertical="center" wrapText="1"/>
    </xf>
    <xf numFmtId="0" fontId="2" fillId="0" borderId="2" xfId="1" applyFill="1" applyBorder="1"/>
    <xf numFmtId="0" fontId="3" fillId="0" borderId="0" xfId="51" applyFont="1" applyFill="1" applyAlignment="1">
      <alignment horizontal="right" wrapText="1"/>
    </xf>
    <xf numFmtId="0" fontId="11" fillId="0" borderId="0" xfId="51" applyFont="1" applyFill="1" applyAlignment="1">
      <alignment horizontal="right" wrapText="1"/>
    </xf>
    <xf numFmtId="0" fontId="11" fillId="0" borderId="0" xfId="51" applyFont="1" applyFill="1" applyAlignment="1">
      <alignment horizontal="right" shrinkToFit="1"/>
    </xf>
    <xf numFmtId="0" fontId="4" fillId="0" borderId="6" xfId="51" applyFont="1" applyFill="1" applyBorder="1" applyAlignment="1">
      <alignment horizontal="right" wrapText="1"/>
    </xf>
    <xf numFmtId="0" fontId="63" fillId="0" borderId="6" xfId="51" applyFill="1" applyBorder="1"/>
    <xf numFmtId="0" fontId="3" fillId="0" borderId="0" xfId="51" quotePrefix="1" applyFont="1" applyFill="1" applyAlignment="1">
      <alignment horizontal="right" wrapText="1"/>
    </xf>
    <xf numFmtId="0" fontId="3" fillId="0" borderId="0" xfId="51" applyFont="1" applyFill="1" applyAlignment="1">
      <alignment wrapText="1"/>
    </xf>
    <xf numFmtId="0" fontId="11" fillId="0" borderId="0" xfId="51" applyFont="1" applyFill="1" applyAlignment="1">
      <alignment horizontal="right"/>
    </xf>
    <xf numFmtId="165" fontId="11" fillId="0" borderId="0" xfId="51" applyNumberFormat="1" applyFont="1" applyFill="1" applyAlignment="1">
      <alignment horizontal="right"/>
    </xf>
    <xf numFmtId="0" fontId="3" fillId="0" borderId="0" xfId="51" applyFont="1" applyFill="1" applyAlignment="1">
      <alignment horizontal="right"/>
    </xf>
    <xf numFmtId="165" fontId="3" fillId="0" borderId="0" xfId="51" applyNumberFormat="1" applyFont="1" applyFill="1" applyAlignment="1">
      <alignment horizontal="right"/>
    </xf>
    <xf numFmtId="0" fontId="2" fillId="0" borderId="5" xfId="51" applyFont="1" applyFill="1" applyBorder="1" applyAlignment="1">
      <alignment horizontal="center" vertical="center" wrapText="1"/>
    </xf>
    <xf numFmtId="49" fontId="25" fillId="0" borderId="13" xfId="20" applyNumberFormat="1" applyFont="1" applyFill="1" applyBorder="1" applyAlignment="1">
      <alignment horizontal="center" vertical="center" wrapText="1"/>
    </xf>
    <xf numFmtId="49" fontId="26" fillId="0" borderId="13" xfId="1" applyNumberFormat="1" applyFont="1" applyFill="1" applyBorder="1" applyAlignment="1">
      <alignment horizontal="center" vertical="center"/>
    </xf>
    <xf numFmtId="4" fontId="26" fillId="0" borderId="13" xfId="1" applyNumberFormat="1" applyFont="1" applyFill="1" applyBorder="1" applyAlignment="1">
      <alignment horizontal="center" vertical="center" wrapText="1"/>
    </xf>
    <xf numFmtId="4" fontId="25" fillId="0" borderId="13" xfId="21" applyNumberFormat="1" applyFont="1" applyFill="1" applyBorder="1" applyAlignment="1">
      <alignment horizontal="center" vertical="center" wrapText="1"/>
    </xf>
    <xf numFmtId="4" fontId="25" fillId="0" borderId="13" xfId="22" applyNumberFormat="1" applyFont="1" applyFill="1" applyBorder="1" applyAlignment="1">
      <alignment horizontal="center" vertical="center" wrapText="1"/>
    </xf>
    <xf numFmtId="4" fontId="25" fillId="0" borderId="13" xfId="23" applyNumberFormat="1" applyFont="1" applyFill="1" applyBorder="1" applyAlignment="1">
      <alignment horizontal="center" vertical="center" wrapText="1"/>
    </xf>
    <xf numFmtId="4" fontId="23" fillId="0" borderId="13" xfId="21" applyNumberFormat="1" applyFont="1" applyFill="1" applyBorder="1" applyAlignment="1">
      <alignment horizontal="center" vertical="center" wrapText="1"/>
    </xf>
    <xf numFmtId="167" fontId="25" fillId="0" borderId="13" xfId="24" applyNumberFormat="1" applyFont="1" applyFill="1" applyBorder="1" applyAlignment="1">
      <alignment horizontal="center" vertical="center" wrapText="1"/>
    </xf>
    <xf numFmtId="4" fontId="19" fillId="0" borderId="0" xfId="1" applyNumberFormat="1" applyFont="1" applyFill="1" applyAlignment="1">
      <alignment vertical="center"/>
    </xf>
    <xf numFmtId="0" fontId="19" fillId="0" borderId="0" xfId="1" applyFont="1" applyFill="1" applyAlignment="1">
      <alignment vertical="center"/>
    </xf>
    <xf numFmtId="0" fontId="5" fillId="0" borderId="0" xfId="51" applyFont="1" applyFill="1"/>
    <xf numFmtId="0" fontId="4" fillId="0" borderId="0" xfId="51" applyFont="1" applyFill="1"/>
    <xf numFmtId="0" fontId="3" fillId="0" borderId="4" xfId="51" applyFont="1" applyFill="1" applyBorder="1" applyAlignment="1">
      <alignment horizontal="left" wrapText="1"/>
    </xf>
    <xf numFmtId="0" fontId="3" fillId="0" borderId="0" xfId="51" applyFont="1" applyFill="1" applyBorder="1" applyAlignment="1">
      <alignment horizontal="left" wrapText="1"/>
    </xf>
    <xf numFmtId="0" fontId="3" fillId="0" borderId="5" xfId="51" applyFont="1" applyFill="1" applyBorder="1" applyAlignment="1">
      <alignment horizontal="center"/>
    </xf>
    <xf numFmtId="0" fontId="3" fillId="0" borderId="1" xfId="51" applyFont="1" applyFill="1" applyBorder="1" applyAlignment="1">
      <alignment horizontal="center"/>
    </xf>
    <xf numFmtId="0" fontId="2" fillId="0" borderId="11" xfId="51" applyFont="1" applyFill="1" applyBorder="1" applyAlignment="1">
      <alignment horizontal="center" vertical="center" wrapText="1"/>
    </xf>
    <xf numFmtId="14" fontId="3" fillId="0" borderId="13" xfId="51" applyNumberFormat="1" applyFont="1" applyFill="1" applyBorder="1" applyAlignment="1">
      <alignment horizontal="center"/>
    </xf>
    <xf numFmtId="0" fontId="2" fillId="0" borderId="0" xfId="51" applyFont="1" applyFill="1"/>
    <xf numFmtId="0" fontId="9" fillId="0" borderId="2" xfId="1" applyFont="1" applyFill="1" applyBorder="1"/>
    <xf numFmtId="0" fontId="13" fillId="0" borderId="0" xfId="51" applyFont="1" applyFill="1" applyAlignment="1">
      <alignment horizontal="center" wrapText="1"/>
    </xf>
    <xf numFmtId="0" fontId="3" fillId="0" borderId="0" xfId="51" applyFont="1" applyFill="1" applyAlignment="1">
      <alignment horizontal="left" vertical="top" wrapText="1"/>
    </xf>
    <xf numFmtId="166" fontId="3" fillId="0" borderId="0" xfId="51" applyNumberFormat="1" applyFont="1" applyFill="1" applyAlignment="1">
      <alignment horizontal="right"/>
    </xf>
    <xf numFmtId="165" fontId="63" fillId="0" borderId="0" xfId="51" applyNumberFormat="1" applyFill="1"/>
    <xf numFmtId="0" fontId="11" fillId="0" borderId="0" xfId="51" applyFont="1" applyFill="1" applyAlignment="1">
      <alignment horizontal="left" vertical="top"/>
    </xf>
    <xf numFmtId="0" fontId="11" fillId="0" borderId="0" xfId="51" applyFont="1" applyFill="1" applyAlignment="1">
      <alignment horizontal="left" vertical="top" wrapText="1"/>
    </xf>
    <xf numFmtId="166" fontId="11" fillId="0" borderId="0" xfId="51" applyNumberFormat="1" applyFont="1" applyFill="1" applyAlignment="1">
      <alignment horizontal="right"/>
    </xf>
    <xf numFmtId="0" fontId="4" fillId="0" borderId="6" xfId="51" applyFont="1" applyFill="1" applyBorder="1" applyAlignment="1">
      <alignment horizontal="left" vertical="top"/>
    </xf>
    <xf numFmtId="0" fontId="4" fillId="0" borderId="6" xfId="51" applyFont="1" applyFill="1" applyBorder="1" applyAlignment="1">
      <alignment horizontal="left" vertical="top" wrapText="1"/>
    </xf>
    <xf numFmtId="0" fontId="9" fillId="0" borderId="6" xfId="51" applyFont="1" applyFill="1" applyBorder="1" applyAlignment="1">
      <alignment horizontal="right" wrapText="1"/>
    </xf>
    <xf numFmtId="0" fontId="4" fillId="0" borderId="6" xfId="51" applyFont="1" applyFill="1" applyBorder="1" applyAlignment="1">
      <alignment horizontal="right"/>
    </xf>
    <xf numFmtId="166" fontId="4" fillId="0" borderId="6" xfId="51" applyNumberFormat="1" applyFont="1" applyFill="1" applyBorder="1" applyAlignment="1">
      <alignment horizontal="right"/>
    </xf>
    <xf numFmtId="0" fontId="4" fillId="0" borderId="0" xfId="51" applyFont="1" applyFill="1" applyAlignment="1">
      <alignment horizontal="left" wrapText="1"/>
    </xf>
    <xf numFmtId="0" fontId="3" fillId="0" borderId="58" xfId="51" applyFont="1" applyFill="1" applyBorder="1" applyAlignment="1"/>
    <xf numFmtId="0" fontId="3" fillId="0" borderId="0" xfId="51" applyFont="1" applyFill="1" applyBorder="1" applyAlignment="1"/>
    <xf numFmtId="0" fontId="3" fillId="0" borderId="10" xfId="51" applyFont="1" applyFill="1" applyBorder="1" applyAlignment="1"/>
    <xf numFmtId="0" fontId="3" fillId="0" borderId="8" xfId="51" applyFont="1" applyFill="1" applyBorder="1" applyAlignment="1"/>
    <xf numFmtId="0" fontId="3" fillId="0" borderId="4" xfId="51" applyFont="1" applyFill="1" applyBorder="1" applyAlignment="1"/>
    <xf numFmtId="0" fontId="3" fillId="0" borderId="9" xfId="51" applyFont="1" applyFill="1" applyBorder="1" applyAlignment="1"/>
    <xf numFmtId="166" fontId="3" fillId="0" borderId="4" xfId="0" applyNumberFormat="1" applyFont="1" applyFill="1" applyBorder="1" applyAlignment="1">
      <alignment horizontal="right"/>
    </xf>
    <xf numFmtId="0" fontId="9" fillId="0" borderId="0" xfId="1" applyFont="1" applyFill="1" applyBorder="1"/>
    <xf numFmtId="0" fontId="2" fillId="0" borderId="0" xfId="1" applyFill="1" applyBorder="1"/>
    <xf numFmtId="0" fontId="5" fillId="0" borderId="0" xfId="52" applyFont="1" applyFill="1"/>
    <xf numFmtId="0" fontId="72" fillId="0" borderId="0" xfId="52" applyFill="1"/>
    <xf numFmtId="0" fontId="3" fillId="0" borderId="0" xfId="52" applyFont="1" applyFill="1"/>
    <xf numFmtId="0" fontId="4" fillId="0" borderId="0" xfId="52" applyFont="1" applyFill="1"/>
    <xf numFmtId="0" fontId="3" fillId="0" borderId="0" xfId="52" applyFont="1" applyFill="1" applyAlignment="1">
      <alignment horizontal="right"/>
    </xf>
    <xf numFmtId="0" fontId="3" fillId="0" borderId="58" xfId="52" applyFont="1" applyFill="1" applyBorder="1" applyAlignment="1"/>
    <xf numFmtId="0" fontId="3" fillId="0" borderId="0" xfId="52" applyFont="1" applyFill="1" applyBorder="1" applyAlignment="1"/>
    <xf numFmtId="0" fontId="3" fillId="0" borderId="10" xfId="52" applyFont="1" applyFill="1" applyBorder="1" applyAlignment="1"/>
    <xf numFmtId="0" fontId="3" fillId="0" borderId="8" xfId="52" applyFont="1" applyFill="1" applyBorder="1" applyAlignment="1"/>
    <xf numFmtId="0" fontId="3" fillId="0" borderId="4" xfId="52" applyFont="1" applyFill="1" applyBorder="1" applyAlignment="1"/>
    <xf numFmtId="0" fontId="3" fillId="0" borderId="9" xfId="52" applyFont="1" applyFill="1" applyBorder="1" applyAlignment="1"/>
    <xf numFmtId="0" fontId="3" fillId="0" borderId="4" xfId="52" applyFont="1" applyFill="1" applyBorder="1" applyAlignment="1">
      <alignment horizontal="left" wrapText="1"/>
    </xf>
    <xf numFmtId="0" fontId="3" fillId="0" borderId="0" xfId="52" applyFont="1" applyFill="1" applyBorder="1" applyAlignment="1">
      <alignment horizontal="left" wrapText="1"/>
    </xf>
    <xf numFmtId="0" fontId="3" fillId="0" borderId="5" xfId="52" applyFont="1" applyFill="1" applyBorder="1" applyAlignment="1">
      <alignment horizontal="center"/>
    </xf>
    <xf numFmtId="0" fontId="3" fillId="0" borderId="1" xfId="52" applyFont="1" applyFill="1" applyBorder="1" applyAlignment="1">
      <alignment horizontal="center"/>
    </xf>
    <xf numFmtId="0" fontId="2" fillId="0" borderId="5" xfId="52" applyFont="1" applyFill="1" applyBorder="1" applyAlignment="1">
      <alignment horizontal="center" vertical="center" wrapText="1"/>
    </xf>
    <xf numFmtId="0" fontId="2" fillId="0" borderId="11" xfId="52" applyFont="1" applyFill="1" applyBorder="1" applyAlignment="1">
      <alignment horizontal="center" vertical="center" wrapText="1"/>
    </xf>
    <xf numFmtId="14" fontId="3" fillId="0" borderId="1" xfId="52" applyNumberFormat="1" applyFont="1" applyFill="1" applyBorder="1" applyAlignment="1">
      <alignment horizontal="center"/>
    </xf>
    <xf numFmtId="14" fontId="3" fillId="0" borderId="13" xfId="52" applyNumberFormat="1" applyFont="1" applyFill="1" applyBorder="1" applyAlignment="1">
      <alignment horizontal="center"/>
    </xf>
    <xf numFmtId="0" fontId="3" fillId="0" borderId="13" xfId="52" applyFont="1" applyFill="1" applyBorder="1" applyAlignment="1">
      <alignment horizontal="center" vertical="center" wrapText="1"/>
    </xf>
    <xf numFmtId="0" fontId="13" fillId="0" borderId="0" xfId="52" applyFont="1" applyFill="1" applyAlignment="1">
      <alignment horizontal="center" wrapText="1"/>
    </xf>
    <xf numFmtId="0" fontId="11" fillId="0" borderId="0" xfId="52" applyFont="1" applyFill="1" applyAlignment="1">
      <alignment wrapText="1"/>
    </xf>
    <xf numFmtId="0" fontId="3" fillId="0" borderId="0" xfId="52" applyFont="1" applyFill="1" applyAlignment="1">
      <alignment horizontal="left" vertical="top"/>
    </xf>
    <xf numFmtId="0" fontId="3" fillId="0" borderId="0" xfId="52" applyFont="1" applyFill="1" applyAlignment="1">
      <alignment horizontal="left" vertical="top" wrapText="1"/>
    </xf>
    <xf numFmtId="0" fontId="11" fillId="0" borderId="0" xfId="52" applyFont="1" applyFill="1" applyAlignment="1">
      <alignment horizontal="right" wrapText="1"/>
    </xf>
    <xf numFmtId="166" fontId="3" fillId="0" borderId="0" xfId="52" applyNumberFormat="1" applyFont="1" applyFill="1" applyAlignment="1">
      <alignment horizontal="right"/>
    </xf>
    <xf numFmtId="0" fontId="3" fillId="0" borderId="0" xfId="52" applyFont="1" applyFill="1" applyAlignment="1">
      <alignment horizontal="right" wrapText="1"/>
    </xf>
    <xf numFmtId="165" fontId="3" fillId="0" borderId="0" xfId="52" applyNumberFormat="1" applyFont="1" applyFill="1" applyAlignment="1">
      <alignment horizontal="right"/>
    </xf>
    <xf numFmtId="165" fontId="11" fillId="0" borderId="0" xfId="52" applyNumberFormat="1" applyFont="1" applyFill="1" applyAlignment="1">
      <alignment horizontal="right"/>
    </xf>
    <xf numFmtId="165" fontId="72" fillId="0" borderId="0" xfId="52" applyNumberFormat="1" applyFill="1"/>
    <xf numFmtId="0" fontId="11" fillId="0" borderId="0" xfId="52" applyFont="1" applyFill="1" applyAlignment="1">
      <alignment horizontal="left" vertical="top"/>
    </xf>
    <xf numFmtId="0" fontId="11" fillId="0" borderId="0" xfId="52" applyFont="1" applyFill="1" applyAlignment="1">
      <alignment horizontal="left" vertical="top" wrapText="1"/>
    </xf>
    <xf numFmtId="0" fontId="11" fillId="0" borderId="0" xfId="52" applyFont="1" applyFill="1" applyAlignment="1">
      <alignment horizontal="right"/>
    </xf>
    <xf numFmtId="166" fontId="11" fillId="0" borderId="0" xfId="52" applyNumberFormat="1" applyFont="1" applyFill="1" applyAlignment="1">
      <alignment horizontal="right"/>
    </xf>
    <xf numFmtId="0" fontId="11" fillId="0" borderId="0" xfId="52" applyFont="1" applyFill="1" applyAlignment="1">
      <alignment horizontal="right" shrinkToFit="1"/>
    </xf>
    <xf numFmtId="0" fontId="4" fillId="0" borderId="6" xfId="52" applyFont="1" applyFill="1" applyBorder="1" applyAlignment="1">
      <alignment horizontal="left" vertical="top"/>
    </xf>
    <xf numFmtId="0" fontId="4" fillId="0" borderId="6" xfId="52" applyFont="1" applyFill="1" applyBorder="1" applyAlignment="1">
      <alignment horizontal="left" vertical="top" wrapText="1"/>
    </xf>
    <xf numFmtId="0" fontId="9" fillId="0" borderId="6" xfId="52" applyFont="1" applyFill="1" applyBorder="1" applyAlignment="1">
      <alignment horizontal="right" wrapText="1"/>
    </xf>
    <xf numFmtId="0" fontId="4" fillId="0" borderId="6" xfId="52" applyFont="1" applyFill="1" applyBorder="1" applyAlignment="1">
      <alignment horizontal="right"/>
    </xf>
    <xf numFmtId="166" fontId="4" fillId="0" borderId="6" xfId="52" applyNumberFormat="1" applyFont="1" applyFill="1" applyBorder="1" applyAlignment="1">
      <alignment horizontal="right"/>
    </xf>
    <xf numFmtId="0" fontId="4" fillId="0" borderId="6" xfId="52" applyFont="1" applyFill="1" applyBorder="1" applyAlignment="1">
      <alignment horizontal="right" wrapText="1"/>
    </xf>
    <xf numFmtId="0" fontId="72" fillId="0" borderId="6" xfId="52" applyFill="1" applyBorder="1"/>
    <xf numFmtId="0" fontId="2" fillId="0" borderId="0" xfId="52" applyFont="1" applyFill="1" applyAlignment="1">
      <alignment wrapText="1"/>
    </xf>
    <xf numFmtId="0" fontId="3" fillId="0" borderId="0" xfId="52" quotePrefix="1" applyFont="1" applyFill="1" applyAlignment="1">
      <alignment horizontal="right" wrapText="1"/>
    </xf>
    <xf numFmtId="0" fontId="4" fillId="0" borderId="0" xfId="52" applyFont="1" applyFill="1" applyAlignment="1">
      <alignment horizontal="left" wrapText="1"/>
    </xf>
    <xf numFmtId="0" fontId="3" fillId="0" borderId="0" xfId="52" applyFont="1" applyFill="1" applyAlignment="1">
      <alignment wrapText="1"/>
    </xf>
    <xf numFmtId="4" fontId="26" fillId="4" borderId="11" xfId="1" applyNumberFormat="1" applyFont="1" applyFill="1" applyBorder="1" applyAlignment="1">
      <alignment horizontal="left" vertical="center" wrapText="1"/>
    </xf>
    <xf numFmtId="4" fontId="26" fillId="5" borderId="11" xfId="1" applyNumberFormat="1" applyFont="1" applyFill="1" applyBorder="1" applyAlignment="1">
      <alignment horizontal="left" vertical="center" wrapText="1"/>
    </xf>
    <xf numFmtId="0" fontId="73" fillId="0" borderId="0" xfId="10" applyFont="1"/>
    <xf numFmtId="170" fontId="40" fillId="5" borderId="24" xfId="35" applyNumberFormat="1" applyFont="1" applyFill="1" applyBorder="1" applyAlignment="1">
      <alignment vertical="center"/>
    </xf>
    <xf numFmtId="4" fontId="44" fillId="3" borderId="53" xfId="35" applyNumberFormat="1" applyFont="1" applyFill="1" applyBorder="1" applyAlignment="1">
      <alignment vertical="center" wrapText="1"/>
    </xf>
    <xf numFmtId="0" fontId="7" fillId="3" borderId="54" xfId="10" applyFill="1" applyBorder="1" applyAlignment="1">
      <alignment vertical="center"/>
    </xf>
    <xf numFmtId="0" fontId="13" fillId="0" borderId="0" xfId="35" applyFont="1" applyAlignment="1">
      <alignment horizontal="center" vertical="center" wrapText="1"/>
    </xf>
    <xf numFmtId="0" fontId="13" fillId="0" borderId="0" xfId="35" applyFont="1" applyAlignment="1">
      <alignment horizontal="center" vertical="center"/>
    </xf>
    <xf numFmtId="0" fontId="2" fillId="0" borderId="15" xfId="35" applyFont="1" applyBorder="1" applyAlignment="1">
      <alignment horizontal="center" vertical="center" wrapText="1"/>
    </xf>
    <xf numFmtId="0" fontId="2" fillId="0" borderId="20" xfId="35" applyFont="1" applyBorder="1" applyAlignment="1">
      <alignment horizontal="center" vertical="center" wrapText="1"/>
    </xf>
    <xf numFmtId="0" fontId="2" fillId="0" borderId="27" xfId="35" applyFont="1" applyBorder="1" applyAlignment="1">
      <alignment horizontal="center" vertical="center" wrapText="1"/>
    </xf>
    <xf numFmtId="0" fontId="40" fillId="0" borderId="16" xfId="35" applyFont="1" applyBorder="1" applyAlignment="1">
      <alignment horizontal="center" vertical="center" wrapText="1"/>
    </xf>
    <xf numFmtId="0" fontId="40" fillId="0" borderId="21" xfId="35" applyFont="1" applyBorder="1" applyAlignment="1">
      <alignment horizontal="center" vertical="center" wrapText="1"/>
    </xf>
    <xf numFmtId="0" fontId="40" fillId="0" borderId="28" xfId="35" applyFont="1" applyBorder="1" applyAlignment="1">
      <alignment horizontal="center" vertical="center" wrapText="1"/>
    </xf>
    <xf numFmtId="0" fontId="40" fillId="0" borderId="17" xfId="35" applyFont="1" applyBorder="1" applyAlignment="1">
      <alignment horizontal="center" vertical="center"/>
    </xf>
    <xf numFmtId="0" fontId="40" fillId="0" borderId="18" xfId="35" applyFont="1" applyBorder="1" applyAlignment="1">
      <alignment horizontal="center" vertical="center"/>
    </xf>
    <xf numFmtId="0" fontId="40" fillId="0" borderId="19" xfId="35" applyFont="1" applyBorder="1" applyAlignment="1">
      <alignment horizontal="center" vertical="center"/>
    </xf>
    <xf numFmtId="0" fontId="40" fillId="0" borderId="22" xfId="35" applyFont="1" applyBorder="1" applyAlignment="1">
      <alignment horizontal="center" vertical="center" wrapText="1"/>
    </xf>
    <xf numFmtId="0" fontId="40" fillId="0" borderId="23" xfId="35" applyFont="1" applyBorder="1" applyAlignment="1">
      <alignment horizontal="center" vertical="center" wrapText="1"/>
    </xf>
    <xf numFmtId="0" fontId="40" fillId="0" borderId="24" xfId="35" applyFont="1" applyBorder="1" applyAlignment="1">
      <alignment horizontal="center" vertical="center" wrapText="1"/>
    </xf>
    <xf numFmtId="0" fontId="40" fillId="0" borderId="25" xfId="35" applyFont="1" applyBorder="1" applyAlignment="1">
      <alignment horizontal="center" vertical="center" wrapText="1"/>
    </xf>
    <xf numFmtId="0" fontId="40" fillId="0" borderId="29" xfId="35" applyFont="1" applyBorder="1" applyAlignment="1">
      <alignment horizontal="center" vertical="center" wrapText="1"/>
    </xf>
    <xf numFmtId="4" fontId="40" fillId="0" borderId="26" xfId="35" applyNumberFormat="1" applyFont="1" applyBorder="1" applyAlignment="1">
      <alignment horizontal="center" vertical="center" wrapText="1"/>
    </xf>
    <xf numFmtId="4" fontId="40" fillId="0" borderId="30" xfId="35" applyNumberFormat="1" applyFont="1" applyBorder="1" applyAlignment="1">
      <alignment horizontal="center" vertical="center" wrapText="1"/>
    </xf>
    <xf numFmtId="4" fontId="40" fillId="0" borderId="25" xfId="35" applyNumberFormat="1" applyFont="1" applyBorder="1" applyAlignment="1">
      <alignment horizontal="center" vertical="center" wrapText="1"/>
    </xf>
    <xf numFmtId="4" fontId="40" fillId="0" borderId="31" xfId="35" applyNumberFormat="1" applyFont="1" applyBorder="1" applyAlignment="1">
      <alignment horizontal="center" vertical="center" wrapText="1"/>
    </xf>
    <xf numFmtId="4" fontId="40" fillId="0" borderId="32" xfId="35" applyNumberFormat="1" applyFont="1" applyBorder="1" applyAlignment="1">
      <alignment horizontal="center" vertical="center" wrapText="1"/>
    </xf>
    <xf numFmtId="0" fontId="2" fillId="0" borderId="11" xfId="31" applyFont="1" applyBorder="1" applyAlignment="1">
      <alignment horizontal="center" vertical="center" wrapText="1"/>
    </xf>
    <xf numFmtId="0" fontId="2" fillId="0" borderId="12" xfId="31" applyFont="1" applyBorder="1" applyAlignment="1">
      <alignment horizontal="center" vertical="center" wrapText="1"/>
    </xf>
    <xf numFmtId="0" fontId="2" fillId="0" borderId="1" xfId="31" applyFont="1" applyBorder="1" applyAlignment="1">
      <alignment horizontal="center" vertical="center" wrapText="1"/>
    </xf>
    <xf numFmtId="0" fontId="2" fillId="0" borderId="3" xfId="3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4" xfId="1" applyFont="1" applyBorder="1" applyAlignment="1">
      <alignment horizontal="left" vertical="top" wrapText="1"/>
    </xf>
    <xf numFmtId="0" fontId="2" fillId="0" borderId="6" xfId="1" applyFont="1" applyBorder="1" applyAlignment="1">
      <alignment horizontal="center" vertical="top"/>
    </xf>
    <xf numFmtId="0" fontId="2" fillId="0" borderId="13" xfId="1" applyFont="1" applyBorder="1" applyAlignment="1">
      <alignment horizontal="center"/>
    </xf>
    <xf numFmtId="14" fontId="2" fillId="0" borderId="13" xfId="1" applyNumberFormat="1" applyFont="1" applyBorder="1" applyAlignment="1">
      <alignment horizontal="center"/>
    </xf>
    <xf numFmtId="49" fontId="2" fillId="0" borderId="5" xfId="1" applyNumberFormat="1" applyFont="1" applyBorder="1" applyAlignment="1">
      <alignment horizontal="center"/>
    </xf>
    <xf numFmtId="49" fontId="2" fillId="0" borderId="6" xfId="1" applyNumberFormat="1" applyFont="1" applyBorder="1" applyAlignment="1">
      <alignment horizontal="center"/>
    </xf>
    <xf numFmtId="49" fontId="2" fillId="0" borderId="8" xfId="1" applyNumberFormat="1" applyFont="1" applyBorder="1" applyAlignment="1">
      <alignment horizontal="center"/>
    </xf>
    <xf numFmtId="49" fontId="2" fillId="0" borderId="4" xfId="1" applyNumberFormat="1" applyFont="1" applyBorder="1" applyAlignment="1">
      <alignment horizontal="center"/>
    </xf>
    <xf numFmtId="0" fontId="2" fillId="0" borderId="1" xfId="1" quotePrefix="1" applyFont="1" applyBorder="1" applyAlignment="1">
      <alignment horizontal="center"/>
    </xf>
    <xf numFmtId="0" fontId="2" fillId="0" borderId="2" xfId="1" quotePrefix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7" fillId="0" borderId="0" xfId="32" applyFont="1" applyAlignment="1">
      <alignment horizontal="right"/>
    </xf>
    <xf numFmtId="0" fontId="37" fillId="0" borderId="0" xfId="33" applyFont="1" applyAlignment="1">
      <alignment horizontal="right"/>
    </xf>
    <xf numFmtId="0" fontId="6" fillId="2" borderId="11" xfId="19" applyFont="1" applyFill="1" applyBorder="1" applyAlignment="1">
      <alignment horizontal="center" vertical="center" wrapText="1"/>
    </xf>
    <xf numFmtId="0" fontId="6" fillId="2" borderId="12" xfId="19" applyFont="1" applyFill="1" applyBorder="1" applyAlignment="1">
      <alignment horizontal="center" vertical="center" wrapText="1"/>
    </xf>
    <xf numFmtId="0" fontId="32" fillId="2" borderId="0" xfId="9" applyFont="1" applyFill="1" applyBorder="1" applyAlignment="1">
      <alignment horizontal="right" wrapText="1"/>
    </xf>
    <xf numFmtId="0" fontId="33" fillId="2" borderId="0" xfId="1" applyFont="1" applyFill="1" applyAlignment="1">
      <alignment horizontal="right"/>
    </xf>
    <xf numFmtId="0" fontId="20" fillId="2" borderId="0" xfId="1" applyFont="1" applyFill="1" applyAlignment="1">
      <alignment horizontal="center"/>
    </xf>
    <xf numFmtId="0" fontId="23" fillId="2" borderId="11" xfId="18" applyFont="1" applyFill="1" applyBorder="1" applyAlignment="1">
      <alignment horizontal="center" vertical="center" wrapText="1"/>
    </xf>
    <xf numFmtId="0" fontId="23" fillId="2" borderId="12" xfId="18" applyFont="1" applyFill="1" applyBorder="1" applyAlignment="1">
      <alignment horizontal="center" vertical="center" wrapText="1"/>
    </xf>
    <xf numFmtId="0" fontId="23" fillId="2" borderId="11" xfId="1" applyFont="1" applyFill="1" applyBorder="1" applyAlignment="1">
      <alignment horizontal="center" vertical="center" wrapText="1"/>
    </xf>
    <xf numFmtId="0" fontId="23" fillId="2" borderId="12" xfId="1" applyFont="1" applyFill="1" applyBorder="1" applyAlignment="1">
      <alignment horizontal="center" vertical="center" wrapText="1"/>
    </xf>
    <xf numFmtId="3" fontId="23" fillId="2" borderId="11" xfId="1" applyNumberFormat="1" applyFont="1" applyFill="1" applyBorder="1" applyAlignment="1">
      <alignment horizontal="center" vertical="center" wrapText="1"/>
    </xf>
    <xf numFmtId="3" fontId="23" fillId="2" borderId="12" xfId="1" applyNumberFormat="1" applyFont="1" applyFill="1" applyBorder="1" applyAlignment="1">
      <alignment horizontal="center" vertical="center" wrapText="1"/>
    </xf>
    <xf numFmtId="0" fontId="23" fillId="2" borderId="1" xfId="1" applyFont="1" applyFill="1" applyBorder="1" applyAlignment="1">
      <alignment horizontal="center" vertical="center" wrapText="1"/>
    </xf>
    <xf numFmtId="0" fontId="23" fillId="2" borderId="2" xfId="1" applyFont="1" applyFill="1" applyBorder="1" applyAlignment="1">
      <alignment horizontal="center" vertical="center" wrapText="1"/>
    </xf>
    <xf numFmtId="0" fontId="23" fillId="2" borderId="3" xfId="1" applyFont="1" applyFill="1" applyBorder="1" applyAlignment="1">
      <alignment horizontal="center" vertical="center" wrapText="1"/>
    </xf>
    <xf numFmtId="0" fontId="4" fillId="0" borderId="0" xfId="9" applyFont="1" applyAlignment="1">
      <alignment horizontal="center" vertical="center" wrapText="1"/>
    </xf>
    <xf numFmtId="0" fontId="8" fillId="0" borderId="13" xfId="10" applyFont="1" applyBorder="1" applyAlignment="1">
      <alignment horizontal="left"/>
    </xf>
    <xf numFmtId="0" fontId="8" fillId="0" borderId="1" xfId="10" applyFont="1" applyBorder="1" applyAlignment="1">
      <alignment horizontal="left"/>
    </xf>
    <xf numFmtId="0" fontId="8" fillId="0" borderId="2" xfId="10" applyFont="1" applyBorder="1" applyAlignment="1">
      <alignment horizontal="left"/>
    </xf>
    <xf numFmtId="0" fontId="8" fillId="0" borderId="3" xfId="10" applyFont="1" applyBorder="1" applyAlignment="1">
      <alignment horizontal="left"/>
    </xf>
    <xf numFmtId="0" fontId="8" fillId="0" borderId="13" xfId="10" applyFont="1" applyBorder="1" applyAlignment="1">
      <alignment horizontal="left" vertical="justify"/>
    </xf>
    <xf numFmtId="0" fontId="3" fillId="0" borderId="0" xfId="1" applyFont="1" applyAlignment="1">
      <alignment horizontal="left" wrapText="1"/>
    </xf>
    <xf numFmtId="0" fontId="3" fillId="0" borderId="4" xfId="1" applyFont="1" applyBorder="1" applyAlignment="1">
      <alignment horizontal="left" wrapText="1"/>
    </xf>
    <xf numFmtId="0" fontId="5" fillId="0" borderId="6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0" xfId="1" applyFont="1" applyAlignment="1">
      <alignment horizontal="right"/>
    </xf>
    <xf numFmtId="0" fontId="3" fillId="0" borderId="10" xfId="1" applyFont="1" applyBorder="1" applyAlignment="1">
      <alignment horizontal="right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51" applyFont="1" applyBorder="1" applyAlignment="1">
      <alignment horizontal="left" wrapText="1"/>
    </xf>
    <xf numFmtId="0" fontId="2" fillId="0" borderId="1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4" fillId="0" borderId="0" xfId="9" applyFont="1" applyAlignment="1">
      <alignment horizontal="center"/>
    </xf>
    <xf numFmtId="14" fontId="3" fillId="0" borderId="1" xfId="1" applyNumberFormat="1" applyFont="1" applyBorder="1" applyAlignment="1">
      <alignment horizontal="center"/>
    </xf>
    <xf numFmtId="14" fontId="3" fillId="0" borderId="2" xfId="1" applyNumberFormat="1" applyFont="1" applyBorder="1" applyAlignment="1">
      <alignment horizontal="center"/>
    </xf>
    <xf numFmtId="14" fontId="3" fillId="0" borderId="3" xfId="1" applyNumberFormat="1" applyFont="1" applyBorder="1" applyAlignment="1">
      <alignment horizontal="center"/>
    </xf>
    <xf numFmtId="0" fontId="5" fillId="0" borderId="6" xfId="1" applyFont="1" applyBorder="1" applyAlignment="1">
      <alignment horizontal="center" vertical="top"/>
    </xf>
    <xf numFmtId="0" fontId="3" fillId="0" borderId="58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64" fillId="0" borderId="0" xfId="1" applyFont="1" applyFill="1" applyAlignment="1">
      <alignment horizontal="left" wrapText="1"/>
    </xf>
    <xf numFmtId="0" fontId="2" fillId="0" borderId="0" xfId="1" applyAlignment="1">
      <alignment horizontal="right"/>
    </xf>
    <xf numFmtId="0" fontId="3" fillId="0" borderId="1" xfId="1" quotePrefix="1" applyFont="1" applyBorder="1" applyAlignment="1">
      <alignment horizontal="center"/>
    </xf>
    <xf numFmtId="0" fontId="3" fillId="0" borderId="2" xfId="1" quotePrefix="1" applyFont="1" applyBorder="1" applyAlignment="1">
      <alignment horizontal="center"/>
    </xf>
    <xf numFmtId="0" fontId="3" fillId="0" borderId="3" xfId="1" quotePrefix="1" applyFont="1" applyBorder="1" applyAlignment="1">
      <alignment horizontal="center"/>
    </xf>
    <xf numFmtId="49" fontId="3" fillId="0" borderId="5" xfId="1" applyNumberFormat="1" applyFont="1" applyBorder="1" applyAlignment="1">
      <alignment horizontal="center"/>
    </xf>
    <xf numFmtId="49" fontId="3" fillId="0" borderId="6" xfId="1" applyNumberFormat="1" applyFont="1" applyBorder="1" applyAlignment="1">
      <alignment horizontal="center"/>
    </xf>
    <xf numFmtId="49" fontId="3" fillId="0" borderId="7" xfId="1" applyNumberFormat="1" applyFont="1" applyBorder="1" applyAlignment="1">
      <alignment horizontal="center"/>
    </xf>
    <xf numFmtId="49" fontId="3" fillId="0" borderId="8" xfId="1" applyNumberFormat="1" applyFont="1" applyBorder="1" applyAlignment="1">
      <alignment horizontal="center"/>
    </xf>
    <xf numFmtId="49" fontId="3" fillId="0" borderId="4" xfId="1" applyNumberFormat="1" applyFont="1" applyBorder="1" applyAlignment="1">
      <alignment horizontal="center"/>
    </xf>
    <xf numFmtId="49" fontId="3" fillId="0" borderId="9" xfId="1" applyNumberFormat="1" applyFont="1" applyBorder="1" applyAlignment="1">
      <alignment horizontal="center"/>
    </xf>
    <xf numFmtId="0" fontId="2" fillId="0" borderId="11" xfId="1" applyBorder="1" applyAlignment="1">
      <alignment horizontal="center" vertical="center" wrapText="1"/>
    </xf>
    <xf numFmtId="0" fontId="2" fillId="0" borderId="12" xfId="1" applyBorder="1" applyAlignment="1">
      <alignment horizontal="center" vertical="center" wrapText="1"/>
    </xf>
    <xf numFmtId="0" fontId="3" fillId="0" borderId="0" xfId="51" applyFont="1" applyAlignment="1">
      <alignment horizontal="right" wrapText="1"/>
    </xf>
    <xf numFmtId="0" fontId="4" fillId="0" borderId="0" xfId="51" applyFont="1" applyAlignment="1">
      <alignment horizontal="left" wrapText="1"/>
    </xf>
    <xf numFmtId="165" fontId="4" fillId="0" borderId="0" xfId="51" applyNumberFormat="1" applyFont="1" applyAlignment="1">
      <alignment horizontal="right"/>
    </xf>
    <xf numFmtId="0" fontId="4" fillId="0" borderId="0" xfId="51" applyFont="1" applyAlignment="1">
      <alignment horizontal="right"/>
    </xf>
    <xf numFmtId="167" fontId="3" fillId="0" borderId="0" xfId="51" applyNumberFormat="1" applyFont="1" applyAlignment="1">
      <alignment horizontal="right" wrapText="1"/>
    </xf>
    <xf numFmtId="165" fontId="4" fillId="0" borderId="6" xfId="51" applyNumberFormat="1" applyFont="1" applyBorder="1" applyAlignment="1">
      <alignment horizontal="right"/>
    </xf>
    <xf numFmtId="0" fontId="3" fillId="0" borderId="13" xfId="51" applyFont="1" applyBorder="1" applyAlignment="1">
      <alignment horizontal="center" vertical="center" wrapText="1"/>
    </xf>
    <xf numFmtId="0" fontId="3" fillId="0" borderId="11" xfId="51" applyFont="1" applyBorder="1" applyAlignment="1">
      <alignment horizontal="center" vertical="center" wrapText="1"/>
    </xf>
    <xf numFmtId="0" fontId="3" fillId="0" borderId="14" xfId="51" applyFont="1" applyBorder="1" applyAlignment="1">
      <alignment horizontal="center" vertical="center" wrapText="1"/>
    </xf>
    <xf numFmtId="0" fontId="3" fillId="0" borderId="12" xfId="51" applyFont="1" applyBorder="1" applyAlignment="1">
      <alignment horizontal="center" vertical="center" wrapText="1"/>
    </xf>
    <xf numFmtId="0" fontId="13" fillId="0" borderId="0" xfId="51" applyFont="1" applyAlignment="1">
      <alignment horizontal="center" wrapText="1"/>
    </xf>
    <xf numFmtId="0" fontId="6" fillId="0" borderId="0" xfId="51" applyFont="1" applyAlignment="1">
      <alignment horizontal="center"/>
    </xf>
    <xf numFmtId="0" fontId="5" fillId="0" borderId="6" xfId="51" applyFont="1" applyBorder="1" applyAlignment="1">
      <alignment horizontal="center"/>
    </xf>
    <xf numFmtId="0" fontId="3" fillId="0" borderId="0" xfId="51" applyFont="1" applyAlignment="1">
      <alignment horizontal="right"/>
    </xf>
    <xf numFmtId="0" fontId="3" fillId="0" borderId="0" xfId="51" applyFont="1" applyBorder="1" applyAlignment="1">
      <alignment horizontal="right"/>
    </xf>
    <xf numFmtId="0" fontId="3" fillId="0" borderId="13" xfId="51" applyFont="1" applyBorder="1" applyAlignment="1">
      <alignment horizontal="center"/>
    </xf>
    <xf numFmtId="0" fontId="3" fillId="0" borderId="10" xfId="51" applyFont="1" applyBorder="1" applyAlignment="1">
      <alignment horizontal="right"/>
    </xf>
    <xf numFmtId="14" fontId="3" fillId="0" borderId="13" xfId="51" applyNumberFormat="1" applyFont="1" applyBorder="1" applyAlignment="1">
      <alignment horizontal="center"/>
    </xf>
    <xf numFmtId="0" fontId="2" fillId="0" borderId="11" xfId="51" applyFont="1" applyBorder="1" applyAlignment="1">
      <alignment horizontal="center" vertical="center" wrapText="1"/>
    </xf>
    <xf numFmtId="0" fontId="2" fillId="0" borderId="12" xfId="51" applyFont="1" applyBorder="1" applyAlignment="1">
      <alignment horizontal="center" vertical="center" wrapText="1"/>
    </xf>
    <xf numFmtId="0" fontId="2" fillId="0" borderId="5" xfId="51" applyFont="1" applyBorder="1" applyAlignment="1">
      <alignment horizontal="center" vertical="center" wrapText="1"/>
    </xf>
    <xf numFmtId="0" fontId="2" fillId="0" borderId="58" xfId="51" applyFont="1" applyBorder="1" applyAlignment="1">
      <alignment horizontal="center" vertical="center" wrapText="1"/>
    </xf>
    <xf numFmtId="0" fontId="2" fillId="0" borderId="7" xfId="51" applyFont="1" applyBorder="1" applyAlignment="1">
      <alignment horizontal="center" vertical="center" wrapText="1"/>
    </xf>
    <xf numFmtId="0" fontId="3" fillId="0" borderId="0" xfId="51" applyFont="1" applyBorder="1" applyAlignment="1">
      <alignment horizontal="left" wrapText="1"/>
    </xf>
    <xf numFmtId="49" fontId="3" fillId="0" borderId="5" xfId="51" applyNumberFormat="1" applyFont="1" applyBorder="1" applyAlignment="1">
      <alignment horizontal="center"/>
    </xf>
    <xf numFmtId="49" fontId="3" fillId="0" borderId="6" xfId="51" applyNumberFormat="1" applyFont="1" applyBorder="1" applyAlignment="1">
      <alignment horizontal="center"/>
    </xf>
    <xf numFmtId="49" fontId="3" fillId="0" borderId="7" xfId="51" applyNumberFormat="1" applyFont="1" applyBorder="1" applyAlignment="1">
      <alignment horizontal="center"/>
    </xf>
    <xf numFmtId="49" fontId="3" fillId="0" borderId="8" xfId="51" applyNumberFormat="1" applyFont="1" applyBorder="1" applyAlignment="1">
      <alignment horizontal="center"/>
    </xf>
    <xf numFmtId="49" fontId="3" fillId="0" borderId="4" xfId="51" applyNumberFormat="1" applyFont="1" applyBorder="1" applyAlignment="1">
      <alignment horizontal="center"/>
    </xf>
    <xf numFmtId="49" fontId="3" fillId="0" borderId="9" xfId="51" applyNumberFormat="1" applyFont="1" applyBorder="1" applyAlignment="1">
      <alignment horizontal="center"/>
    </xf>
    <xf numFmtId="49" fontId="3" fillId="0" borderId="13" xfId="51" applyNumberFormat="1" applyFont="1" applyBorder="1" applyAlignment="1">
      <alignment horizontal="center"/>
    </xf>
    <xf numFmtId="0" fontId="2" fillId="0" borderId="0" xfId="51" applyFont="1" applyAlignment="1">
      <alignment horizontal="right"/>
    </xf>
    <xf numFmtId="0" fontId="3" fillId="0" borderId="13" xfId="51" quotePrefix="1" applyFont="1" applyBorder="1" applyAlignment="1">
      <alignment horizontal="center"/>
    </xf>
    <xf numFmtId="4" fontId="3" fillId="0" borderId="0" xfId="51" applyNumberFormat="1" applyFont="1" applyAlignment="1">
      <alignment horizontal="right" wrapText="1"/>
    </xf>
    <xf numFmtId="165" fontId="3" fillId="0" borderId="0" xfId="51" applyNumberFormat="1" applyFont="1" applyAlignment="1">
      <alignment horizontal="right"/>
    </xf>
    <xf numFmtId="0" fontId="3" fillId="0" borderId="0" xfId="51" applyFont="1" applyFill="1" applyAlignment="1">
      <alignment horizontal="right" wrapText="1"/>
    </xf>
    <xf numFmtId="165" fontId="3" fillId="0" borderId="0" xfId="51" applyNumberFormat="1" applyFont="1" applyFill="1" applyAlignment="1">
      <alignment horizontal="right"/>
    </xf>
    <xf numFmtId="0" fontId="49" fillId="0" borderId="0" xfId="1" applyFont="1" applyFill="1" applyAlignment="1">
      <alignment horizontal="left" wrapText="1"/>
    </xf>
    <xf numFmtId="167" fontId="3" fillId="0" borderId="0" xfId="51" applyNumberFormat="1" applyFont="1" applyFill="1" applyAlignment="1">
      <alignment horizontal="right" wrapText="1"/>
    </xf>
    <xf numFmtId="165" fontId="4" fillId="0" borderId="0" xfId="51" applyNumberFormat="1" applyFont="1" applyFill="1" applyAlignment="1">
      <alignment horizontal="right"/>
    </xf>
    <xf numFmtId="0" fontId="4" fillId="0" borderId="0" xfId="51" applyFont="1" applyFill="1" applyAlignment="1">
      <alignment horizontal="right"/>
    </xf>
    <xf numFmtId="0" fontId="4" fillId="0" borderId="0" xfId="51" applyFont="1" applyFill="1" applyAlignment="1">
      <alignment horizontal="left" wrapText="1"/>
    </xf>
    <xf numFmtId="165" fontId="4" fillId="0" borderId="6" xfId="51" applyNumberFormat="1" applyFont="1" applyFill="1" applyBorder="1" applyAlignment="1">
      <alignment horizontal="right"/>
    </xf>
    <xf numFmtId="0" fontId="13" fillId="0" borderId="0" xfId="51" applyFont="1" applyFill="1" applyAlignment="1">
      <alignment horizontal="center" wrapText="1"/>
    </xf>
    <xf numFmtId="0" fontId="8" fillId="0" borderId="1" xfId="10" applyFont="1" applyFill="1" applyBorder="1" applyAlignment="1">
      <alignment horizontal="left"/>
    </xf>
    <xf numFmtId="0" fontId="8" fillId="0" borderId="2" xfId="10" applyFont="1" applyFill="1" applyBorder="1" applyAlignment="1">
      <alignment horizontal="left"/>
    </xf>
    <xf numFmtId="0" fontId="8" fillId="0" borderId="3" xfId="10" applyFont="1" applyFill="1" applyBorder="1" applyAlignment="1">
      <alignment horizontal="left"/>
    </xf>
    <xf numFmtId="0" fontId="8" fillId="0" borderId="13" xfId="10" applyFont="1" applyFill="1" applyBorder="1" applyAlignment="1">
      <alignment horizontal="left" vertical="justify"/>
    </xf>
    <xf numFmtId="0" fontId="3" fillId="0" borderId="11" xfId="51" applyFont="1" applyFill="1" applyBorder="1" applyAlignment="1">
      <alignment horizontal="center" vertical="center" wrapText="1"/>
    </xf>
    <xf numFmtId="0" fontId="3" fillId="0" borderId="14" xfId="51" applyFont="1" applyFill="1" applyBorder="1" applyAlignment="1">
      <alignment horizontal="center" vertical="center" wrapText="1"/>
    </xf>
    <xf numFmtId="0" fontId="3" fillId="0" borderId="12" xfId="51" applyFont="1" applyFill="1" applyBorder="1" applyAlignment="1">
      <alignment horizontal="center" vertical="center" wrapText="1"/>
    </xf>
    <xf numFmtId="0" fontId="3" fillId="0" borderId="13" xfId="51" applyFont="1" applyFill="1" applyBorder="1" applyAlignment="1">
      <alignment horizontal="center" vertical="center" wrapText="1"/>
    </xf>
    <xf numFmtId="0" fontId="8" fillId="0" borderId="13" xfId="10" applyFont="1" applyFill="1" applyBorder="1" applyAlignment="1">
      <alignment horizontal="left"/>
    </xf>
    <xf numFmtId="0" fontId="3" fillId="0" borderId="4" xfId="51" applyFont="1" applyFill="1" applyBorder="1" applyAlignment="1">
      <alignment horizontal="left" wrapText="1"/>
    </xf>
    <xf numFmtId="0" fontId="3" fillId="0" borderId="13" xfId="51" applyFont="1" applyFill="1" applyBorder="1" applyAlignment="1">
      <alignment horizontal="center"/>
    </xf>
    <xf numFmtId="0" fontId="2" fillId="0" borderId="11" xfId="51" applyFont="1" applyFill="1" applyBorder="1" applyAlignment="1">
      <alignment horizontal="center" vertical="center" wrapText="1"/>
    </xf>
    <xf numFmtId="0" fontId="2" fillId="0" borderId="12" xfId="51" applyFont="1" applyFill="1" applyBorder="1" applyAlignment="1">
      <alignment horizontal="center" vertical="center" wrapText="1"/>
    </xf>
    <xf numFmtId="0" fontId="2" fillId="0" borderId="5" xfId="51" applyFont="1" applyFill="1" applyBorder="1" applyAlignment="1">
      <alignment horizontal="center" vertical="center" wrapText="1"/>
    </xf>
    <xf numFmtId="0" fontId="2" fillId="0" borderId="58" xfId="51" applyFont="1" applyFill="1" applyBorder="1" applyAlignment="1">
      <alignment horizontal="center" vertical="center" wrapText="1"/>
    </xf>
    <xf numFmtId="0" fontId="2" fillId="0" borderId="7" xfId="51" applyFont="1" applyFill="1" applyBorder="1" applyAlignment="1">
      <alignment horizontal="center" vertical="center" wrapText="1"/>
    </xf>
    <xf numFmtId="0" fontId="6" fillId="0" borderId="0" xfId="51" applyFont="1" applyFill="1" applyAlignment="1">
      <alignment horizontal="center"/>
    </xf>
    <xf numFmtId="0" fontId="4" fillId="0" borderId="0" xfId="9" applyFont="1" applyFill="1" applyAlignment="1">
      <alignment horizontal="center"/>
    </xf>
    <xf numFmtId="0" fontId="4" fillId="0" borderId="0" xfId="9" applyFont="1" applyFill="1" applyAlignment="1">
      <alignment horizontal="center" vertical="center" wrapText="1"/>
    </xf>
    <xf numFmtId="0" fontId="5" fillId="0" borderId="6" xfId="51" applyFont="1" applyFill="1" applyBorder="1" applyAlignment="1">
      <alignment horizontal="center"/>
    </xf>
    <xf numFmtId="0" fontId="3" fillId="0" borderId="0" xfId="51" applyFont="1" applyFill="1" applyAlignment="1">
      <alignment horizontal="right"/>
    </xf>
    <xf numFmtId="0" fontId="3" fillId="0" borderId="0" xfId="51" applyFont="1" applyFill="1" applyBorder="1" applyAlignment="1">
      <alignment horizontal="right"/>
    </xf>
    <xf numFmtId="0" fontId="3" fillId="0" borderId="10" xfId="51" applyFont="1" applyFill="1" applyBorder="1" applyAlignment="1">
      <alignment horizontal="right"/>
    </xf>
    <xf numFmtId="14" fontId="3" fillId="0" borderId="13" xfId="51" applyNumberFormat="1" applyFont="1" applyFill="1" applyBorder="1" applyAlignment="1">
      <alignment horizontal="center"/>
    </xf>
    <xf numFmtId="49" fontId="3" fillId="0" borderId="5" xfId="51" applyNumberFormat="1" applyFont="1" applyFill="1" applyBorder="1" applyAlignment="1">
      <alignment horizontal="center"/>
    </xf>
    <xf numFmtId="49" fontId="3" fillId="0" borderId="6" xfId="51" applyNumberFormat="1" applyFont="1" applyFill="1" applyBorder="1" applyAlignment="1">
      <alignment horizontal="center"/>
    </xf>
    <xf numFmtId="49" fontId="3" fillId="0" borderId="7" xfId="51" applyNumberFormat="1" applyFont="1" applyFill="1" applyBorder="1" applyAlignment="1">
      <alignment horizontal="center"/>
    </xf>
    <xf numFmtId="49" fontId="3" fillId="0" borderId="8" xfId="51" applyNumberFormat="1" applyFont="1" applyFill="1" applyBorder="1" applyAlignment="1">
      <alignment horizontal="center"/>
    </xf>
    <xf numFmtId="49" fontId="3" fillId="0" borderId="4" xfId="51" applyNumberFormat="1" applyFont="1" applyFill="1" applyBorder="1" applyAlignment="1">
      <alignment horizontal="center"/>
    </xf>
    <xf numFmtId="49" fontId="3" fillId="0" borderId="9" xfId="51" applyNumberFormat="1" applyFont="1" applyFill="1" applyBorder="1" applyAlignment="1">
      <alignment horizontal="center"/>
    </xf>
    <xf numFmtId="0" fontId="3" fillId="0" borderId="0" xfId="51" applyFont="1" applyFill="1" applyBorder="1" applyAlignment="1">
      <alignment horizontal="left" wrapText="1"/>
    </xf>
    <xf numFmtId="49" fontId="3" fillId="0" borderId="13" xfId="51" applyNumberFormat="1" applyFont="1" applyFill="1" applyBorder="1" applyAlignment="1">
      <alignment horizontal="center"/>
    </xf>
    <xf numFmtId="0" fontId="3" fillId="0" borderId="13" xfId="51" quotePrefix="1" applyFont="1" applyFill="1" applyBorder="1" applyAlignment="1">
      <alignment horizontal="center"/>
    </xf>
    <xf numFmtId="0" fontId="2" fillId="0" borderId="0" xfId="51" applyFont="1" applyFill="1" applyAlignment="1">
      <alignment horizontal="right"/>
    </xf>
    <xf numFmtId="0" fontId="3" fillId="0" borderId="0" xfId="51" applyFont="1" applyAlignment="1">
      <alignment horizontal="left" wrapText="1"/>
    </xf>
    <xf numFmtId="0" fontId="69" fillId="0" borderId="0" xfId="1" applyFont="1" applyFill="1" applyAlignment="1">
      <alignment horizontal="left" wrapText="1"/>
    </xf>
    <xf numFmtId="0" fontId="3" fillId="0" borderId="4" xfId="1" applyFont="1" applyBorder="1" applyAlignment="1">
      <alignment horizontal="left" vertical="top" wrapText="1"/>
    </xf>
    <xf numFmtId="0" fontId="2" fillId="0" borderId="0" xfId="52" applyFont="1" applyFill="1" applyAlignment="1">
      <alignment horizontal="right"/>
    </xf>
    <xf numFmtId="0" fontId="3" fillId="0" borderId="13" xfId="52" applyFont="1" applyFill="1" applyBorder="1" applyAlignment="1">
      <alignment horizontal="center"/>
    </xf>
    <xf numFmtId="0" fontId="3" fillId="0" borderId="13" xfId="52" quotePrefix="1" applyFont="1" applyFill="1" applyBorder="1" applyAlignment="1">
      <alignment horizontal="center"/>
    </xf>
    <xf numFmtId="49" fontId="3" fillId="0" borderId="13" xfId="52" applyNumberFormat="1" applyFont="1" applyFill="1" applyBorder="1" applyAlignment="1">
      <alignment horizontal="center"/>
    </xf>
    <xf numFmtId="0" fontId="5" fillId="0" borderId="6" xfId="52" applyFont="1" applyFill="1" applyBorder="1" applyAlignment="1">
      <alignment horizontal="center"/>
    </xf>
    <xf numFmtId="49" fontId="3" fillId="0" borderId="5" xfId="52" applyNumberFormat="1" applyFont="1" applyFill="1" applyBorder="1" applyAlignment="1">
      <alignment horizontal="center"/>
    </xf>
    <xf numFmtId="49" fontId="3" fillId="0" borderId="6" xfId="52" applyNumberFormat="1" applyFont="1" applyFill="1" applyBorder="1" applyAlignment="1">
      <alignment horizontal="center"/>
    </xf>
    <xf numFmtId="49" fontId="3" fillId="0" borderId="7" xfId="52" applyNumberFormat="1" applyFont="1" applyFill="1" applyBorder="1" applyAlignment="1">
      <alignment horizontal="center"/>
    </xf>
    <xf numFmtId="49" fontId="3" fillId="0" borderId="8" xfId="52" applyNumberFormat="1" applyFont="1" applyFill="1" applyBorder="1" applyAlignment="1">
      <alignment horizontal="center"/>
    </xf>
    <xf numFmtId="49" fontId="3" fillId="0" borderId="4" xfId="52" applyNumberFormat="1" applyFont="1" applyFill="1" applyBorder="1" applyAlignment="1">
      <alignment horizontal="center"/>
    </xf>
    <xf numFmtId="49" fontId="3" fillId="0" borderId="9" xfId="52" applyNumberFormat="1" applyFont="1" applyFill="1" applyBorder="1" applyAlignment="1">
      <alignment horizontal="center"/>
    </xf>
    <xf numFmtId="0" fontId="3" fillId="0" borderId="4" xfId="52" applyFont="1" applyFill="1" applyBorder="1" applyAlignment="1">
      <alignment horizontal="left" wrapText="1"/>
    </xf>
    <xf numFmtId="0" fontId="3" fillId="0" borderId="0" xfId="52" applyFont="1" applyFill="1" applyBorder="1" applyAlignment="1">
      <alignment horizontal="left" wrapText="1"/>
    </xf>
    <xf numFmtId="0" fontId="2" fillId="0" borderId="11" xfId="52" applyFont="1" applyFill="1" applyBorder="1" applyAlignment="1">
      <alignment horizontal="center" vertical="center" wrapText="1"/>
    </xf>
    <xf numFmtId="0" fontId="2" fillId="0" borderId="12" xfId="52" applyFont="1" applyFill="1" applyBorder="1" applyAlignment="1">
      <alignment horizontal="center" vertical="center" wrapText="1"/>
    </xf>
    <xf numFmtId="0" fontId="2" fillId="0" borderId="5" xfId="52" applyFont="1" applyFill="1" applyBorder="1" applyAlignment="1">
      <alignment horizontal="center" vertical="center" wrapText="1"/>
    </xf>
    <xf numFmtId="0" fontId="2" fillId="0" borderId="58" xfId="52" applyFont="1" applyFill="1" applyBorder="1" applyAlignment="1">
      <alignment horizontal="center" vertical="center" wrapText="1"/>
    </xf>
    <xf numFmtId="0" fontId="2" fillId="0" borderId="7" xfId="52" applyFont="1" applyFill="1" applyBorder="1" applyAlignment="1">
      <alignment horizontal="center" vertical="center" wrapText="1"/>
    </xf>
    <xf numFmtId="0" fontId="6" fillId="0" borderId="0" xfId="52" applyFont="1" applyFill="1" applyAlignment="1">
      <alignment horizontal="center"/>
    </xf>
    <xf numFmtId="0" fontId="3" fillId="0" borderId="0" xfId="52" applyFont="1" applyFill="1" applyAlignment="1">
      <alignment horizontal="right"/>
    </xf>
    <xf numFmtId="0" fontId="3" fillId="0" borderId="0" xfId="52" applyFont="1" applyFill="1" applyBorder="1" applyAlignment="1">
      <alignment horizontal="right"/>
    </xf>
    <xf numFmtId="0" fontId="3" fillId="0" borderId="10" xfId="52" applyFont="1" applyFill="1" applyBorder="1" applyAlignment="1">
      <alignment horizontal="right"/>
    </xf>
    <xf numFmtId="14" fontId="3" fillId="0" borderId="13" xfId="52" applyNumberFormat="1" applyFont="1" applyFill="1" applyBorder="1" applyAlignment="1">
      <alignment horizontal="center"/>
    </xf>
    <xf numFmtId="0" fontId="3" fillId="0" borderId="13" xfId="52" applyFont="1" applyFill="1" applyBorder="1" applyAlignment="1">
      <alignment horizontal="center" vertical="center" wrapText="1"/>
    </xf>
    <xf numFmtId="0" fontId="3" fillId="0" borderId="11" xfId="52" applyFont="1" applyFill="1" applyBorder="1" applyAlignment="1">
      <alignment horizontal="center" vertical="center" wrapText="1"/>
    </xf>
    <xf numFmtId="0" fontId="3" fillId="0" borderId="14" xfId="52" applyFont="1" applyFill="1" applyBorder="1" applyAlignment="1">
      <alignment horizontal="center" vertical="center" wrapText="1"/>
    </xf>
    <xf numFmtId="0" fontId="3" fillId="0" borderId="12" xfId="52" applyFont="1" applyFill="1" applyBorder="1" applyAlignment="1">
      <alignment horizontal="center" vertical="center" wrapText="1"/>
    </xf>
    <xf numFmtId="0" fontId="13" fillId="0" borderId="0" xfId="52" applyFont="1" applyFill="1" applyAlignment="1">
      <alignment horizontal="center" wrapText="1"/>
    </xf>
    <xf numFmtId="165" fontId="4" fillId="0" borderId="6" xfId="52" applyNumberFormat="1" applyFont="1" applyFill="1" applyBorder="1" applyAlignment="1">
      <alignment horizontal="right"/>
    </xf>
    <xf numFmtId="167" fontId="3" fillId="0" borderId="0" xfId="52" applyNumberFormat="1" applyFont="1" applyFill="1" applyAlignment="1">
      <alignment horizontal="right" wrapText="1"/>
    </xf>
    <xf numFmtId="0" fontId="3" fillId="0" borderId="0" xfId="52" applyFont="1" applyFill="1" applyAlignment="1">
      <alignment horizontal="right" wrapText="1"/>
    </xf>
    <xf numFmtId="165" fontId="3" fillId="0" borderId="0" xfId="52" applyNumberFormat="1" applyFont="1" applyFill="1" applyAlignment="1">
      <alignment horizontal="right"/>
    </xf>
    <xf numFmtId="0" fontId="4" fillId="0" borderId="0" xfId="52" applyFont="1" applyFill="1" applyAlignment="1">
      <alignment horizontal="left" wrapText="1"/>
    </xf>
    <xf numFmtId="165" fontId="4" fillId="0" borderId="0" xfId="52" applyNumberFormat="1" applyFont="1" applyFill="1" applyAlignment="1">
      <alignment horizontal="right"/>
    </xf>
    <xf numFmtId="0" fontId="4" fillId="0" borderId="0" xfId="52" applyFont="1" applyFill="1" applyAlignment="1">
      <alignment horizontal="right"/>
    </xf>
    <xf numFmtId="174" fontId="61" fillId="0" borderId="1" xfId="48" applyNumberFormat="1" applyFont="1" applyFill="1" applyBorder="1" applyAlignment="1">
      <alignment horizontal="right" wrapText="1"/>
    </xf>
    <xf numFmtId="174" fontId="61" fillId="0" borderId="3" xfId="48" applyNumberFormat="1" applyFont="1" applyFill="1" applyBorder="1" applyAlignment="1">
      <alignment horizontal="right" wrapText="1"/>
    </xf>
    <xf numFmtId="174" fontId="61" fillId="0" borderId="1" xfId="48" applyNumberFormat="1" applyFont="1" applyFill="1" applyBorder="1" applyAlignment="1">
      <alignment horizontal="center" wrapText="1"/>
    </xf>
    <xf numFmtId="174" fontId="61" fillId="0" borderId="3" xfId="48" applyNumberFormat="1" applyFont="1" applyFill="1" applyBorder="1" applyAlignment="1">
      <alignment horizontal="center" wrapText="1"/>
    </xf>
    <xf numFmtId="173" fontId="62" fillId="0" borderId="1" xfId="48" applyNumberFormat="1" applyFont="1" applyFill="1" applyBorder="1" applyAlignment="1">
      <alignment horizontal="right" wrapText="1"/>
    </xf>
    <xf numFmtId="173" fontId="62" fillId="0" borderId="3" xfId="48" applyNumberFormat="1" applyFont="1" applyFill="1" applyBorder="1" applyAlignment="1">
      <alignment horizontal="right" wrapText="1"/>
    </xf>
    <xf numFmtId="4" fontId="61" fillId="0" borderId="1" xfId="48" applyNumberFormat="1" applyFont="1" applyFill="1" applyBorder="1" applyAlignment="1">
      <alignment horizontal="right" wrapText="1"/>
    </xf>
    <xf numFmtId="4" fontId="61" fillId="0" borderId="3" xfId="48" applyNumberFormat="1" applyFont="1" applyFill="1" applyBorder="1" applyAlignment="1">
      <alignment horizontal="right" wrapText="1"/>
    </xf>
    <xf numFmtId="0" fontId="58" fillId="0" borderId="1" xfId="9" applyFont="1" applyFill="1" applyBorder="1" applyAlignment="1">
      <alignment horizontal="left" vertical="center" wrapText="1"/>
    </xf>
    <xf numFmtId="0" fontId="58" fillId="0" borderId="2" xfId="9" applyFont="1" applyFill="1" applyBorder="1" applyAlignment="1">
      <alignment horizontal="left" vertical="center" wrapText="1"/>
    </xf>
    <xf numFmtId="3" fontId="59" fillId="0" borderId="1" xfId="48" applyNumberFormat="1" applyFont="1" applyFill="1" applyBorder="1" applyAlignment="1">
      <alignment horizontal="right" vertical="center"/>
    </xf>
    <xf numFmtId="3" fontId="59" fillId="0" borderId="3" xfId="48" applyNumberFormat="1" applyFont="1" applyFill="1" applyBorder="1" applyAlignment="1">
      <alignment horizontal="right" vertical="center"/>
    </xf>
    <xf numFmtId="4" fontId="59" fillId="0" borderId="1" xfId="48" applyNumberFormat="1" applyFont="1" applyFill="1" applyBorder="1" applyAlignment="1">
      <alignment horizontal="right" vertical="center"/>
    </xf>
    <xf numFmtId="4" fontId="59" fillId="0" borderId="3" xfId="48" applyNumberFormat="1" applyFont="1" applyFill="1" applyBorder="1" applyAlignment="1">
      <alignment horizontal="right" vertical="center"/>
    </xf>
    <xf numFmtId="3" fontId="61" fillId="0" borderId="1" xfId="48" quotePrefix="1" applyNumberFormat="1" applyFont="1" applyFill="1" applyBorder="1" applyAlignment="1">
      <alignment horizontal="right" wrapText="1"/>
    </xf>
    <xf numFmtId="3" fontId="61" fillId="0" borderId="3" xfId="48" quotePrefix="1" applyNumberFormat="1" applyFont="1" applyFill="1" applyBorder="1" applyAlignment="1">
      <alignment horizontal="right" wrapText="1"/>
    </xf>
    <xf numFmtId="4" fontId="61" fillId="0" borderId="1" xfId="48" quotePrefix="1" applyNumberFormat="1" applyFont="1" applyFill="1" applyBorder="1" applyAlignment="1">
      <alignment horizontal="right" wrapText="1"/>
    </xf>
    <xf numFmtId="4" fontId="61" fillId="0" borderId="3" xfId="48" quotePrefix="1" applyNumberFormat="1" applyFont="1" applyFill="1" applyBorder="1" applyAlignment="1">
      <alignment horizontal="right" wrapText="1"/>
    </xf>
    <xf numFmtId="3" fontId="61" fillId="0" borderId="1" xfId="48" applyNumberFormat="1" applyFont="1" applyFill="1" applyBorder="1" applyAlignment="1">
      <alignment horizontal="right" wrapText="1"/>
    </xf>
    <xf numFmtId="3" fontId="61" fillId="0" borderId="3" xfId="48" applyNumberFormat="1" applyFont="1" applyFill="1" applyBorder="1" applyAlignment="1">
      <alignment horizontal="right" wrapText="1"/>
    </xf>
    <xf numFmtId="0" fontId="13" fillId="0" borderId="0" xfId="51" applyFont="1" applyAlignment="1">
      <alignment horizontal="center" vertical="top" wrapText="1"/>
    </xf>
    <xf numFmtId="0" fontId="57" fillId="0" borderId="4" xfId="17" applyFont="1" applyFill="1" applyBorder="1" applyAlignment="1">
      <alignment horizontal="left" wrapText="1"/>
    </xf>
    <xf numFmtId="0" fontId="57" fillId="0" borderId="4" xfId="9" applyFont="1" applyFill="1" applyBorder="1" applyAlignment="1">
      <alignment horizontal="right"/>
    </xf>
    <xf numFmtId="49" fontId="56" fillId="0" borderId="6" xfId="49" applyNumberFormat="1" applyFont="1" applyFill="1" applyBorder="1" applyAlignment="1">
      <alignment horizontal="left" vertical="top"/>
    </xf>
    <xf numFmtId="0" fontId="56" fillId="0" borderId="6" xfId="17" applyFont="1" applyFill="1" applyBorder="1" applyAlignment="1">
      <alignment horizontal="right"/>
    </xf>
  </cellXfs>
  <cellStyles count="53">
    <cellStyle name="Обычный" xfId="0" builtinId="0"/>
    <cellStyle name="Обычный 10 10 2" xfId="34"/>
    <cellStyle name="Обычный 10 3 2" xfId="1"/>
    <cellStyle name="Обычный 100 2 2 3 3 2" xfId="2"/>
    <cellStyle name="Обычный 107 3 2 2 2" xfId="8"/>
    <cellStyle name="Обычный 107 3 2 2 2 2" xfId="40"/>
    <cellStyle name="Обычный 11" xfId="50"/>
    <cellStyle name="Обычный 2" xfId="10"/>
    <cellStyle name="Обычный 2 13 11 2 2" xfId="9"/>
    <cellStyle name="Обычный 2 13 2" xfId="28"/>
    <cellStyle name="Обычный 2 2 2" xfId="26"/>
    <cellStyle name="Обычный 2 2 40 2" xfId="41"/>
    <cellStyle name="Обычный 2 3 2 3 2" xfId="35"/>
    <cellStyle name="Обычный 2 4" xfId="36"/>
    <cellStyle name="Обычный 2 5" xfId="12"/>
    <cellStyle name="Обычный 22 2" xfId="13"/>
    <cellStyle name="Обычный 24" xfId="11"/>
    <cellStyle name="Обычный 3" xfId="33"/>
    <cellStyle name="Обычный 3 2" xfId="38"/>
    <cellStyle name="Обычный 3 2 2" xfId="27"/>
    <cellStyle name="Обычный 3 2 2 2" xfId="25"/>
    <cellStyle name="Обычный 3 2 36 2 2" xfId="7"/>
    <cellStyle name="Обычный 3 3" xfId="37"/>
    <cellStyle name="Обычный 3 4 2" xfId="31"/>
    <cellStyle name="Обычный 305 2 2 2" xfId="3"/>
    <cellStyle name="Обычный 307 2 2" xfId="5"/>
    <cellStyle name="Обычный 308 2 2" xfId="6"/>
    <cellStyle name="Обычный 325 2" xfId="43"/>
    <cellStyle name="Обычный 4" xfId="51"/>
    <cellStyle name="Обычный 4 2" xfId="20"/>
    <cellStyle name="Обычный 4 2 2" xfId="18"/>
    <cellStyle name="Обычный 4 2 2 2" xfId="44"/>
    <cellStyle name="Обычный 5" xfId="17"/>
    <cellStyle name="Обычный 5 2 2 2" xfId="4"/>
    <cellStyle name="Обычный 5 3" xfId="47"/>
    <cellStyle name="Обычный 6" xfId="42"/>
    <cellStyle name="Обычный 7" xfId="52"/>
    <cellStyle name="Обычный 8 8 3" xfId="19"/>
    <cellStyle name="Обычный 9 2 2" xfId="30"/>
    <cellStyle name="Обычный_1933-Вариант ПМС 2" xfId="29"/>
    <cellStyle name="Обычный_Ф2_Ф3_07_Андропов" xfId="32"/>
    <cellStyle name="Обычный_Ф3" xfId="49"/>
    <cellStyle name="Обычный_Ф-3 и реестр БНТ СМТ-БТС 2 2" xfId="24"/>
    <cellStyle name="Финансовый 12 2 3" xfId="45"/>
    <cellStyle name="Финансовый 13 2" xfId="48"/>
    <cellStyle name="Финансовый 2 2" xfId="14"/>
    <cellStyle name="Финансовый 2 2 2" xfId="15"/>
    <cellStyle name="Финансовый 2 3" xfId="16"/>
    <cellStyle name="Финансовый 2 3 2" xfId="22"/>
    <cellStyle name="Финансовый 3 2" xfId="23"/>
    <cellStyle name="Финансовый 4" xfId="39"/>
    <cellStyle name="Финансовый 4 2" xfId="46"/>
    <cellStyle name="Финансовый 5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9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63" Type="http://schemas.openxmlformats.org/officeDocument/2006/relationships/externalLink" Target="externalLinks/externalLink51.xml"/><Relationship Id="rId68" Type="http://schemas.openxmlformats.org/officeDocument/2006/relationships/externalLink" Target="externalLinks/externalLink56.xml"/><Relationship Id="rId84" Type="http://schemas.openxmlformats.org/officeDocument/2006/relationships/externalLink" Target="externalLinks/externalLink72.xml"/><Relationship Id="rId89" Type="http://schemas.openxmlformats.org/officeDocument/2006/relationships/externalLink" Target="externalLinks/externalLink7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7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1.xml"/><Relationship Id="rId58" Type="http://schemas.openxmlformats.org/officeDocument/2006/relationships/externalLink" Target="externalLinks/externalLink46.xml"/><Relationship Id="rId66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62.xml"/><Relationship Id="rId79" Type="http://schemas.openxmlformats.org/officeDocument/2006/relationships/externalLink" Target="externalLinks/externalLink67.xml"/><Relationship Id="rId87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0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49.xml"/><Relationship Id="rId82" Type="http://schemas.openxmlformats.org/officeDocument/2006/relationships/externalLink" Target="externalLinks/externalLink70.xml"/><Relationship Id="rId90" Type="http://schemas.openxmlformats.org/officeDocument/2006/relationships/externalLink" Target="externalLinks/externalLink78.xml"/><Relationship Id="rId95" Type="http://schemas.openxmlformats.org/officeDocument/2006/relationships/externalLink" Target="externalLinks/externalLink83.xml"/><Relationship Id="rId1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56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52.xml"/><Relationship Id="rId69" Type="http://schemas.openxmlformats.org/officeDocument/2006/relationships/externalLink" Target="externalLinks/externalLink57.xml"/><Relationship Id="rId77" Type="http://schemas.openxmlformats.org/officeDocument/2006/relationships/externalLink" Target="externalLinks/externalLink65.xml"/><Relationship Id="rId100" Type="http://schemas.openxmlformats.org/officeDocument/2006/relationships/externalLink" Target="externalLinks/externalLink88.xml"/><Relationship Id="rId105" Type="http://schemas.openxmlformats.org/officeDocument/2006/relationships/externalLink" Target="externalLinks/externalLink93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72" Type="http://schemas.openxmlformats.org/officeDocument/2006/relationships/externalLink" Target="externalLinks/externalLink60.xml"/><Relationship Id="rId80" Type="http://schemas.openxmlformats.org/officeDocument/2006/relationships/externalLink" Target="externalLinks/externalLink68.xml"/><Relationship Id="rId85" Type="http://schemas.openxmlformats.org/officeDocument/2006/relationships/externalLink" Target="externalLinks/externalLink73.xml"/><Relationship Id="rId93" Type="http://schemas.openxmlformats.org/officeDocument/2006/relationships/externalLink" Target="externalLinks/externalLink81.xml"/><Relationship Id="rId98" Type="http://schemas.openxmlformats.org/officeDocument/2006/relationships/externalLink" Target="externalLinks/externalLink8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47.xml"/><Relationship Id="rId67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1.xml"/><Relationship Id="rId108" Type="http://schemas.openxmlformats.org/officeDocument/2006/relationships/sharedStrings" Target="sharedStrings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54" Type="http://schemas.openxmlformats.org/officeDocument/2006/relationships/externalLink" Target="externalLinks/externalLink42.xml"/><Relationship Id="rId62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58.xml"/><Relationship Id="rId75" Type="http://schemas.openxmlformats.org/officeDocument/2006/relationships/externalLink" Target="externalLinks/externalLink63.xml"/><Relationship Id="rId83" Type="http://schemas.openxmlformats.org/officeDocument/2006/relationships/externalLink" Target="externalLinks/externalLink71.xml"/><Relationship Id="rId88" Type="http://schemas.openxmlformats.org/officeDocument/2006/relationships/externalLink" Target="externalLinks/externalLink76.xml"/><Relationship Id="rId91" Type="http://schemas.openxmlformats.org/officeDocument/2006/relationships/externalLink" Target="externalLinks/externalLink79.xml"/><Relationship Id="rId96" Type="http://schemas.openxmlformats.org/officeDocument/2006/relationships/externalLink" Target="externalLinks/externalLink8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Relationship Id="rId57" Type="http://schemas.openxmlformats.org/officeDocument/2006/relationships/externalLink" Target="externalLinks/externalLink45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48.xml"/><Relationship Id="rId65" Type="http://schemas.openxmlformats.org/officeDocument/2006/relationships/externalLink" Target="externalLinks/externalLink53.xml"/><Relationship Id="rId73" Type="http://schemas.openxmlformats.org/officeDocument/2006/relationships/externalLink" Target="externalLinks/externalLink61.xml"/><Relationship Id="rId78" Type="http://schemas.openxmlformats.org/officeDocument/2006/relationships/externalLink" Target="externalLinks/externalLink66.xml"/><Relationship Id="rId81" Type="http://schemas.openxmlformats.org/officeDocument/2006/relationships/externalLink" Target="externalLinks/externalLink69.xml"/><Relationship Id="rId86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82.xml"/><Relationship Id="rId99" Type="http://schemas.openxmlformats.org/officeDocument/2006/relationships/externalLink" Target="externalLinks/externalLink87.xml"/><Relationship Id="rId101" Type="http://schemas.openxmlformats.org/officeDocument/2006/relationships/externalLink" Target="externalLinks/externalLink8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9" Type="http://schemas.openxmlformats.org/officeDocument/2006/relationships/externalLink" Target="externalLinks/externalLink27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22.xml"/><Relationship Id="rId50" Type="http://schemas.openxmlformats.org/officeDocument/2006/relationships/externalLink" Target="externalLinks/externalLink38.xml"/><Relationship Id="rId55" Type="http://schemas.openxmlformats.org/officeDocument/2006/relationships/externalLink" Target="externalLinks/externalLink43.xml"/><Relationship Id="rId76" Type="http://schemas.openxmlformats.org/officeDocument/2006/relationships/externalLink" Target="externalLinks/externalLink64.xml"/><Relationship Id="rId97" Type="http://schemas.openxmlformats.org/officeDocument/2006/relationships/externalLink" Target="externalLinks/externalLink85.xml"/><Relationship Id="rId104" Type="http://schemas.openxmlformats.org/officeDocument/2006/relationships/externalLink" Target="externalLinks/externalLink9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9.xml"/><Relationship Id="rId92" Type="http://schemas.openxmlformats.org/officeDocument/2006/relationships/externalLink" Target="externalLinks/externalLink8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4;&#1041;&#1066;&#1045;&#1050;&#1058;&#1067;\281%20&#1082;&#1084;%20&#1051;&#1080;&#1093;&#1072;&#1103;\2007\281%20&#1082;&#1084;%20-%20&#1057;&#1077;&#1085;&#1090;&#1103;&#1073;&#1088;&#1100;,%202007%20&#1075;%20&#1073;&#1077;&#1079;%20&#1072;&#1088;&#1077;&#1085;&#1076;&#109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117&#107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3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16%20&#1052;&#1086;&#1089;&#1090;%20&#1074;%20&#1089;.%20&#1065;&#1091;&#1095;&#1100;&#1077;%20&#1082;&#1084;%202+400%20(&#1042;&#1086;&#1088;.%20&#1086;&#1073;&#1083;.)\&#1041;&#1072;&#1079;&#1072;%2091&#10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8%20&#1052;&#1086;&#1089;&#1090;%20&#1050;&#1088;&#1072;&#1089;&#1085;&#1072;&#1103;%20&#1082;&#1084;%20567%20(&#1042;&#1086;&#1088;.&#1086;&#1073;&#1083;.)\&#1041;&#1072;&#1079;&#1072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1%20%20&#1056;&#1077;&#1084;&#1086;&#1085;&#1090;%2046&#1050;&#1052;(&#1082;&#1072;&#1090;&#1072;&#1083;&#1086;&#1075;%20&#1052;.&#1086;&#1073;&#1083;.)\SM11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Users\&#1050;&#1080;&#1095;&#1080;&#1075;&#1080;&#1085;&#1072;&#1045;\&#1052;&#1086;&#1080;%20&#1076;&#1086;&#1082;&#1091;&#1084;&#1077;&#1085;&#1090;&#1099;\&#1057;&#1084;&#1077;&#1090;&#1099;\273%20&#1057;&#1086;&#1076;.&#1084;&#1086;&#1089;&#1090;%20&#1088;.&#1057;.&#1044;&#1086;&#1085;&#1077;&#1094;\SM11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4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97%2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0&#1056;&#1052;%20&#1052;&#1086;&#1089;&#1090;%20&#1055;&#1086;&#1075;&#1072;&#1088;&#1097;&#1080;&#1085;&#1072;%20&#1082;&#1084;%2037+146\&#1041;&#1072;&#1079;&#1072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6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02\users\&#1055;&#1069;&#1054;\&#1055;&#1088;&#1086;&#1095;&#1080;&#1077;%20&#1057;&#1058;&#1056;&#1054;&#1049;-&#1058;&#1056;&#1045;&#1057;&#1058;\&#1055;&#1088;&#1086;&#1095;&#1080;&#1077;%202011\&#1050;&#1057;-2%20&#1053;&#1054;&#1071;&#1041;&#1056;&#1068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8%20&#1052;&#1086;&#1089;&#1090;%20&#1050;&#1088;&#1072;&#1089;&#1085;&#1072;&#1103;%20&#1082;&#1084;%20567%20(&#1042;&#1086;&#1088;.&#1086;&#1073;&#1083;.)\&#1041;&#1072;&#1079;&#1072;%209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6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EXCEL\SMETA\SM7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9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448&#1058;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8%20&#1052;&#1086;&#1089;&#1090;%20&#1058;&#1091;&#1088;&#1076;&#1077;&#1081;%20&#1082;&#1084;%20284&#1082;&#1084;%20(&#1058;&#1091;&#1083;.&#1086;&#1073;&#1083;.)\&#1073;&#1072;&#1079;84%2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59B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2;&#1086;&#1080;%20&#1076;&#1086;&#1082;&#1091;&#1084;&#1077;&#1085;&#1090;&#1099;\&#1057;&#1084;&#1077;&#1090;&#1099;\222%20&#1052;&#1086;&#1089;&#1090;%20&#1063;&#1077;&#1088;&#1085;&#1072;&#1103;%20&#1050;&#1072;&#1083;&#1080;&#1090;&#1074;&#1072;%20&#1082;&#1084;%20209+780%20(&#1042;&#1086;&#1088;.&#1086;&#1073;&#1083;.)\198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5%20&#1052;&#1086;&#1089;&#1090;%20&#1055;&#1090;&#1072;&#1085;&#1100;%20&#1082;&#1084;%20123+100%20(&#1051;&#1080;&#1087;.&#1086;&#1073;&#1083;.)\&#1073;&#1072;&#1079;.91&#1072;&#1073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12%20&#1052;&#1086;&#1089;&#1090;%20&#1041;&#1077;&#1088;&#1077;&#1079;&#1086;&#1074;&#1082;&#1072;%20(&#1051;&#1080;&#1087;&#1077;&#1094;&#1082;&#1072;&#1103;%20&#1086;&#1073;&#1083;.)\&#1073;&#1072;&#1079;.91&#104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NDREEA%20CHITU\Bible%20prix\BASE%20DE%20DONNEES%20PRIX%20ANDREE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7%20&#1052;&#1086;&#1089;&#1090;%20&#1042;&#1086;&#1088;&#1086;&#1085;&#1077;&#1078;%20302+725%20(&#1051;&#1080;&#1087;.&#1086;&#1073;&#1083;.)\&#1073;&#1072;&#1079;.91&#1057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750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1%20%20&#1056;&#1077;&#1084;&#1086;&#1085;&#1090;%2046&#1050;&#1052;(&#1082;&#1072;&#1090;&#1072;&#1083;&#1086;&#1075;%20&#1052;.&#1086;&#1073;&#1083;.)\SM13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5%20&#1052;&#1086;&#1089;&#1090;%20&#1055;&#1090;&#1072;&#1085;&#1100;%20&#1082;&#1084;%20123+100%20(&#1051;&#1080;&#1087;.&#1086;&#1073;&#1083;.)\&#1058;&#1077;&#1082;&#1091;&#1097;.&#1076;&#1077;&#1082;&#1072;&#1073;&#1088;&#110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7;&#1084;&#1077;&#1090;&#1099;\&#1057;&#1084;&#1077;&#1090;&#1099;%20&#1074;%20Excel\&#1040;&#1085;&#1076;&#1088;&#1077;&#1077;&#1074;%20&#1053;.&#1041;\300%20&#1082;&#1084;%20&#1055;&#1050;1%20&#1091;&#1095;-&#1082;&#1072;%20&#1041;&#1072;&#1083;&#1072;&#1096;&#1086;&#1074;-&#1048;&#1083;&#1100;&#1084;&#1077;&#1085;&#1100;%20(&#1042;&#1086;&#1083;&#1075;&#1086;&#1075;&#1088;&#1072;&#1076;&#1089;&#1082;&#1072;&#1103;%20&#1086;&#1073;&#1083;.)\&#1056;&#1072;&#1089;&#1095;&#1077;&#1090;&#1099;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%201\130-&#1084;.&#1087;.&#1054;&#1089;&#1082;&#1086;&#1083;%20-%20&#1072;.&#1076;.&#1063;&#1077;&#1088;&#1085;&#1103;&#1085;&#1082;&#1072;\&#1092;&#1086;&#1088;&#1084;&#1072;%203&#108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0;&#1091;&#1081;&#1073;&#1099;&#1096;&#1077;&#1074;&#1089;&#1082;&#1072;&#1103;%20&#1078;&#1076;\2004%20&#1075;&#1086;&#1076;\&#1054;&#1082;&#1090;&#1103;&#1073;&#1088;&#1100;%202004%20&#1075;\561-562%20&#1082;&#1084;%20-2001%20&#1075;.%20-%20&#1057;&#1077;&#1085;&#1090;&#1103;&#1073;&#1088;&#1100;,%202004%20&#107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0;&#1091;&#1081;&#1073;&#1099;&#1096;&#1077;&#1074;&#1089;&#1082;&#1072;&#1103;%20&#1078;&#1076;\2004%20&#1075;&#1086;&#1076;\&#1054;&#1082;&#1090;&#1103;&#1073;&#1088;&#1100;%202004%20&#1075;\2004%20&#1075;&#1086;&#1076;\&#1057;&#1077;&#1085;&#1090;&#1103;&#1073;&#1088;&#1100;\1741-1742%20&#1050;&#1073;&#1096;.&#1078;.&#1076;.%20-%20&#1057;&#1077;&#1085;&#1090;&#1103;&#1073;&#1088;&#1100;,%202004%20&#107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30ED5A1\1741-1742%20&#1050;&#1073;&#1096;.&#1078;.&#1076;.%20-%20&#1057;&#1077;&#1085;&#1090;&#1103;&#1073;&#1088;&#1100;,%202004%20&#1075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4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server\sp$\Documents%20and%20Settings\&#1045;&#1083;&#1077;&#1085;&#1072;\&#1056;&#1072;&#1073;&#1086;&#1095;&#1080;&#1081;%20&#1089;&#1090;&#1086;&#1083;\&#1042;&#1067;&#1055;&#1054;&#1051;&#1053;&#1045;&#1053;&#1048;&#1045;%20&#1053;&#1054;&#1071;&#1041;&#1056;&#1068;\&#1050;&#1057;-2%20&#1086;&#1082;&#1090;&#1103;&#1073;&#1088;&#1100;_&#1085;&#1086;&#1103;&#1073;&#1088;&#1100;_EXEL\&#1089;&#1074;&#1086;&#1076;&#1085;&#1099;&#1081;%20&#1050;&#1057;-2_&#1086;&#1082;&#1090;&#1103;&#1073;&#1088;&#1100;_&#1085;&#1086;&#1103;&#1073;&#1088;&#1100;_2&#1080;&#1089;&#1087;&#1088;.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6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%201\130-&#1084;.&#1087;.&#1054;&#1089;&#1082;&#1086;&#1083;%20-%20&#1072;.&#1076;.&#1063;&#1077;&#1088;&#1085;&#1103;&#1085;&#1082;&#1072;\&#1052;&#1072;&#1088;&#1100;&#1077;&#1074;&#1082;&#1072;%20&#1101;&#1082;&#1089;.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ckup\economists\&#1054;&#1090;&#1076;&#1077;&#1083;%20&#1087;&#1086;%20&#1088;&#1072;&#1073;&#1086;&#1090;&#1077;%20&#1089;%20&#1047;%20&#1080;%20&#1055;\&#1042;&#1099;&#1093;&#1080;&#1085;&#1086;-&#1046;&#1091;&#1083;&#1077;&#1073;&#1080;&#1085;&#1086;\&#1055;&#1056;&#1054;&#1063;&#1048;&#1045;\&#1055;&#1056;&#1054;&#1063;&#1048;&#1045;%20&#1076;&#1083;&#1103;%20&#1052;&#1048;&#1055;\&#1070;&#1043;&#1057;&#1050;\&#1055;&#1088;&#1086;&#1077;&#1082;&#1090;%20&#1088;&#1072;&#1089;&#1095;&#1077;&#1090;&#1072;%20&#1042;&#1072;&#1093;&#1090;&#1086;&#1074;&#1086;&#1075;&#1086;%20&#1084;&#1077;&#1090;&#1086;&#1076;&#1072;%20(&#1072;&#1074;&#1075;&#1091;&#1089;&#1090;%202011-&#1084;&#1072;&#1081;%202012).xlsm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8%20&#1052;&#1086;&#1089;&#1090;%20&#1058;&#1091;&#1088;&#1076;&#1077;&#1081;%20&#1082;&#1084;%20284&#1082;&#1084;%20(&#1058;&#1091;&#1083;.&#1086;&#1073;&#1083;.)\&#1042;&#1040;&#1061;&#1058;&#1040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7;&#1084;&#1077;&#1090;&#1072;%20&#1057;&#1052;&#1056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7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5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92107%20&#1086;&#1089;&#1074;&#1077;&#1097;&#1077;&#1085;&#1080;&#1077;%20-%20&#1050;&#1057;-3%20(&#1057;&#1073;&#1086;&#1088;&#1082;&#1072;%20&#1087;&#1086;%20&#1050;&#1057;-2)1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o_natalia\&#1084;&#1086;&#1080;%20&#1076;&#1086;&#1082;&#1091;&#1084;&#1077;&#1085;&#1090;\EKK\P4_DY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86&#1082;%20&#1056;&#1077;&#1084;&#1086;&#1085;&#1090;%20&#1051;&#1080;&#1087;&#1077;&#1094;&#1082;-10%20&#1096;&#1072;&#1093;&#1090;&#1072;\SM13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server\sp$\Documents%20and%20Settings\&#1054;&#1083;&#1100;&#1075;&#1072;%20&#1056;\&#1056;&#1072;&#1073;&#1086;&#1095;&#1080;&#1081;%20&#1089;&#1090;&#1086;&#1083;\&#1079;&#1077;&#1084;&#1083;&#1077;&#1091;&#1089;&#1090;&#1088;&#1086;&#1081;&#1089;&#1090;&#1074;&#1086;\&#1089;&#1074;&#1086;&#1076;&#1085;&#1099;&#1081;%20&#1050;&#1057;-2_&#1086;&#1082;&#1090;&#1103;&#1073;&#1088;&#1100;_&#1085;&#1086;&#1103;&#1073;&#1088;&#1100;_2&#1080;&#1089;&#1087;&#1088;.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PK\&#1054;&#1090;&#1076;&#1077;&#1083;%20&#1089;&#1090;&#1086;&#1080;&#1084;&#1086;&#1089;&#1090;&#1085;&#1086;&#1075;&#1086;%20&#1080;&#1085;&#1078;&#1080;&#1085;&#1080;&#1088;&#1080;&#1085;&#1075;&#1072;\&#1050;&#1086;&#1085;&#1090;&#1088;&#1072;&#1082;&#1090;%202\&#1040;&#1083;&#1084;&#1072;-&#1040;&#1090;&#1080;&#1085;&#1089;&#1082;&#1072;&#1103;\&#1056;&#1040;&#1057;&#1063;&#1045;&#1058;&#1067;\&#1055;&#1088;&#1086;&#1090;&#1086;&#1082;&#1086;&#1083;%20&#1044;&#1062;%20&#1089;%20&#1088;&#1072;&#1089;&#1095;&#1077;&#1090;&#1086;&#1084;%20(&#1056;&#1045;&#1047;&#1045;&#1056;&#1042;%20&#1044;&#1040;&#1063;&#1040;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6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86&#1082;%20&#1056;&#1077;&#1084;&#1086;&#1085;&#1090;%20&#1051;&#1080;&#1087;&#1077;&#1094;&#1082;-10%20&#1096;&#1072;&#1093;&#1090;&#1072;\SM155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97%20&#1043;&#1091;&#1073;&#1082;&#1080;&#1085;\SM97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EXCEL\SMETA\SM86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26%20&#1052;&#1086;&#1089;&#1090;&#1086;&#1074;&#1086;&#1075;&#1086;%20&#1089;&#1086;&#1086;&#1088;&#1091;&#1078;.%20&#1082;&#1084;%20276+645%20(&#1042;&#1086;&#1088;.&#1086;&#1073;&#1083;.)\&#1073;&#1072;&#1079;.199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97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57;-3%20(&#1057;&#1073;&#1086;&#1088;&#1085;&#1072;&#1103;%20&#1087;&#1086;%20&#1050;&#1057;-2)%20v6%20-%20&#1082;&#1086;&#1087;&#1080;&#1103;1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3;&#1072;&#1090;&#1072;\&#1052;&#1086;&#1080;%20&#1076;&#1086;&#1082;&#1091;&#1084;&#1077;&#1085;&#1090;&#1099;\2006%20&#1075;&#1086;&#1076;\1741-1742%20&#1050;&#1073;&#1096;%20&#1078;%20&#1076;%20%20-%20&#1071;&#1085;&#1074;&#1072;&#1088;&#1100;%20%202006%20&#1075;%20&#1057;%20&#1056;&#1045;&#1045;&#1057;&#1058;&#1056;&#1054;&#1052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d\&#1057;&#1084;&#1077;&#1090;&#1099;2\SMETA\SM159&#107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59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7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0&#1056;&#1052;%20&#1052;&#1086;&#1089;&#1090;%20&#1055;&#1086;&#1075;&#1072;&#1088;&#1097;&#1080;&#1085;&#1072;%20&#1082;&#1084;%2037+146\SM17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7%20&#1052;&#1086;&#1089;&#1090;%20&#1056;&#1077;&#1087;&#1077;&#1094;%20&#1082;&#1084;%20434(&#1051;&#1080;&#1087;.%20&#1086;&#1073;&#1083;.)\&#1073;&#1072;&#1079;.9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62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2;&#1086;&#1080;%20&#1076;&#1086;&#1082;&#1091;&#1084;&#1077;&#1085;&#1090;&#1099;\&#1057;&#1084;&#1077;&#1090;&#1099;\259%20&#1052;&#1086;&#1089;&#1090;&#1086;&#1074;&#1086;&#1077;%20&#1089;&#1086;&#1086;&#1088;&#1091;&#1078;.%20&#1082;&#1084;296+242%20(&#1042;&#1086;&#1088;.&#1086;&#1073;&#1083;)\&#1073;&#1072;&#1079;.1991%2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1%20%20&#1056;&#1077;&#1084;&#1086;&#1085;&#1090;%2046&#1050;&#1052;(&#1082;&#1072;&#1090;&#1072;&#1083;&#1086;&#1075;%20&#1052;.&#1086;&#1073;&#1083;.)\SM162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16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75%20222&#1082;&#1084;\&#1058;&#1077;&#1082;&#1091;&#1097;.&#1094;&#1077;&#1085;&#1072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%200428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462%20&#1082;&#1084;%20%20&#1055;&#1050;3-&#1055;&#1050;6%20-%20&#1057;&#1077;&#1085;&#1090;&#1103;&#1073;&#1088;&#1100;,%202004%20&#107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\SM159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2;&#1086;&#1080;%20&#1076;&#1086;&#1082;&#1091;&#1084;&#1077;&#1085;&#1090;&#1099;\&#1057;&#1084;&#1077;&#1090;&#1099;\290%20&#1040;&#1074;&#1090;&#1086;&#1076;&#1086;&#1088;&#1086;&#1075;&#1072;%20&#1042;&#1077;&#1089;&#1077;&#1083;&#1086;&#1074;&#1082;&#1072;(&#1056;&#1086;&#1089;&#1090;&#1086;&#1074;&#1089;&#1082;&#1072;&#1103;%20&#1086;&#1073;&#1083;)\&#1090;&#1077;&#1082;%202003&#1075;&#1044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5;&#1088;&#1080;&#1074;&#1086;&#1083;&#1078;&#1089;&#1082;&#1072;&#1103;%20&#1078;&#1076;\2004%20&#1075;&#1086;&#1076;\&#1054;&#1082;&#1090;&#1103;&#1073;&#1088;&#1100;%202004%20&#1075;\274%20&#1082;&#1084;-2001%20&#1075;.%20(&#1082;&#1086;&#1088;&#1088;&#1077;&#1082;&#1090;)%20(&#1050;&#1086;&#1087;&#1080;&#1103;)%20-%20&#1057;&#1077;&#1085;&#1090;&#1103;&#1073;&#1088;&#1100;,%202004%20&#1075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86&#1082;%20&#1056;&#1077;&#1084;&#1086;&#1085;&#1090;%20&#1051;&#1080;&#1087;&#1077;&#1094;&#1082;-10%20&#1096;&#1072;&#1093;&#1090;&#1072;\SM174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10%20&#1052;&#1086;&#1089;&#1090;%20442%20&#1082;&#1084;%20(&#1051;&#1080;&#1087;&#1077;&#1094;&#1082;&#1072;&#1103;%20&#1086;&#1073;&#1083;.)\&#1073;&#1072;&#1079;.9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5;&#1088;&#1080;&#1074;&#1086;&#1083;&#1078;&#1089;&#1082;&#1072;&#1103;%20&#1078;&#1076;\2004%20&#1075;&#1086;&#1076;\&#1054;&#1082;&#1090;&#1103;&#1073;&#1088;&#1100;%202004%20&#1075;\1069&#1082;&#1084;%20&#1055;&#1050;9-1070&#1082;&#1084;&#1055;&#1050;7%20-%20&#1057;&#1077;&#1085;&#1090;&#1103;&#1073;&#1088;&#1100;,%202004%20&#1075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0&#1056;&#1052;%20&#1052;&#1086;&#1089;&#1090;%20&#1055;&#1086;&#1075;&#1072;&#1088;&#1097;&#1080;&#1085;&#1072;%20&#1082;&#1084;%2037+146\&#1050;&#1086;&#1087;&#1080;&#1103;%20&#1058;&#1077;&#1082;&#1091;&#1097;&#1072;&#1103;%20&#1094;&#1077;&#1085;&#1072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8%20&#1052;&#1086;&#1089;&#1090;%20&#1050;&#1088;&#1072;&#1089;&#1085;&#1072;&#1103;%20&#1082;&#1084;%20567%20(&#1042;&#1086;&#1088;.&#1086;&#1073;&#1083;.)\&#1090;&#1077;&#1082;%20&#1050;&#1088;&#1072;&#1089;&#1085;&#1072;&#1103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72;&#1087;&#1082;&#1072;%20&#1086;&#1073;&#1084;&#1077;&#1085;&#1072;\Documents%20and%20Settings\&#1055;&#1080;&#1079;&#1080;&#1095;&#1040;&#1055;\Desktop\16&#1082;&#1084;%20&#1076;&#1083;&#1103;%20&#1055;&#1080;&#1079;&#1080;&#1095;&#1072;%20&#1040;\&#1057;&#1084;&#1077;&#1090;&#1099;%20&#1087;&#1086;%2016%20&#1082;&#1084;\&#1051;&#1086;&#1082;%20&#1089;&#1084;&#1077;&#1090;&#1072;%201-14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0.&#1042;%20&#1067;%20&#1055;%20&#1054;%20&#1051;%20&#1053;%20&#1045;%20&#1053;%20&#1048;%20&#1045;\2009%20&#1074;&#1099;&#1087;&#1086;&#1083;&#1085;&#1077;&#1085;&#1080;&#1077;\09.2009&#1075;\1.&#1044;&#1050;&#1056;&#1057;%20-%20&#1052;&#1086;&#1089;&#1082;&#1074;&#1072;\&#1043;&#1086;&#1088;&#1100;&#1082;&#1086;&#1074;&#1089;&#1082;&#1072;&#1103;%20&#1078;.&#1076;\06.2009&#1075;\1.&#1044;&#1050;&#1056;&#1057;%20-%20&#1052;&#1086;&#1089;&#1082;&#1074;&#1072;\&#1043;&#1086;&#1088;&#1100;&#1082;&#1086;&#1074;&#1089;&#1082;&#1072;&#1103;%20&#1078;.&#1076;\&#1087;&#1072;&#1087;&#1082;&#1072;%20&#1086;&#1073;&#1084;&#1077;&#1085;&#1072;\Documents%20and%20Settings\&#1055;&#1080;&#1079;&#1080;&#1095;&#1040;&#1055;\Desktop\16&#1082;&#1084;%20&#1076;&#1083;&#1103;%20&#1055;&#1080;&#1079;&#1080;&#1095;&#1072;%20&#1040;\&#1057;&#1084;&#1077;&#1090;&#1099;%20&#1087;&#1086;%2016%20&#1082;&#1084;\&#1051;&#1086;&#1082;%20&#1089;&#1084;&#1077;&#1090;&#1072;%201-1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2557F43\&#1051;&#1086;&#1082;%20&#1089;&#1084;&#1077;&#1090;&#1072;%201-1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120&#1072;.xls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4;&#1073;&#1098;&#1077;&#1082;&#1090;&#1099;\&#1040;&#1084;&#1080;&#1085;&#1100;&#1077;&#1074;&#1089;&#1082;&#1086;&#1077;\&#1042;&#1099;&#1087;&#1086;&#1083;&#1085;&#1077;&#1085;&#1080;&#1077;%2014.05.2020\12-4017-&#1051;-&#1056;-8.3.1-&#1042;&#1050;-&#1057;&#1052;1%20&#1048;&#1085;&#1078;&#1077;&#1085;%20-%20&#1052;&#1072;&#1081;,%202020%20&#1075;.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\&#1057;&#1091;&#1073;&#1087;&#1086;&#1076;&#1088;&#1103;&#1076;\&#1057;&#1077;&#1085;&#1090;&#1103;&#1073;&#1088;&#1100;\06.09.2020%2012-4017-&#1051;-&#1056;-8.3.1-&#1042;&#1050;-&#1057;&#1052;1%20(11.1)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\&#1057;&#1091;&#1073;&#1087;&#1086;&#1076;&#1088;&#1103;&#1076;\&#1057;&#1077;&#1085;&#1090;&#1103;&#1073;&#1088;&#1100;\08.09.2020%2012-4017-&#1051;-&#1056;-11.3.3.2-&#1042;&#1050;-&#1057;&#1052;1&#1050;%201%20(11.3)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\&#1057;&#1091;&#1073;&#1087;&#1086;&#1076;&#1088;&#1103;&#1076;\&#1057;&#1077;&#1085;&#1090;&#1103;&#1073;&#1088;&#1100;\09.09.2020%2012-4017-&#1051;-&#1056;-11.3.3.2-&#1042;&#1050;-&#1057;&#1052;1&#1050;%20(11.4)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\&#1057;&#1091;&#1073;&#1087;&#1086;&#1076;&#1088;&#1103;&#1076;\&#1057;&#1077;&#1085;&#1090;&#1103;&#1073;&#1088;&#1100;\13.09.2020%2012-4017-&#1051;-&#1056;-11.4.3.2-&#1042;&#1050;-&#1057;&#1052;1%20(11.5)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0\8%20&#1057;&#1077;&#1085;&#1090;&#1103;&#1073;&#1088;&#1100;\&#1050;&#1057;-3%20&#8470;%2011%20&#1089;%2010%20&#1087;&#1086;%2030\(48809-&#1058;&#1055;&#1050;_5-0673-&#1056;-&#1057;&#1057;&#1056;2)%2012-4%20-%20&#1054;&#1054;&#1054;%20_&#1057;&#1058;&#1056;&#1054;&#1049;-&#1052;&#1054;&#1053;&#1058;&#1040;&#1046;%202002_,%20&#1057;&#1077;&#1085;&#1090;&#1103;&#1073;&#1088;&#1100;,%202020%20&#1075;.%20&#8470;11.5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\&#1057;&#1091;&#1073;&#1087;&#1086;&#1076;&#1088;&#1103;&#1076;\&#1057;&#1077;&#1085;&#1090;&#1103;&#1073;&#1088;&#1100;\01.09.2020%2012-4017-&#1051;-&#1056;-12.3.1-&#1042;&#1050;-&#1057;&#1052;1%20(11.21)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\&#1057;&#1091;&#1073;&#1087;&#1086;&#1076;&#1088;&#1103;&#1076;\&#1057;&#1077;&#1085;&#1090;&#1103;&#1073;&#1088;&#1100;\12.09.2020%2012-4017-&#1051;-&#1056;-12.3.1-&#1042;&#1050;-&#1057;&#1052;1%20(11.22)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\&#1057;&#1091;&#1073;&#1087;&#1086;&#1076;&#1088;&#1103;&#1076;\&#1057;&#1077;&#1085;&#1090;&#1103;&#1073;&#1088;&#1100;\04.09.2020%2012-4017-&#1051;-&#1056;-11.4.3.1-&#1054;&#1042;1.3-&#1057;&#1052;1%20(11.23)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\&#1057;&#1091;&#1073;&#1087;&#1086;&#1076;&#1088;&#1103;&#1076;\&#1057;&#1077;&#1085;&#1090;&#1103;&#1073;&#1088;&#1100;\11.09.2020%2012-4017-&#1051;-&#1056;-11.5.4-&#1042;&#1050;-&#1057;&#1052;1%20(11.24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62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\&#1057;&#1091;&#1073;&#1087;&#1086;&#1076;&#1088;&#1103;&#1076;\&#1057;&#1077;&#1085;&#1090;&#1103;&#1073;&#1088;&#1100;\10.09.2020%2012-4017-&#1051;-&#1056;-11.5.3-&#1054;&#1042;-&#1057;&#1052;1&#1050;%201%201%20(11.25)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\&#1057;&#1091;&#1073;&#1087;&#1086;&#1076;&#1088;&#1103;&#1076;\&#1057;&#1077;&#1085;&#1090;&#1103;&#1073;&#1088;&#1100;\05.09.2020%2012-4017-&#1051;-&#1056;-11.4.3.1-&#1054;&#1042;1.1-&#1057;&#1052;1%20(11.26)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4;&#1073;&#1098;&#1077;&#1082;&#1090;&#1099;\&#1040;&#1084;&#1080;&#1085;&#1100;&#1077;&#1074;&#1089;&#1082;&#1086;&#1077;\&#1042;&#1099;&#1087;&#1086;&#1083;&#1085;&#1077;&#1085;&#1080;&#1077;%2008.2020\02.08.2020%2012-4017-&#1051;-&#1056;-11.4.3.1-&#1054;&#1042;1.1-&#1057;&#1052;1%20(48837)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69;&#1054;/&#1057;&#1052;&#1045;&#1058;&#1053;&#1067;&#1049;%20&#1054;&#1058;&#1044;&#1045;&#1051;/&#1042;&#1067;&#1055;&#1054;&#1051;&#1053;&#1045;&#1053;&#1048;&#1045;%20&#1057;&#1052;&#1056;/4-%20%202020%20&#1075;&#1086;&#1076;/40%20&#1048;&#1102;&#1085;&#1100;%202020%20&#1075;/5-5%20&#1057;&#1052;2002-&#1052;&#1048;&#1055;1/779/NEW%20&#1050;&#1057;-2%20&#1050;&#1057;-3%20&#8470;1_6%20(&#1089;-&#1087;%20&#1048;&#1102;&#1085;&#1100;%20779)%20(&#1091;&#1090;&#1074;.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2"/>
      <sheetName val="Source"/>
      <sheetName val="реестр новый "/>
      <sheetName val="КС-3 "/>
      <sheetName val="ВПДМ Май 2019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трын"/>
      <sheetName val="зп мост"/>
      <sheetName val="зпподходы"/>
      <sheetName val="К.С.М."/>
      <sheetName val="Тр."/>
      <sheetName val="ПИР"/>
      <sheetName val="C.с"/>
      <sheetName val="П.з"/>
      <sheetName val="зим,"/>
      <sheetName val="эл"/>
      <sheetName val="ком"/>
      <sheetName val="C.с (р)"/>
      <sheetName val="П.з (2)"/>
      <sheetName val="сод"/>
      <sheetName val="Тр.(ж.д.)"/>
      <sheetName val="ч. щ. 2"/>
    </sheetNames>
    <sheetDataSet>
      <sheetData sheetId="0"/>
      <sheetData sheetId="1"/>
      <sheetData sheetId="2"/>
      <sheetData sheetId="3"/>
      <sheetData sheetId="4">
        <row r="36">
          <cell r="H36">
            <v>1.83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(дор.+мост)"/>
      <sheetName val="Тр.(дор.)"/>
      <sheetName val="Тр.  (мост)"/>
      <sheetName val="Сод.л.см"/>
      <sheetName val="Сод.р.в."/>
      <sheetName val="П.з.р.в"/>
      <sheetName val="П.з.л.см"/>
      <sheetName val="C.с"/>
      <sheetName val="В.ст.дор"/>
      <sheetName val="В.ст.мост"/>
      <sheetName val="Вр"/>
      <sheetName val="зим"/>
      <sheetName val="эл"/>
      <sheetName val="ПИРб"/>
      <sheetName val="ПИРт"/>
      <sheetName val="Тр."/>
      <sheetName val="FS_05"/>
      <sheetName val="2012(КСЛ) (2)"/>
      <sheetName val="12"/>
      <sheetName val="Тр.(ж.д.)"/>
      <sheetName val="ч. щ. 2"/>
    </sheetNames>
    <sheetDataSet>
      <sheetData sheetId="0"/>
      <sheetData sheetId="1">
        <row r="77">
          <cell r="H77">
            <v>497.25</v>
          </cell>
        </row>
      </sheetData>
      <sheetData sheetId="2"/>
      <sheetData sheetId="3"/>
      <sheetData sheetId="4">
        <row r="30">
          <cell r="P30">
            <v>10.14</v>
          </cell>
        </row>
      </sheetData>
      <sheetData sheetId="5"/>
      <sheetData sheetId="6"/>
      <sheetData sheetId="7"/>
      <sheetData sheetId="8"/>
      <sheetData sheetId="9">
        <row r="39">
          <cell r="D39">
            <v>6.12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зимБ"/>
      <sheetName val="C.с  Б"/>
      <sheetName val="вахта Б"/>
      <sheetName val="ПИР"/>
      <sheetName val="сод.л.см."/>
      <sheetName val="ч. щ. 1"/>
      <sheetName val="ч. щ. 2"/>
      <sheetName val="П.з"/>
      <sheetName val="Тр.  (мост)"/>
      <sheetName val="Тр.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C.с баз"/>
      <sheetName val="зим"/>
      <sheetName val="П.з"/>
      <sheetName val="сод.л.см."/>
      <sheetName val="ПИР"/>
      <sheetName val="об.смДБаз."/>
      <sheetName val="зимДБаз."/>
      <sheetName val="об.см.ДБаз.(1э)"/>
      <sheetName val="зим ДБаз.(1э)"/>
      <sheetName val="об.см.ДТек (1э)"/>
      <sheetName val="об.смДТек"/>
      <sheetName val="зим ДТек"/>
      <sheetName val="зимДТек(1э)"/>
      <sheetName val="Сод. к л.см.(1э)"/>
      <sheetName val="Сод. к л.см."/>
      <sheetName val="вах"/>
      <sheetName val="вр"/>
      <sheetName val="C.с"/>
      <sheetName val="Тр.  (мост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К.С.М. (2)"/>
      <sheetName val="Тр. "/>
      <sheetName val="вск1"/>
      <sheetName val="Р1"/>
      <sheetName val="ПИР"/>
      <sheetName val="П.з "/>
      <sheetName val="зим"/>
      <sheetName val="C.с"/>
      <sheetName val="C.с1п"/>
      <sheetName val="зим 1п"/>
      <sheetName val="Сод.р.в."/>
      <sheetName val="П.з.р.в."/>
      <sheetName val="тр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К.С.М. (2)"/>
      <sheetName val="Тр. "/>
      <sheetName val="вск1"/>
      <sheetName val="Р1"/>
      <sheetName val="ПИР"/>
      <sheetName val="П.з "/>
      <sheetName val="C.с"/>
      <sheetName val="зим"/>
    </sheetNames>
    <sheetDataSet>
      <sheetData sheetId="0"/>
      <sheetData sheetId="1"/>
      <sheetData sheetId="2"/>
      <sheetData sheetId="3">
        <row r="49">
          <cell r="P49">
            <v>33.584000000000003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"/>
      <sheetName val="К"/>
      <sheetName val="ч. щ. 1"/>
      <sheetName val="ч. щ. 2"/>
      <sheetName val="К.С.М."/>
      <sheetName val="Тр."/>
      <sheetName val="зим."/>
      <sheetName val="вах"/>
      <sheetName val="вр"/>
      <sheetName val="C.с"/>
      <sheetName val="П.з.л.см"/>
      <sheetName val="П.з.р.в"/>
      <sheetName val="Сод.л.см"/>
      <sheetName val="Сод.р.в."/>
      <sheetName val="К.С.М. (2)"/>
      <sheetName val="Приложение 15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>
        <row r="17">
          <cell r="F17">
            <v>23154</v>
          </cell>
        </row>
      </sheetData>
      <sheetData sheetId="8" refreshError="1">
        <row r="33">
          <cell r="G33">
            <v>60.84</v>
          </cell>
        </row>
      </sheetData>
      <sheetData sheetId="9" refreshError="1">
        <row r="28">
          <cell r="I28">
            <v>3.23</v>
          </cell>
        </row>
        <row r="58">
          <cell r="E58">
            <v>3.96</v>
          </cell>
        </row>
      </sheetData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Тр. (2)"/>
      <sheetName val="C.с "/>
      <sheetName val="C.с  (2)"/>
      <sheetName val="C.сбаз.и"/>
      <sheetName val="Р1 (2)"/>
      <sheetName val="Р1 (И)"/>
      <sheetName val="П.з "/>
      <sheetName val="сод"/>
      <sheetName val="сод (2)"/>
      <sheetName val="сод р.в."/>
      <sheetName val="П.з  (2)"/>
      <sheetName val="П.з  (3)"/>
      <sheetName val="К.С.М. (2)"/>
      <sheetName val="C.с"/>
      <sheetName val="вах"/>
      <sheetName val="вр"/>
      <sheetName val="зим."/>
      <sheetName val="mutual"/>
    </sheetNames>
    <sheetDataSet>
      <sheetData sheetId="0"/>
      <sheetData sheetId="1"/>
      <sheetData sheetId="2">
        <row r="42">
          <cell r="P42">
            <v>15.75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об.смДБаз."/>
      <sheetName val="зимДБаз."/>
      <sheetName val="об.см.ДБаз.(1э)"/>
      <sheetName val="зим ДБаз.(1э)"/>
      <sheetName val="об.см.ДТек (1э)"/>
      <sheetName val="об.смДТек"/>
      <sheetName val="зим ДТек"/>
      <sheetName val="зимДТек(1э)"/>
      <sheetName val="Сод. к л.см.(1э)"/>
      <sheetName val="Сод. к л.см."/>
      <sheetName val="вах"/>
      <sheetName val="вр"/>
      <sheetName val="C.с"/>
      <sheetName val="зим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"/>
      <sheetName val="вск1"/>
      <sheetName val="Р1"/>
      <sheetName val="ПИР"/>
      <sheetName val="П.з "/>
      <sheetName val="C.с"/>
      <sheetName val="C.с (3)"/>
      <sheetName val="C.с (2)"/>
      <sheetName val="зим"/>
      <sheetName val="Рокно"/>
      <sheetName val="П.з  (2)"/>
      <sheetName val="C.с (4)"/>
      <sheetName val="вр"/>
      <sheetName val="Lots1127"/>
    </sheetNames>
    <sheetDataSet>
      <sheetData sheetId="0"/>
      <sheetData sheetId="1"/>
      <sheetData sheetId="2">
        <row r="18">
          <cell r="P18">
            <v>15.080000000000002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л.энергия"/>
      <sheetName val="аренда флота"/>
      <sheetName val="Эл.энергия без 100 кВт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C.с баз"/>
      <sheetName val="зим"/>
      <sheetName val="П.з"/>
      <sheetName val="сод.л.см."/>
      <sheetName val="ПИР"/>
      <sheetName val="Фрез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.С.М."/>
      <sheetName val="Ф"/>
      <sheetName val="Bendra"/>
    </sheetNames>
    <sheetDataSet>
      <sheetData sheetId="0">
        <row r="113">
          <cell r="P113">
            <v>24.96</v>
          </cell>
        </row>
      </sheetData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р"/>
      <sheetName val="К"/>
      <sheetName val="Ф"/>
      <sheetName val="К.С.М."/>
      <sheetName val="Тр."/>
      <sheetName val="Тр. (2)"/>
      <sheetName val="а.б. 1 м"/>
      <sheetName val="битум"/>
      <sheetName val="Р1 "/>
      <sheetName val="ПИР"/>
      <sheetName val="C.с "/>
      <sheetName val="Р2"/>
      <sheetName val="П.з "/>
      <sheetName val="C.с  (2)"/>
      <sheetName val="C.с  (4)"/>
      <sheetName val="К.С.М. (2)"/>
    </sheetNames>
    <sheetDataSet>
      <sheetData sheetId="0"/>
      <sheetData sheetId="1"/>
      <sheetData sheetId="2"/>
      <sheetData sheetId="3">
        <row r="192">
          <cell r="P192">
            <v>26.808000000000003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.р."/>
      <sheetName val="К"/>
      <sheetName val="Ф"/>
      <sheetName val="К.С.М."/>
      <sheetName val="Тр."/>
      <sheetName val="ПИР"/>
      <sheetName val="C.с"/>
      <sheetName val="Р1"/>
      <sheetName val="Р2"/>
      <sheetName val="Р2 (2)"/>
      <sheetName val="Р3"/>
      <sheetName val="C.с (2)"/>
      <sheetName val="C.с (3)"/>
      <sheetName val="П.з"/>
      <sheetName val="сод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С.с"/>
      <sheetName val="С.с (2)"/>
      <sheetName val="Р1"/>
      <sheetName val="Р2"/>
      <sheetName val="П.з"/>
      <sheetName val="ПИР"/>
      <sheetName val="об"/>
      <sheetName val="мат"/>
      <sheetName val="К.С.М."/>
      <sheetName val="Ф"/>
    </sheetNames>
    <sheetDataSet>
      <sheetData sheetId="0"/>
      <sheetData sheetId="1"/>
      <sheetData sheetId="2">
        <row r="155">
          <cell r="K155">
            <v>585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Тр.ж.д."/>
      <sheetName val="Тр.ж.д. (1)"/>
      <sheetName val="ПИР"/>
      <sheetName val="C.с баз"/>
      <sheetName val="зим Б"/>
      <sheetName val="вах"/>
      <sheetName val="эл"/>
      <sheetName val="П.з"/>
      <sheetName val="сод"/>
      <sheetName val="сод.л.см."/>
      <sheetName val="сод.л.р.в.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"/>
      <sheetName val="КС-2"/>
      <sheetName val="3"/>
      <sheetName val="Inf"/>
    </sheetNames>
    <sheetDataSet>
      <sheetData sheetId="0">
        <row r="48">
          <cell r="H48">
            <v>65.84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ж.д."/>
      <sheetName val="сод"/>
      <sheetName val="ПИРБ"/>
      <sheetName val="C.с  Б"/>
      <sheetName val="зимБ"/>
      <sheetName val="вах"/>
      <sheetName val="Тр.(пут)"/>
      <sheetName val="Фм"/>
      <sheetName val="К.С.М. (ПУТ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C.с баз"/>
      <sheetName val="Тр."/>
      <sheetName val="зим Б"/>
      <sheetName val="сод.л.см."/>
      <sheetName val="П.з"/>
      <sheetName val="Об.см."/>
      <sheetName val="вах"/>
      <sheetName val="ПИР"/>
      <sheetName val="Тр.(пут)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зим Б"/>
      <sheetName val="сод.л.см."/>
      <sheetName val="П.з"/>
      <sheetName val="ПИР"/>
      <sheetName val="вах"/>
      <sheetName val="Об.см."/>
      <sheetName val="ТрМ. "/>
      <sheetName val="К.С.М. м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urnisseurs"/>
      <sheetName val="Catégories"/>
      <sheetName val="Diffuseurs"/>
      <sheetName val="Terminaux clim"/>
      <sheetName val="AERAULIQUE"/>
      <sheetName val="HYDRAULIQUE"/>
      <sheetName val="Source"/>
    </sheetNames>
    <sheetDataSet>
      <sheetData sheetId="0" refreshError="1"/>
      <sheetData sheetId="1">
        <row r="5">
          <cell r="B5" t="str">
            <v>Diffuseurs filtres</v>
          </cell>
        </row>
        <row r="6">
          <cell r="B6" t="str">
            <v>Diffuseurs petit débit</v>
          </cell>
        </row>
        <row r="7">
          <cell r="B7" t="str">
            <v>Diffuseurs à induction interne</v>
          </cell>
        </row>
        <row r="8">
          <cell r="B8" t="str">
            <v>Diffuseurs plafonniers perforés</v>
          </cell>
        </row>
        <row r="9">
          <cell r="B9" t="str">
            <v>Diffuseurs longue portée</v>
          </cell>
        </row>
        <row r="10">
          <cell r="B10" t="str">
            <v>Diffuseurs de sol/contre marche pour salle de spectacle</v>
          </cell>
        </row>
        <row r="11">
          <cell r="B11" t="str">
            <v>Buses de soufflages</v>
          </cell>
        </row>
        <row r="12">
          <cell r="B12" t="str">
            <v>Diffuseurs circulaires</v>
          </cell>
        </row>
        <row r="13">
          <cell r="B13" t="str">
            <v>Diffuseurs architecturaux</v>
          </cell>
        </row>
        <row r="14">
          <cell r="B14" t="str">
            <v>Diffuseurs à jets rotatif</v>
          </cell>
        </row>
        <row r="15">
          <cell r="B15" t="str">
            <v>Diffuseurs linéaires</v>
          </cell>
        </row>
        <row r="16">
          <cell r="B16" t="str">
            <v>Diffuseurs pour locaux de grandes hauteur</v>
          </cell>
        </row>
        <row r="17">
          <cell r="B17" t="str">
            <v>Diffuseurs à déplacements</v>
          </cell>
        </row>
        <row r="20">
          <cell r="B20" t="str">
            <v>Catégories de pompes</v>
          </cell>
        </row>
        <row r="22">
          <cell r="B22" t="str">
            <v>Pompes simples</v>
          </cell>
        </row>
        <row r="23">
          <cell r="B23" t="str">
            <v>Pompes doubles</v>
          </cell>
        </row>
        <row r="27">
          <cell r="B27" t="str">
            <v>Catégories de splits</v>
          </cell>
        </row>
        <row r="28">
          <cell r="B28" t="str">
            <v>Monosplit</v>
          </cell>
        </row>
        <row r="29">
          <cell r="B29" t="str">
            <v>Multisplit</v>
          </cell>
        </row>
        <row r="32">
          <cell r="B32" t="str">
            <v>Catégories d'échangeurs à plaques</v>
          </cell>
        </row>
        <row r="33">
          <cell r="B33" t="str">
            <v>465kW</v>
          </cell>
        </row>
        <row r="34">
          <cell r="B34" t="str">
            <v>950kW</v>
          </cell>
        </row>
        <row r="36">
          <cell r="B36" t="str">
            <v>Catégories de ventilo-convecteurs (VC)</v>
          </cell>
        </row>
        <row r="37">
          <cell r="B37" t="str">
            <v>2 tuyaux</v>
          </cell>
        </row>
        <row r="38">
          <cell r="B38" t="str">
            <v>4 tuyaux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зим Б"/>
      <sheetName val="ПИР б"/>
      <sheetName val="сод.л.см."/>
      <sheetName val="П.з"/>
      <sheetName val="Тр.(ж.д.)"/>
      <sheetName val="ч. щ. 2"/>
      <sheetName val="BDR02"/>
    </sheetNames>
    <sheetDataSet>
      <sheetData sheetId="0" refreshError="1"/>
      <sheetData sheetId="1">
        <row r="97">
          <cell r="H97">
            <v>6.27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"/>
      <sheetName val="Тр."/>
      <sheetName val="3"/>
    </sheetNames>
    <sheetDataSet>
      <sheetData sheetId="0">
        <row r="28">
          <cell r="H28">
            <v>238.77899999999997</v>
          </cell>
        </row>
      </sheetData>
      <sheetData sheetId="1" refreshError="1"/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(дор.+мост)"/>
      <sheetName val="Тр.(дор.)"/>
      <sheetName val="Тр.  (мост)"/>
      <sheetName val="Сод.л.см"/>
      <sheetName val="Сод.р.в."/>
      <sheetName val="П.з.р.в"/>
      <sheetName val="П.з.л.см"/>
      <sheetName val="C.с"/>
      <sheetName val="В.ст.дор"/>
      <sheetName val="В.ст.мост"/>
      <sheetName val="Вр"/>
      <sheetName val="зим"/>
      <sheetName val="эл"/>
      <sheetName val="ПИРб"/>
      <sheetName val="ПИРт"/>
      <sheetName val="FS_05"/>
    </sheetNames>
    <sheetDataSet>
      <sheetData sheetId="0"/>
      <sheetData sheetId="1">
        <row r="77">
          <cell r="H77">
            <v>497.25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2"/>
      <sheetName val="сод.т.ц."/>
      <sheetName val="Возврат"/>
      <sheetName val="C.с "/>
      <sheetName val="зим "/>
      <sheetName val="эл т"/>
      <sheetName val="Об.см."/>
      <sheetName val="ПИР"/>
      <sheetName val="тр "/>
      <sheetName val="К.С.М."/>
      <sheetName val="Ф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им "/>
      <sheetName val="эл"/>
      <sheetName val="экспертиза"/>
      <sheetName val="содт"/>
      <sheetName val="июнь ТО-45"/>
      <sheetName val="Ф"/>
    </sheetNames>
    <sheetDataSet>
      <sheetData sheetId="0">
        <row r="31">
          <cell r="F31">
            <v>61643.700000000004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има"/>
      <sheetName val="Зима тек."/>
      <sheetName val="ф3"/>
      <sheetName val="ф3д"/>
      <sheetName val="ф3м"/>
      <sheetName val="Вр"/>
      <sheetName val="Вр тек"/>
      <sheetName val="эл"/>
      <sheetName val="эл т"/>
      <sheetName val="Макрос1"/>
      <sheetName val="Макрос2"/>
      <sheetName val="Макрос3"/>
      <sheetName val="для расчёта"/>
      <sheetName val="Февраль"/>
      <sheetName val="зим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Лист1"/>
      <sheetName val="Source"/>
      <sheetName val="SmtRes"/>
      <sheetName val="ClcRes"/>
      <sheetName val="зим 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 (2)"/>
      <sheetName val="Лист2"/>
      <sheetName val="Лист1"/>
      <sheetName val="Source"/>
      <sheetName val="SmtRes"/>
      <sheetName val="ClcRes"/>
      <sheetName val="Зима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 (2)"/>
      <sheetName val="Лист2"/>
      <sheetName val="Лист1"/>
      <sheetName val="Source"/>
      <sheetName val="SmtRes"/>
      <sheetName val="ClcRes"/>
      <sheetName val="Зима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р"/>
      <sheetName val="К"/>
      <sheetName val="Ф"/>
      <sheetName val="К.С.М."/>
      <sheetName val="Тр(мост)"/>
      <sheetName val="Тр(дор.)"/>
      <sheetName val="C.с "/>
      <sheetName val="зим"/>
      <sheetName val="П.з. л. c"/>
      <sheetName val="П.з.р.в."/>
      <sheetName val="ПИРб"/>
      <sheetName val="ПИРт"/>
      <sheetName val="Сод р.в."/>
      <sheetName val="Сод.л.см"/>
      <sheetName val="Лист1"/>
      <sheetName val="Зима"/>
      <sheetName val="XRate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1">
          <cell r="D21">
            <v>54.33</v>
          </cell>
        </row>
        <row r="25">
          <cell r="D25">
            <v>1.04</v>
          </cell>
        </row>
        <row r="28">
          <cell r="D28">
            <v>6.99</v>
          </cell>
        </row>
        <row r="36">
          <cell r="F36">
            <v>2.89</v>
          </cell>
        </row>
        <row r="39">
          <cell r="I39">
            <v>36.840000000000003</v>
          </cell>
        </row>
        <row r="49">
          <cell r="D49">
            <v>15.42</v>
          </cell>
        </row>
        <row r="52">
          <cell r="D52">
            <v>9.6999999999999993</v>
          </cell>
        </row>
        <row r="69">
          <cell r="D69">
            <v>159.82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Н1_БНС"/>
      <sheetName val="ЭН2_БНС"/>
      <sheetName val="ЭН14_БНС"/>
      <sheetName val="1-1-4"/>
      <sheetName val="8-4_времен.дорога А-В"/>
      <sheetName val="2-4-9_дорога 3"/>
      <sheetName val="1-1-11_Зем.работы площадки"/>
      <sheetName val="1-1-8_островки"/>
      <sheetName val="9 навМОСТОВИК"/>
      <sheetName val="Эл.энергия без 100 кВт"/>
      <sheetName val="М2_БНС"/>
      <sheetName val="ЭН14_Ростверк"/>
      <sheetName val="ЭН14_СВСиУ"/>
      <sheetName val="ЭН15_БНС"/>
      <sheetName val="ЭН13_БНС"/>
      <sheetName val="ЭН13_СВСиУ"/>
      <sheetName val="ЭН3_БНС"/>
      <sheetName val="ЭН16_БНС"/>
      <sheetName val="Ф-2 надбавка ДВ%"/>
      <sheetName val="Ф-2 вах.метод"/>
      <sheetName val="перебазировка"/>
      <sheetName val="Аренда флота"/>
      <sheetName val="КС-3"/>
      <sheetName val="КС-3_ноябрь полная"/>
      <sheetName val="КС-3_ноябрь"/>
      <sheetName val="Реестр акто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с  (2)"/>
      <sheetName val="ПИРб"/>
      <sheetName val="ПИРтек"/>
      <sheetName val="П.з.р.в."/>
      <sheetName val="К"/>
      <sheetName val="Ф"/>
      <sheetName val="К.С.М."/>
      <sheetName val="Тр."/>
      <sheetName val="Сод.кор."/>
      <sheetName val="Сод р.в."/>
      <sheetName val="Сод.л.см"/>
      <sheetName val="зим (2)"/>
      <sheetName val="вах (2)"/>
      <sheetName val="зим"/>
      <sheetName val="C.с "/>
      <sheetName val="вах"/>
      <sheetName val="ГИБДД"/>
      <sheetName val="эл"/>
      <sheetName val="П.з. л. c"/>
      <sheetName val="П.з. л. c (2)"/>
      <sheetName val="Лист1"/>
      <sheetName val="Зуевка,Прил 4."/>
      <sheetName val="Page1"/>
      <sheetName val="12"/>
      <sheetName val="C.с"/>
      <sheetName val="контрагенты"/>
    </sheetNames>
    <sheetDataSet>
      <sheetData sheetId="0">
        <row r="44">
          <cell r="H44">
            <v>46.16</v>
          </cell>
        </row>
        <row r="80">
          <cell r="I80">
            <v>1135.92</v>
          </cell>
        </row>
      </sheetData>
      <sheetData sheetId="1"/>
      <sheetData sheetId="2">
        <row r="52">
          <cell r="H52">
            <v>58.765040000000006</v>
          </cell>
        </row>
      </sheetData>
      <sheetData sheetId="3">
        <row r="51">
          <cell r="P51">
            <v>8.94</v>
          </cell>
        </row>
      </sheetData>
      <sheetData sheetId="4">
        <row r="35">
          <cell r="H35">
            <v>9.33</v>
          </cell>
        </row>
      </sheetData>
      <sheetData sheetId="5">
        <row r="52">
          <cell r="H52">
            <v>58.765040000000006</v>
          </cell>
        </row>
      </sheetData>
      <sheetData sheetId="6">
        <row r="51">
          <cell r="P51">
            <v>8.94</v>
          </cell>
        </row>
      </sheetData>
      <sheetData sheetId="7">
        <row r="35">
          <cell r="H35">
            <v>9.33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общих данных"/>
      <sheetName val="Лист1"/>
      <sheetName val="Объектн.смета"/>
      <sheetName val="Зима"/>
      <sheetName val="Прочие"/>
      <sheetName val="Врем.здания"/>
      <sheetName val="Сметный расчет стоимости"/>
      <sheetName val="Отпускн.цена"/>
      <sheetName val="Кальк.тр.расх."/>
      <sheetName val="Кальк.стоим."/>
      <sheetName val="Форма прямых затрат"/>
      <sheetName val="Каталог"/>
      <sheetName val="Озеленение"/>
      <sheetName val="Вертик.планировка"/>
      <sheetName val="Автопавильон"/>
      <sheetName val="Пересечения и примыкания"/>
      <sheetName val=" Подготовительные работы"/>
      <sheetName val="Рекультивация"/>
      <sheetName val="Земляное полотно"/>
      <sheetName val="Дорожная одежда"/>
      <sheetName val="Объездные дороги"/>
      <sheetName val="Обстановка дороги"/>
      <sheetName val="Искусственные сооружения"/>
      <sheetName val="C.с "/>
      <sheetName val="зим "/>
    </sheetNames>
    <sheetDataSet>
      <sheetData sheetId="0" refreshError="1"/>
      <sheetData sheetId="1" refreshError="1"/>
      <sheetData sheetId="2" refreshError="1"/>
      <sheetData sheetId="3" refreshError="1">
        <row r="16">
          <cell r="E16">
            <v>6905</v>
          </cell>
        </row>
      </sheetData>
      <sheetData sheetId="4" refreshError="1"/>
      <sheetData sheetId="5" refreshError="1">
        <row r="11">
          <cell r="G11">
            <v>11835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40">
          <cell r="AJ40">
            <v>547</v>
          </cell>
        </row>
      </sheetData>
      <sheetData sheetId="13" refreshError="1">
        <row r="32">
          <cell r="AJ32">
            <v>104</v>
          </cell>
        </row>
      </sheetData>
      <sheetData sheetId="14" refreshError="1">
        <row r="133">
          <cell r="AJ133">
            <v>2055</v>
          </cell>
        </row>
      </sheetData>
      <sheetData sheetId="15" refreshError="1">
        <row r="58">
          <cell r="AJ58">
            <v>24880</v>
          </cell>
        </row>
      </sheetData>
      <sheetData sheetId="16" refreshError="1">
        <row r="15">
          <cell r="AJ15">
            <v>111</v>
          </cell>
        </row>
        <row r="20">
          <cell r="AJ20">
            <v>28</v>
          </cell>
        </row>
        <row r="26">
          <cell r="AJ26">
            <v>1520</v>
          </cell>
        </row>
        <row r="71">
          <cell r="AJ71">
            <v>39</v>
          </cell>
        </row>
      </sheetData>
      <sheetData sheetId="17" refreshError="1">
        <row r="24">
          <cell r="AJ24">
            <v>300</v>
          </cell>
        </row>
        <row r="51">
          <cell r="AJ51">
            <v>4809</v>
          </cell>
        </row>
      </sheetData>
      <sheetData sheetId="18" refreshError="1">
        <row r="49">
          <cell r="AJ49">
            <v>8292</v>
          </cell>
        </row>
        <row r="70">
          <cell r="AJ70">
            <v>5087</v>
          </cell>
        </row>
      </sheetData>
      <sheetData sheetId="19" refreshError="1">
        <row r="30">
          <cell r="AJ30">
            <v>166825</v>
          </cell>
        </row>
        <row r="51">
          <cell r="AJ51">
            <v>6450</v>
          </cell>
        </row>
        <row r="75">
          <cell r="AJ75">
            <v>10305</v>
          </cell>
        </row>
      </sheetData>
      <sheetData sheetId="20" refreshError="1">
        <row r="41">
          <cell r="AJ41">
            <v>4442</v>
          </cell>
        </row>
      </sheetData>
      <sheetData sheetId="21" refreshError="1">
        <row r="24">
          <cell r="AJ24">
            <v>476</v>
          </cell>
        </row>
        <row r="42">
          <cell r="AJ42">
            <v>1797</v>
          </cell>
        </row>
        <row r="66">
          <cell r="AJ66">
            <v>6532</v>
          </cell>
        </row>
        <row r="103">
          <cell r="AJ103">
            <v>1440</v>
          </cell>
        </row>
        <row r="121">
          <cell r="AJ121">
            <v>303</v>
          </cell>
        </row>
      </sheetData>
      <sheetData sheetId="22" refreshError="1">
        <row r="182">
          <cell r="AJ182">
            <v>30439</v>
          </cell>
        </row>
      </sheetData>
      <sheetData sheetId="23" refreshError="1"/>
      <sheetData sheetId="2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.2011"/>
      <sheetName val="09.2011"/>
      <sheetName val="10.2011"/>
      <sheetName val="11.2011"/>
      <sheetName val="12.2011"/>
      <sheetName val="01.2012"/>
      <sheetName val="02.2012"/>
      <sheetName val="03.2012"/>
      <sheetName val="04.2012"/>
      <sheetName val="05.2012"/>
      <sheetName val="06.2012"/>
      <sheetName val="07.2012"/>
      <sheetName val="08.2012"/>
      <sheetName val="09.2012"/>
      <sheetName val="05.2013"/>
      <sheetName val="06.2013"/>
      <sheetName val="07.2013"/>
      <sheetName val="08.2013"/>
      <sheetName val="09.2013"/>
      <sheetName val="Лист1"/>
      <sheetName val="Лист2"/>
      <sheetName val="Обстановка дороги"/>
      <sheetName val="Автопавильон"/>
      <sheetName val="Дорожная одежда"/>
      <sheetName val="Вертик.планировка"/>
      <sheetName val=" Подготовительные работы"/>
      <sheetName val="Врем.здания"/>
      <sheetName val="Земляное полотно"/>
      <sheetName val="Зима"/>
      <sheetName val="Объездные дороги"/>
      <sheetName val="Озеленение"/>
      <sheetName val="Пересечения и примыкания"/>
      <sheetName val="Рекультивация"/>
      <sheetName val="Искусственные сооружени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418">
          <cell r="C418" t="str">
            <v>Воробьев Борис Олегович</v>
          </cell>
          <cell r="D418" t="str">
            <v xml:space="preserve">мастер горный </v>
          </cell>
          <cell r="E418" t="str">
            <v>ЕВ20101156 937196</v>
          </cell>
          <cell r="F418">
            <v>2587</v>
          </cell>
          <cell r="G418">
            <v>2192.73</v>
          </cell>
          <cell r="H418">
            <v>0</v>
          </cell>
        </row>
        <row r="419">
          <cell r="C419" t="str">
            <v>Довбня Владислав Сергеевич</v>
          </cell>
          <cell r="D419" t="str">
            <v>маркшейдер</v>
          </cell>
          <cell r="E419" t="str">
            <v>ГВ2010105 484666</v>
          </cell>
          <cell r="F419">
            <v>1776.4</v>
          </cell>
          <cell r="G419">
            <v>1505.77</v>
          </cell>
          <cell r="H419">
            <v>0</v>
          </cell>
        </row>
        <row r="420">
          <cell r="C420" t="str">
            <v>Коротун Павел Владимирович</v>
          </cell>
          <cell r="D420" t="str">
            <v xml:space="preserve">мастер горный </v>
          </cell>
          <cell r="E420" t="str">
            <v>ВЛ2010086 112755</v>
          </cell>
          <cell r="F420">
            <v>1567.5</v>
          </cell>
          <cell r="G420">
            <v>1328.74</v>
          </cell>
          <cell r="H420">
            <v>1121.96</v>
          </cell>
        </row>
        <row r="421">
          <cell r="E421" t="str">
            <v>ВЛ2010086 115206</v>
          </cell>
          <cell r="F421">
            <v>1323.5</v>
          </cell>
          <cell r="G421">
            <v>1121.96</v>
          </cell>
          <cell r="H421">
            <v>0</v>
          </cell>
        </row>
        <row r="422">
          <cell r="C422" t="str">
            <v>Криворотов Сергей Александрович</v>
          </cell>
          <cell r="D422" t="str">
            <v>помощник электромеханика</v>
          </cell>
          <cell r="E422">
            <v>67061257322652</v>
          </cell>
          <cell r="F422">
            <v>1933.4</v>
          </cell>
          <cell r="G422">
            <v>1638.47</v>
          </cell>
          <cell r="H422">
            <v>0</v>
          </cell>
        </row>
        <row r="423">
          <cell r="C423" t="str">
            <v>Петров Андрей Юрьевич</v>
          </cell>
          <cell r="D423" t="str">
            <v>маркшейдер</v>
          </cell>
          <cell r="E423" t="str">
            <v>ВЛ2010086 036508</v>
          </cell>
          <cell r="F423">
            <v>997</v>
          </cell>
          <cell r="G423">
            <v>845.26</v>
          </cell>
          <cell r="H423">
            <v>1328.73</v>
          </cell>
        </row>
        <row r="424">
          <cell r="E424" t="str">
            <v>ВБ2010078 340498</v>
          </cell>
          <cell r="F424">
            <v>1567.5</v>
          </cell>
          <cell r="G424">
            <v>1328.73</v>
          </cell>
          <cell r="H424">
            <v>0</v>
          </cell>
        </row>
        <row r="425">
          <cell r="C425" t="str">
            <v>Рыбчак Евгений Васильевич</v>
          </cell>
          <cell r="D425" t="str">
            <v>маркшейдер</v>
          </cell>
          <cell r="E425" t="str">
            <v>ГВ2010105 484666</v>
          </cell>
          <cell r="F425">
            <v>2090</v>
          </cell>
          <cell r="G425">
            <v>1771.49</v>
          </cell>
          <cell r="H425">
            <v>0</v>
          </cell>
        </row>
        <row r="426">
          <cell r="H426">
            <v>0</v>
          </cell>
        </row>
        <row r="427">
          <cell r="C427" t="str">
            <v>Агарков Евгений Григорьевич</v>
          </cell>
          <cell r="D427" t="str">
            <v>электрогазосварщик занятый на резке и ручной сварке о/г.р.</v>
          </cell>
          <cell r="E427" t="str">
            <v>ЯИ2010707 201951</v>
          </cell>
          <cell r="F427">
            <v>1567.5</v>
          </cell>
          <cell r="G427">
            <v>1328.73</v>
          </cell>
          <cell r="H427">
            <v>1638.82</v>
          </cell>
        </row>
        <row r="428">
          <cell r="E428" t="str">
            <v>РЖ2007013875451</v>
          </cell>
          <cell r="F428">
            <v>1933.4</v>
          </cell>
          <cell r="G428">
            <v>1638.82</v>
          </cell>
          <cell r="H428">
            <v>0</v>
          </cell>
        </row>
        <row r="429">
          <cell r="C429" t="str">
            <v>Акимов Сергей Владимирович</v>
          </cell>
          <cell r="D429" t="str">
            <v>электросварщик ручной сварки о/г.р.</v>
          </cell>
          <cell r="E429" t="str">
            <v>ЮЭ2010697 044257</v>
          </cell>
          <cell r="F429">
            <v>997</v>
          </cell>
          <cell r="G429">
            <v>845.26</v>
          </cell>
          <cell r="H429">
            <v>1121.96</v>
          </cell>
        </row>
        <row r="430">
          <cell r="E430" t="str">
            <v>ЕВ2010156 935749</v>
          </cell>
          <cell r="F430">
            <v>1323.5</v>
          </cell>
          <cell r="G430">
            <v>1121.96</v>
          </cell>
          <cell r="H430">
            <v>0</v>
          </cell>
        </row>
        <row r="431">
          <cell r="C431" t="str">
            <v>Алексеев Александр Борисович</v>
          </cell>
          <cell r="D431" t="str">
            <v>проходчик на поверхностных работах</v>
          </cell>
          <cell r="E431">
            <v>304848</v>
          </cell>
          <cell r="F431">
            <v>1000</v>
          </cell>
          <cell r="G431">
            <v>847.46</v>
          </cell>
          <cell r="H431">
            <v>847.46</v>
          </cell>
        </row>
        <row r="432">
          <cell r="E432">
            <v>84440</v>
          </cell>
          <cell r="F432">
            <v>1000</v>
          </cell>
          <cell r="G432">
            <v>847.46</v>
          </cell>
          <cell r="H432">
            <v>0</v>
          </cell>
        </row>
        <row r="433">
          <cell r="C433" t="str">
            <v>Алексеев Юрий Семенович</v>
          </cell>
          <cell r="D433" t="str">
            <v>проходчик на поверхностных работах</v>
          </cell>
          <cell r="E433" t="str">
            <v>АИ2010032 717580</v>
          </cell>
          <cell r="F433">
            <v>1428.1</v>
          </cell>
          <cell r="G433">
            <v>1210.6099999999999</v>
          </cell>
          <cell r="H433">
            <v>0</v>
          </cell>
        </row>
        <row r="434">
          <cell r="C434" t="str">
            <v>Андреев Максим Николаевич</v>
          </cell>
          <cell r="D434" t="str">
            <v>электрослесарь (слесарь) дежурный и по ремонту оборудования</v>
          </cell>
          <cell r="E434" t="str">
            <v>ЮЭ2010697 947958</v>
          </cell>
          <cell r="F434">
            <v>1079.5999999999999</v>
          </cell>
          <cell r="G434">
            <v>915.27</v>
          </cell>
          <cell r="H434">
            <v>1195.5999999999999</v>
          </cell>
        </row>
        <row r="435">
          <cell r="E435" t="str">
            <v>АП2010037 985201</v>
          </cell>
          <cell r="F435">
            <v>1410.4</v>
          </cell>
          <cell r="G435">
            <v>1195.5999999999999</v>
          </cell>
          <cell r="H435">
            <v>0</v>
          </cell>
        </row>
        <row r="436">
          <cell r="C436" t="str">
            <v>Андрющенко Алексей Федорович</v>
          </cell>
          <cell r="D436" t="str">
            <v>электрогазосварщик занятый на резке и ручной сварке о/г.р.</v>
          </cell>
          <cell r="E436" t="str">
            <v>ГВ2010105 564922</v>
          </cell>
          <cell r="F436">
            <v>1567.5</v>
          </cell>
          <cell r="G436">
            <v>1328.73</v>
          </cell>
          <cell r="H436">
            <v>1638.82</v>
          </cell>
        </row>
        <row r="437">
          <cell r="E437" t="str">
            <v>АП2010037 926474</v>
          </cell>
          <cell r="F437">
            <v>1933.4</v>
          </cell>
          <cell r="G437">
            <v>1638.82</v>
          </cell>
          <cell r="H437">
            <v>0</v>
          </cell>
        </row>
        <row r="438">
          <cell r="C438" t="str">
            <v>Анкудинов Василий Юрьевич</v>
          </cell>
          <cell r="D438" t="str">
            <v>электрогазосварщик занятый на резке и ручной сварке о/г.р.</v>
          </cell>
          <cell r="E438" t="str">
            <v>ЧБ2010571 782752</v>
          </cell>
          <cell r="F438">
            <v>2090.3000000000002</v>
          </cell>
          <cell r="G438">
            <v>1771.79</v>
          </cell>
          <cell r="H438">
            <v>0</v>
          </cell>
        </row>
        <row r="439">
          <cell r="C439" t="str">
            <v>Апарович Виталий Геннадьевич</v>
          </cell>
          <cell r="D439" t="str">
            <v xml:space="preserve">горнорабочий </v>
          </cell>
          <cell r="E439" t="str">
            <v>ВЕ2010082 594261</v>
          </cell>
          <cell r="F439">
            <v>997</v>
          </cell>
          <cell r="G439">
            <v>845.26</v>
          </cell>
          <cell r="H439">
            <v>915.27</v>
          </cell>
        </row>
        <row r="440">
          <cell r="E440" t="str">
            <v>ГМ2010113 442850</v>
          </cell>
          <cell r="F440">
            <v>1079.5999999999999</v>
          </cell>
          <cell r="G440">
            <v>915.27</v>
          </cell>
          <cell r="H440">
            <v>0</v>
          </cell>
        </row>
        <row r="441">
          <cell r="C441" t="str">
            <v>Арнаутов Александр Александрович</v>
          </cell>
          <cell r="D441" t="str">
            <v>электрослесарь (слесарь) дежурный и по ремонту оборудования</v>
          </cell>
          <cell r="E441" t="str">
            <v>ВЛ2010086 113339</v>
          </cell>
          <cell r="F441">
            <v>1079.5999999999999</v>
          </cell>
          <cell r="G441">
            <v>915.27</v>
          </cell>
          <cell r="H441">
            <v>0</v>
          </cell>
        </row>
        <row r="442">
          <cell r="C442" t="str">
            <v>Базулин Александр Васильевич</v>
          </cell>
          <cell r="D442" t="str">
            <v>электрослесарь (слесарь) дежурный и по ремонту оборудования</v>
          </cell>
          <cell r="E442" t="str">
            <v>АИ2010032 739055</v>
          </cell>
          <cell r="F442">
            <v>1567.5</v>
          </cell>
          <cell r="G442">
            <v>1328.73</v>
          </cell>
          <cell r="H442">
            <v>1638.82</v>
          </cell>
        </row>
        <row r="443">
          <cell r="E443" t="str">
            <v>АИ2010032 739056</v>
          </cell>
          <cell r="F443">
            <v>1933.4</v>
          </cell>
          <cell r="G443">
            <v>1638.82</v>
          </cell>
          <cell r="H443">
            <v>0</v>
          </cell>
        </row>
        <row r="444">
          <cell r="C444" t="str">
            <v>Баклаженко Артем Сергеевич</v>
          </cell>
          <cell r="D444" t="str">
            <v>электрогазосварщик занятый на резке и ручной сварке о/г.р.</v>
          </cell>
          <cell r="E444" t="str">
            <v>ЩН2010633 911801</v>
          </cell>
          <cell r="F444">
            <v>1567.5</v>
          </cell>
          <cell r="G444">
            <v>1328.73</v>
          </cell>
          <cell r="H444">
            <v>1647.39</v>
          </cell>
        </row>
        <row r="445">
          <cell r="E445" t="str">
            <v>АП2010037 946007</v>
          </cell>
          <cell r="F445">
            <v>1943.5</v>
          </cell>
          <cell r="G445">
            <v>1647.39</v>
          </cell>
          <cell r="H445">
            <v>0</v>
          </cell>
        </row>
        <row r="446">
          <cell r="C446" t="str">
            <v>Белоусов Павел Анатольевич</v>
          </cell>
          <cell r="D446" t="str">
            <v>электрослесарь (слесарь) дежурный и по ремонту оборудования</v>
          </cell>
          <cell r="E446" t="str">
            <v>АК2010033 066391</v>
          </cell>
          <cell r="F446">
            <v>1567.5</v>
          </cell>
          <cell r="G446">
            <v>1328.73</v>
          </cell>
          <cell r="H446">
            <v>1328.73</v>
          </cell>
        </row>
        <row r="447">
          <cell r="E447" t="str">
            <v>ГВ2010105 484918</v>
          </cell>
          <cell r="F447">
            <v>1567.5</v>
          </cell>
          <cell r="G447">
            <v>1328.73</v>
          </cell>
          <cell r="H447">
            <v>0</v>
          </cell>
        </row>
        <row r="448">
          <cell r="C448" t="str">
            <v>Бида Андрей Александрович</v>
          </cell>
          <cell r="D448" t="str">
            <v>электросварщик ручной сварки</v>
          </cell>
          <cell r="E448" t="str">
            <v>ЕВ2010156 949692</v>
          </cell>
          <cell r="F448">
            <v>1079.5999999999999</v>
          </cell>
          <cell r="G448">
            <v>915.27</v>
          </cell>
          <cell r="H448">
            <v>0</v>
          </cell>
        </row>
        <row r="449">
          <cell r="C449" t="str">
            <v>Билалов Сергей Владимирович</v>
          </cell>
          <cell r="D449" t="str">
            <v>электрогазосварщик занятый на резке и ручной сварке о/г.р.</v>
          </cell>
          <cell r="E449" t="str">
            <v>ЮЭ2010697 915756</v>
          </cell>
          <cell r="F449">
            <v>1079.5999999999999</v>
          </cell>
          <cell r="G449">
            <v>915.27</v>
          </cell>
          <cell r="H449">
            <v>1121.96</v>
          </cell>
        </row>
        <row r="450">
          <cell r="E450" t="str">
            <v>ЕВ2010156 933744</v>
          </cell>
          <cell r="F450">
            <v>1323.5</v>
          </cell>
          <cell r="G450">
            <v>1121.96</v>
          </cell>
          <cell r="H450">
            <v>0</v>
          </cell>
        </row>
        <row r="451">
          <cell r="C451" t="str">
            <v>Богосов Аркадий Николаевич</v>
          </cell>
          <cell r="D451" t="str">
            <v>горнорабочий о/г.р</v>
          </cell>
          <cell r="E451" t="str">
            <v>ЧБ2010571 838105</v>
          </cell>
          <cell r="F451">
            <v>1567.5</v>
          </cell>
          <cell r="G451">
            <v>1328.73</v>
          </cell>
          <cell r="H451">
            <v>2303.4899999999998</v>
          </cell>
        </row>
        <row r="452">
          <cell r="E452" t="str">
            <v>ЧБ2010571 838101</v>
          </cell>
          <cell r="F452">
            <v>2717.7</v>
          </cell>
          <cell r="G452">
            <v>2303.4899999999998</v>
          </cell>
          <cell r="H452">
            <v>0</v>
          </cell>
        </row>
        <row r="453">
          <cell r="C453" t="str">
            <v>Бондарев Иван Викторович</v>
          </cell>
          <cell r="D453" t="str">
            <v>горнорабочий о/г.р</v>
          </cell>
          <cell r="E453" t="str">
            <v>ЕВ2010156 929750</v>
          </cell>
          <cell r="F453">
            <v>1149</v>
          </cell>
          <cell r="G453">
            <v>974.08</v>
          </cell>
          <cell r="H453">
            <v>0</v>
          </cell>
        </row>
        <row r="454">
          <cell r="C454" t="str">
            <v>Вальков Виктор Анатольевич</v>
          </cell>
          <cell r="D454" t="str">
            <v>электрослесарь (слесарь) дежурный и по ремонту оборудования</v>
          </cell>
          <cell r="E454" t="str">
            <v>ВЛ2010086 291148</v>
          </cell>
          <cell r="F454">
            <v>1567.5</v>
          </cell>
          <cell r="G454">
            <v>1328.73</v>
          </cell>
          <cell r="H454">
            <v>1638.82</v>
          </cell>
        </row>
        <row r="455">
          <cell r="E455" t="str">
            <v>ЕГ2010157 235219</v>
          </cell>
          <cell r="F455">
            <v>1933.4</v>
          </cell>
          <cell r="G455">
            <v>1638.82</v>
          </cell>
          <cell r="H455">
            <v>0</v>
          </cell>
        </row>
        <row r="456">
          <cell r="C456" t="str">
            <v>Ведерников Олег Владимирович</v>
          </cell>
          <cell r="D456" t="str">
            <v>проходчик на поверхностных работах</v>
          </cell>
          <cell r="E456" t="str">
            <v>АК2010033 139317</v>
          </cell>
          <cell r="F456">
            <v>1497.9</v>
          </cell>
          <cell r="G456">
            <v>1269.75</v>
          </cell>
          <cell r="H456">
            <v>0</v>
          </cell>
        </row>
        <row r="457">
          <cell r="C457" t="str">
            <v>Винников Алексей Николаевич</v>
          </cell>
          <cell r="D457" t="str">
            <v xml:space="preserve">горнорабочий </v>
          </cell>
          <cell r="E457" t="str">
            <v>ЮЭ2010697 915796</v>
          </cell>
          <cell r="F457">
            <v>1079.5999999999999</v>
          </cell>
          <cell r="G457">
            <v>915.27</v>
          </cell>
          <cell r="H457">
            <v>1121.96</v>
          </cell>
        </row>
        <row r="458">
          <cell r="E458" t="str">
            <v>ГЕ2010108 884777</v>
          </cell>
          <cell r="F458">
            <v>1323.5</v>
          </cell>
          <cell r="G458">
            <v>1121.96</v>
          </cell>
          <cell r="H458">
            <v>0</v>
          </cell>
        </row>
        <row r="459">
          <cell r="C459" t="str">
            <v>Винтоняк Алексей Николаевич</v>
          </cell>
          <cell r="D459" t="str">
            <v xml:space="preserve">горнорабочий </v>
          </cell>
          <cell r="E459" t="str">
            <v>ВЛ2010086 113338</v>
          </cell>
          <cell r="F459">
            <v>1079.5999999999999</v>
          </cell>
          <cell r="G459">
            <v>915.27</v>
          </cell>
          <cell r="H459">
            <v>915.27</v>
          </cell>
        </row>
        <row r="460">
          <cell r="E460" t="str">
            <v>ЕВ2010156 910420</v>
          </cell>
          <cell r="F460">
            <v>1079.5999999999999</v>
          </cell>
          <cell r="G460">
            <v>915.27</v>
          </cell>
          <cell r="H460">
            <v>0</v>
          </cell>
        </row>
        <row r="461">
          <cell r="C461" t="str">
            <v>Войнов Геннадий Викторович</v>
          </cell>
          <cell r="D461" t="str">
            <v xml:space="preserve">горнорабочий </v>
          </cell>
          <cell r="E461" t="str">
            <v>ЮЭ2010697 350911</v>
          </cell>
          <cell r="F461">
            <v>1497.9</v>
          </cell>
          <cell r="G461">
            <v>1269.75</v>
          </cell>
          <cell r="H461">
            <v>1774.5</v>
          </cell>
        </row>
        <row r="462">
          <cell r="E462" t="str">
            <v>РЖ2007013736492</v>
          </cell>
          <cell r="F462">
            <v>2093.5</v>
          </cell>
          <cell r="G462">
            <v>1774.5</v>
          </cell>
          <cell r="H462">
            <v>0</v>
          </cell>
        </row>
        <row r="463">
          <cell r="C463" t="str">
            <v>Галибин Сергей Валентинович</v>
          </cell>
          <cell r="D463" t="str">
            <v>электрослесарь (слесарь) дежурный и по ремонту оборудования</v>
          </cell>
          <cell r="E463" t="str">
            <v>ЮЭ2010697 016177</v>
          </cell>
          <cell r="F463">
            <v>1567.5</v>
          </cell>
          <cell r="G463">
            <v>1328.73</v>
          </cell>
          <cell r="H463">
            <v>1328.73</v>
          </cell>
        </row>
        <row r="464">
          <cell r="E464" t="str">
            <v>ГВ20101105 484858</v>
          </cell>
          <cell r="F464">
            <v>1567.5</v>
          </cell>
          <cell r="G464">
            <v>1328.73</v>
          </cell>
          <cell r="H464">
            <v>0</v>
          </cell>
        </row>
        <row r="465">
          <cell r="C465" t="str">
            <v>Гамидов Ардаш Юсифович</v>
          </cell>
          <cell r="D465" t="str">
            <v>проходчик на поверхностных работах</v>
          </cell>
          <cell r="E465" t="str">
            <v>ЧБ2010571 838108</v>
          </cell>
          <cell r="F465">
            <v>1567.5</v>
          </cell>
          <cell r="G465">
            <v>1328.73</v>
          </cell>
          <cell r="H465">
            <v>0</v>
          </cell>
        </row>
        <row r="466">
          <cell r="C466" t="str">
            <v>Гамидов Юсиф Ашраф Оглы</v>
          </cell>
          <cell r="D466" t="str">
            <v xml:space="preserve">горнорабочий </v>
          </cell>
          <cell r="E466" t="str">
            <v>ЧБ2010571 838106</v>
          </cell>
          <cell r="F466">
            <v>1567.5</v>
          </cell>
          <cell r="G466">
            <v>1328.73</v>
          </cell>
          <cell r="H466">
            <v>2303.4899999999998</v>
          </cell>
        </row>
        <row r="467">
          <cell r="E467" t="str">
            <v>ГЕ2010108 884914</v>
          </cell>
          <cell r="F467">
            <v>2717.7</v>
          </cell>
          <cell r="G467">
            <v>2303.4899999999998</v>
          </cell>
          <cell r="H467">
            <v>0</v>
          </cell>
        </row>
        <row r="468">
          <cell r="C468" t="str">
            <v>Ганусевич Олег Валерьевич</v>
          </cell>
          <cell r="D468" t="str">
            <v>электрослесарь (слесарь) дежурный и по ремонту оборудования</v>
          </cell>
          <cell r="E468" t="str">
            <v>ШГ2010599 055457</v>
          </cell>
          <cell r="F468">
            <v>1218.9000000000001</v>
          </cell>
          <cell r="G468">
            <v>1033.31</v>
          </cell>
          <cell r="H468">
            <v>887.8</v>
          </cell>
        </row>
        <row r="469">
          <cell r="E469">
            <v>72670400448801</v>
          </cell>
          <cell r="F469">
            <v>1047.5999999999999</v>
          </cell>
          <cell r="G469">
            <v>887.8</v>
          </cell>
          <cell r="H469">
            <v>0</v>
          </cell>
        </row>
        <row r="470">
          <cell r="C470" t="str">
            <v>Гладченко Виктор Иванович</v>
          </cell>
          <cell r="D470" t="str">
            <v>электрослесарь (слесарь) дежурный и по ремонту оборудования</v>
          </cell>
          <cell r="E470" t="str">
            <v>ГБ2010104 241427</v>
          </cell>
          <cell r="F470">
            <v>1149</v>
          </cell>
          <cell r="G470">
            <v>974.08</v>
          </cell>
          <cell r="H470">
            <v>1195.5999999999999</v>
          </cell>
        </row>
        <row r="471">
          <cell r="E471" t="str">
            <v>ШГ2010599 055905</v>
          </cell>
          <cell r="F471">
            <v>1410.4</v>
          </cell>
          <cell r="G471">
            <v>1195.5999999999999</v>
          </cell>
          <cell r="H471">
            <v>0</v>
          </cell>
        </row>
        <row r="472">
          <cell r="C472" t="str">
            <v>Гольченко Антон Николаевич</v>
          </cell>
          <cell r="D472" t="str">
            <v>электрогазосварщик занятый на резке и ручной сварке о/г.р.</v>
          </cell>
          <cell r="E472" t="str">
            <v>ЧБ2010571 780643</v>
          </cell>
          <cell r="F472">
            <v>1079.5999999999999</v>
          </cell>
          <cell r="G472">
            <v>915.27</v>
          </cell>
          <cell r="H472">
            <v>915.27</v>
          </cell>
        </row>
        <row r="473">
          <cell r="E473" t="str">
            <v>ЕВ2010156 910423</v>
          </cell>
          <cell r="F473">
            <v>1079.5999999999999</v>
          </cell>
          <cell r="G473">
            <v>915.27</v>
          </cell>
          <cell r="H473">
            <v>0</v>
          </cell>
        </row>
        <row r="474">
          <cell r="C474" t="str">
            <v>Гулов Руслан Викторович</v>
          </cell>
          <cell r="D474" t="str">
            <v xml:space="preserve">горнорабочий </v>
          </cell>
          <cell r="E474" t="str">
            <v>ЮЭ2010697 947117</v>
          </cell>
          <cell r="F474">
            <v>1079.5999999999999</v>
          </cell>
          <cell r="G474">
            <v>915.27</v>
          </cell>
          <cell r="H474">
            <v>0</v>
          </cell>
        </row>
        <row r="475">
          <cell r="C475" t="str">
            <v>Гуляев Валерий Александрович</v>
          </cell>
          <cell r="D475" t="str">
            <v>электрослесарь (слесарь) дежурный и по ремонту оборудования</v>
          </cell>
          <cell r="E475" t="str">
            <v>ЕВ2010156 932705</v>
          </cell>
          <cell r="F475">
            <v>978.2</v>
          </cell>
          <cell r="G475">
            <v>829.34</v>
          </cell>
          <cell r="H475">
            <v>0</v>
          </cell>
        </row>
        <row r="476">
          <cell r="C476" t="str">
            <v>Гусак Александр Леонидович</v>
          </cell>
          <cell r="D476" t="str">
            <v>электросварщик ручной сварки</v>
          </cell>
          <cell r="E476" t="str">
            <v>ШБ2010597 746109</v>
          </cell>
          <cell r="F476">
            <v>1567.5</v>
          </cell>
          <cell r="G476">
            <v>1328.73</v>
          </cell>
          <cell r="H476">
            <v>1638.82</v>
          </cell>
        </row>
        <row r="477">
          <cell r="E477" t="str">
            <v>ШБ2010597 746110</v>
          </cell>
          <cell r="F477">
            <v>1933.4</v>
          </cell>
          <cell r="G477">
            <v>1638.82</v>
          </cell>
          <cell r="H477">
            <v>0</v>
          </cell>
        </row>
        <row r="478">
          <cell r="C478" t="str">
            <v>Гущин Владимир Петрович</v>
          </cell>
          <cell r="D478" t="str">
            <v>электрослесарь (слесарь) дежурный и по ремонту оборудования</v>
          </cell>
          <cell r="E478" t="str">
            <v>ЮЭ2010697 915679</v>
          </cell>
          <cell r="F478">
            <v>1079.5999999999999</v>
          </cell>
          <cell r="G478">
            <v>915.27</v>
          </cell>
          <cell r="H478">
            <v>1121.96</v>
          </cell>
        </row>
        <row r="479">
          <cell r="E479" t="str">
            <v>АП2010037 917662</v>
          </cell>
          <cell r="F479">
            <v>1323.5</v>
          </cell>
          <cell r="G479">
            <v>1121.96</v>
          </cell>
          <cell r="H479">
            <v>0</v>
          </cell>
        </row>
        <row r="480">
          <cell r="C480" t="str">
            <v>Денщиков Алексей Владимирович</v>
          </cell>
          <cell r="D480" t="str">
            <v>электрогазосварщик, занятый на резке и ручной сварке</v>
          </cell>
          <cell r="E480" t="str">
            <v>АИ2010032 739054</v>
          </cell>
          <cell r="F480">
            <v>1567.5</v>
          </cell>
          <cell r="G480">
            <v>1328.73</v>
          </cell>
          <cell r="H480">
            <v>1638.82</v>
          </cell>
        </row>
        <row r="481">
          <cell r="E481" t="str">
            <v>ГМ2010113 481488</v>
          </cell>
          <cell r="F481">
            <v>1933.4</v>
          </cell>
          <cell r="G481">
            <v>1638.82</v>
          </cell>
          <cell r="H481">
            <v>0</v>
          </cell>
        </row>
        <row r="482">
          <cell r="C482" t="str">
            <v>Дзюба Сергей Александрович</v>
          </cell>
          <cell r="D482" t="str">
            <v>электросварщик ручной сварки</v>
          </cell>
          <cell r="E482" t="str">
            <v>АП2010037 900163</v>
          </cell>
          <cell r="F482">
            <v>1009.6</v>
          </cell>
          <cell r="G482">
            <v>855.94</v>
          </cell>
          <cell r="H482">
            <v>0</v>
          </cell>
        </row>
        <row r="483">
          <cell r="C483" t="str">
            <v>Доценко Сергей Григорьевич</v>
          </cell>
          <cell r="D483" t="str">
            <v>электрогазосварщик, занятый на резке и ручной сварке</v>
          </cell>
          <cell r="E483" t="str">
            <v>АК2010033 047159</v>
          </cell>
          <cell r="F483">
            <v>1497.9</v>
          </cell>
          <cell r="G483">
            <v>1269.75</v>
          </cell>
          <cell r="H483">
            <v>1491.2</v>
          </cell>
        </row>
        <row r="484">
          <cell r="E484" t="str">
            <v>ГМ2010113 493568</v>
          </cell>
          <cell r="F484">
            <v>1759.2</v>
          </cell>
          <cell r="G484">
            <v>1491.2</v>
          </cell>
          <cell r="H484">
            <v>0</v>
          </cell>
        </row>
        <row r="485">
          <cell r="C485" t="str">
            <v>Драгунцов Александр Владимирович</v>
          </cell>
          <cell r="D485" t="str">
            <v>проходчик на поверхностных работах</v>
          </cell>
          <cell r="E485" t="str">
            <v>ЧБ2010571 481918</v>
          </cell>
          <cell r="F485">
            <v>1149</v>
          </cell>
          <cell r="G485">
            <v>974.08</v>
          </cell>
          <cell r="H485">
            <v>888.15</v>
          </cell>
        </row>
        <row r="486">
          <cell r="E486" t="str">
            <v>ГВ2010105 484856</v>
          </cell>
          <cell r="F486">
            <v>1047.5999999999999</v>
          </cell>
          <cell r="G486">
            <v>888.15</v>
          </cell>
          <cell r="H486">
            <v>0</v>
          </cell>
        </row>
        <row r="487">
          <cell r="C487" t="str">
            <v>Дударов Муса Кантемирович</v>
          </cell>
          <cell r="D487" t="str">
            <v>проходчик на поверхностных работах</v>
          </cell>
          <cell r="E487" t="str">
            <v>ВЛ2010086 288225</v>
          </cell>
          <cell r="F487">
            <v>1567.5</v>
          </cell>
          <cell r="G487">
            <v>1328.73</v>
          </cell>
          <cell r="H487">
            <v>1328.73</v>
          </cell>
        </row>
        <row r="488">
          <cell r="E488" t="str">
            <v>ГВ 2010105 484901</v>
          </cell>
          <cell r="F488">
            <v>1567.5</v>
          </cell>
          <cell r="G488">
            <v>1328.73</v>
          </cell>
          <cell r="H488">
            <v>0</v>
          </cell>
        </row>
        <row r="489">
          <cell r="C489" t="str">
            <v>Дужик Виктор Васильевич</v>
          </cell>
          <cell r="D489" t="str">
            <v>горнорабочий</v>
          </cell>
          <cell r="E489" t="str">
            <v>ЮЭ2010697 915803</v>
          </cell>
          <cell r="F489">
            <v>1079.5999999999999</v>
          </cell>
          <cell r="G489">
            <v>915.27</v>
          </cell>
          <cell r="H489">
            <v>1121.96</v>
          </cell>
        </row>
        <row r="490">
          <cell r="E490" t="str">
            <v>ЕВ2010156 969278</v>
          </cell>
          <cell r="F490">
            <v>1323.5</v>
          </cell>
          <cell r="G490">
            <v>1121.96</v>
          </cell>
          <cell r="H490">
            <v>0</v>
          </cell>
        </row>
        <row r="491">
          <cell r="C491" t="str">
            <v>Дьяков Андрей Николаевич</v>
          </cell>
          <cell r="D491" t="str">
            <v xml:space="preserve">горнорабочий </v>
          </cell>
          <cell r="E491" t="str">
            <v>ЮЭ2010697 915803</v>
          </cell>
          <cell r="F491">
            <v>1428.1</v>
          </cell>
          <cell r="G491">
            <v>1210.6099999999999</v>
          </cell>
          <cell r="H491">
            <v>1771.79</v>
          </cell>
        </row>
        <row r="492">
          <cell r="E492" t="str">
            <v>ГВ2010105 484855</v>
          </cell>
          <cell r="F492">
            <v>2090.3000000000002</v>
          </cell>
          <cell r="G492">
            <v>1771.79</v>
          </cell>
          <cell r="H492">
            <v>0</v>
          </cell>
        </row>
        <row r="493">
          <cell r="C493" t="str">
            <v>Ермилов Роман Юрьевич</v>
          </cell>
          <cell r="D493" t="str">
            <v>электрогазосварщик, занятый на резке и ручной сварке</v>
          </cell>
          <cell r="E493" t="str">
            <v>ЮЭ2010697 915624</v>
          </cell>
          <cell r="F493">
            <v>1149</v>
          </cell>
          <cell r="G493">
            <v>974.08</v>
          </cell>
          <cell r="H493">
            <v>0</v>
          </cell>
        </row>
        <row r="494">
          <cell r="C494" t="str">
            <v>Жмыхов Игорь Иванович</v>
          </cell>
          <cell r="D494" t="str">
            <v>электросварщик ручной сварки</v>
          </cell>
          <cell r="E494" t="str">
            <v>ЮМ2010684 418031</v>
          </cell>
          <cell r="F494">
            <v>997</v>
          </cell>
          <cell r="G494">
            <v>845.26</v>
          </cell>
          <cell r="H494">
            <v>0</v>
          </cell>
        </row>
        <row r="495">
          <cell r="C495" t="str">
            <v>Жуков Анатолий Николаевич</v>
          </cell>
          <cell r="D495" t="str">
            <v>электрогазосварщик, занятый на резке и ручной сварке</v>
          </cell>
          <cell r="E495" t="str">
            <v>ЕВ2010156 949691</v>
          </cell>
          <cell r="F495">
            <v>1079.5999999999999</v>
          </cell>
          <cell r="G495">
            <v>915.27</v>
          </cell>
          <cell r="H495">
            <v>0</v>
          </cell>
        </row>
        <row r="496">
          <cell r="C496" t="str">
            <v>Журба Дмитрий Александрович</v>
          </cell>
          <cell r="D496" t="str">
            <v>проходчик на поверхностных работах</v>
          </cell>
          <cell r="E496" t="str">
            <v>ЮЭ2010697 350581</v>
          </cell>
          <cell r="F496">
            <v>1497.9</v>
          </cell>
          <cell r="G496">
            <v>1269.75</v>
          </cell>
          <cell r="H496">
            <v>0</v>
          </cell>
        </row>
        <row r="497">
          <cell r="C497" t="str">
            <v>Загребин Вадим Викторович</v>
          </cell>
          <cell r="D497" t="str">
            <v>электрослесарь (слесарь) дежурный и по ремонту оборудования</v>
          </cell>
          <cell r="E497" t="str">
            <v>ВЛ2010086 116694</v>
          </cell>
          <cell r="F497">
            <v>1079.5999999999999</v>
          </cell>
          <cell r="G497">
            <v>915.27</v>
          </cell>
          <cell r="H497">
            <v>1121.96</v>
          </cell>
        </row>
        <row r="498">
          <cell r="E498" t="str">
            <v>ВЛ2010086 116697</v>
          </cell>
          <cell r="F498">
            <v>1323.5</v>
          </cell>
          <cell r="G498">
            <v>1121.96</v>
          </cell>
          <cell r="H498">
            <v>0</v>
          </cell>
        </row>
        <row r="499">
          <cell r="C499" t="str">
            <v>Зайцев Вадим Валентинович</v>
          </cell>
          <cell r="D499" t="str">
            <v>электрогазосварщик, занятый на резке и ручной сварке</v>
          </cell>
          <cell r="E499" t="str">
            <v>АИ2010032 739053</v>
          </cell>
          <cell r="F499">
            <v>1567.5</v>
          </cell>
          <cell r="G499">
            <v>1328.73</v>
          </cell>
          <cell r="H499">
            <v>1638.82</v>
          </cell>
        </row>
        <row r="500">
          <cell r="E500" t="str">
            <v>ГМ2010113 481489</v>
          </cell>
          <cell r="F500">
            <v>1933.4</v>
          </cell>
          <cell r="G500">
            <v>1638.82</v>
          </cell>
          <cell r="H500">
            <v>0</v>
          </cell>
        </row>
        <row r="501">
          <cell r="C501" t="str">
            <v>Зюзик Сергей Анатольевич</v>
          </cell>
          <cell r="D501" t="str">
            <v>горнорабочий о/г.р</v>
          </cell>
          <cell r="E501" t="str">
            <v>ШГ2010599 055441</v>
          </cell>
          <cell r="F501">
            <v>1218.9000000000001</v>
          </cell>
          <cell r="G501">
            <v>1033.31</v>
          </cell>
          <cell r="H501">
            <v>1417.04</v>
          </cell>
        </row>
        <row r="502">
          <cell r="E502" t="str">
            <v>ЕВ2010156 930318</v>
          </cell>
          <cell r="F502">
            <v>1671.7</v>
          </cell>
          <cell r="G502">
            <v>1417.04</v>
          </cell>
          <cell r="H502">
            <v>0</v>
          </cell>
        </row>
        <row r="503">
          <cell r="C503" t="str">
            <v>Иванов Илья Витальевич</v>
          </cell>
          <cell r="D503" t="str">
            <v>горнорабочий о/г.р</v>
          </cell>
          <cell r="E503" t="str">
            <v>ВЛ2010086 1163340</v>
          </cell>
          <cell r="F503">
            <v>1079.5999999999999</v>
          </cell>
          <cell r="G503">
            <v>915.27</v>
          </cell>
          <cell r="H503">
            <v>0</v>
          </cell>
        </row>
        <row r="504">
          <cell r="C504" t="str">
            <v>Ищенко Геннадий Павлович</v>
          </cell>
          <cell r="D504" t="str">
            <v>электрослесарь (слесарь) дежурный и по ремонту оборудования</v>
          </cell>
          <cell r="E504" t="str">
            <v>ВА2010077 860858</v>
          </cell>
          <cell r="F504">
            <v>1079.5999999999999</v>
          </cell>
          <cell r="G504">
            <v>915.27</v>
          </cell>
          <cell r="H504">
            <v>0</v>
          </cell>
        </row>
        <row r="505">
          <cell r="C505" t="str">
            <v>Ищенко Иван Владимирович</v>
          </cell>
          <cell r="D505" t="str">
            <v>горнорабочий о/г.р</v>
          </cell>
          <cell r="E505" t="str">
            <v>ШГ2010599 061768</v>
          </cell>
          <cell r="F505">
            <v>1060.7</v>
          </cell>
          <cell r="G505">
            <v>899.25</v>
          </cell>
          <cell r="H505">
            <v>0</v>
          </cell>
        </row>
        <row r="506">
          <cell r="C506" t="str">
            <v>Кальсин Андрей Аркадьевич</v>
          </cell>
          <cell r="D506" t="str">
            <v>электрослесарь (слесарь) дежурный и по ремонту оборудования о/г.р</v>
          </cell>
          <cell r="E506" t="str">
            <v>ЧБ2010571 780715</v>
          </cell>
          <cell r="F506">
            <v>1149</v>
          </cell>
          <cell r="G506">
            <v>974.08</v>
          </cell>
          <cell r="H506">
            <v>0</v>
          </cell>
        </row>
        <row r="507">
          <cell r="C507" t="str">
            <v>Каппес Николай Владимирович</v>
          </cell>
          <cell r="D507" t="str">
            <v xml:space="preserve">горнорабочий </v>
          </cell>
          <cell r="E507" t="str">
            <v>АЕ2010030 537020</v>
          </cell>
          <cell r="F507">
            <v>2090.3000000000002</v>
          </cell>
          <cell r="G507">
            <v>1771.79</v>
          </cell>
          <cell r="H507">
            <v>1151.53</v>
          </cell>
        </row>
        <row r="508">
          <cell r="E508" t="str">
            <v>ЕВ2010156 966284</v>
          </cell>
          <cell r="F508">
            <v>1358.4</v>
          </cell>
          <cell r="G508">
            <v>1151.53</v>
          </cell>
          <cell r="H508">
            <v>0</v>
          </cell>
        </row>
        <row r="509">
          <cell r="C509" t="str">
            <v>Карунин Павел Николаевич</v>
          </cell>
          <cell r="D509" t="str">
            <v>горнорабочий на маркшейдерских работах</v>
          </cell>
          <cell r="E509" t="str">
            <v>ЮЭ2010697  953260</v>
          </cell>
          <cell r="F509">
            <v>1077.3</v>
          </cell>
          <cell r="G509">
            <v>912.97</v>
          </cell>
          <cell r="H509">
            <v>0</v>
          </cell>
        </row>
        <row r="510">
          <cell r="C510" t="str">
            <v>Катенев Юрий Николаевич</v>
          </cell>
          <cell r="D510" t="str">
            <v xml:space="preserve">горнорабочий </v>
          </cell>
          <cell r="E510" t="str">
            <v>ЮЭ2010697 044864</v>
          </cell>
          <cell r="F510">
            <v>1079.5999999999999</v>
          </cell>
          <cell r="G510">
            <v>915.27</v>
          </cell>
          <cell r="H510">
            <v>0</v>
          </cell>
        </row>
        <row r="511">
          <cell r="C511" t="str">
            <v>Кижватов Сергей Александрович</v>
          </cell>
          <cell r="D511" t="str">
            <v xml:space="preserve">горнорабочий </v>
          </cell>
          <cell r="E511" t="str">
            <v>ЧБ2010571 481939</v>
          </cell>
          <cell r="F511">
            <v>1079.5999999999999</v>
          </cell>
          <cell r="G511">
            <v>915.27</v>
          </cell>
          <cell r="H511">
            <v>0</v>
          </cell>
        </row>
        <row r="512">
          <cell r="C512" t="str">
            <v>Клочко Евгений Владимирович</v>
          </cell>
          <cell r="D512" t="str">
            <v>электрогазосварщик, занятый на резке и ручной сварке</v>
          </cell>
          <cell r="E512" t="str">
            <v>ШБ2010597 906572</v>
          </cell>
          <cell r="F512">
            <v>1497.9</v>
          </cell>
          <cell r="G512">
            <v>1269.75</v>
          </cell>
          <cell r="H512">
            <v>1269.75</v>
          </cell>
        </row>
        <row r="513">
          <cell r="E513" t="str">
            <v>ЕВ2010156 982871</v>
          </cell>
          <cell r="F513">
            <v>1497.9</v>
          </cell>
          <cell r="G513">
            <v>1269.75</v>
          </cell>
          <cell r="H513">
            <v>0</v>
          </cell>
        </row>
        <row r="514">
          <cell r="C514" t="str">
            <v>Клочков Роман Леонидович</v>
          </cell>
          <cell r="D514" t="str">
            <v xml:space="preserve">горнорабочий </v>
          </cell>
          <cell r="E514" t="str">
            <v>ШГ2010599 055440</v>
          </cell>
          <cell r="F514">
            <v>1218.9000000000001</v>
          </cell>
          <cell r="G514">
            <v>1033.31</v>
          </cell>
          <cell r="H514">
            <v>1417.04</v>
          </cell>
        </row>
        <row r="515">
          <cell r="E515" t="str">
            <v>ЕВ2010156 930317</v>
          </cell>
          <cell r="F515">
            <v>1671.7</v>
          </cell>
          <cell r="G515">
            <v>1417.04</v>
          </cell>
          <cell r="H515">
            <v>0</v>
          </cell>
        </row>
        <row r="516">
          <cell r="C516" t="str">
            <v>Князев Руслан Анатольевич</v>
          </cell>
          <cell r="D516" t="str">
            <v>проходчик на поверхностных работах</v>
          </cell>
          <cell r="E516" t="str">
            <v>ЭТ2010663 937311</v>
          </cell>
          <cell r="F516">
            <v>2160.4</v>
          </cell>
          <cell r="G516">
            <v>1831.2</v>
          </cell>
          <cell r="H516">
            <v>2266.96</v>
          </cell>
        </row>
        <row r="517">
          <cell r="E517" t="str">
            <v>ЕВ2010156 983791</v>
          </cell>
          <cell r="F517">
            <v>2674.6</v>
          </cell>
          <cell r="G517">
            <v>2266.96</v>
          </cell>
          <cell r="H517">
            <v>0</v>
          </cell>
        </row>
        <row r="518">
          <cell r="C518" t="str">
            <v>Колесников Юрий Викторович</v>
          </cell>
          <cell r="D518" t="str">
            <v>электрогазосварщик, занятый на резке и ручной сварке</v>
          </cell>
          <cell r="E518" t="str">
            <v>ВЛ2010086 114622</v>
          </cell>
          <cell r="F518">
            <v>1079.5999999999999</v>
          </cell>
          <cell r="G518">
            <v>915.27</v>
          </cell>
          <cell r="H518">
            <v>974.08</v>
          </cell>
        </row>
        <row r="519">
          <cell r="E519" t="str">
            <v>ЕВ2010156 929751</v>
          </cell>
          <cell r="F519">
            <v>1149</v>
          </cell>
          <cell r="G519">
            <v>974.08</v>
          </cell>
          <cell r="H519">
            <v>0</v>
          </cell>
        </row>
        <row r="520">
          <cell r="C520" t="str">
            <v>Колесниченко Виталий Геннадьевич</v>
          </cell>
          <cell r="D520" t="str">
            <v>проходчик на поверхностных работах</v>
          </cell>
          <cell r="E520" t="str">
            <v>ЮЭ2010697 044005</v>
          </cell>
          <cell r="F520">
            <v>1218.9000000000001</v>
          </cell>
          <cell r="G520">
            <v>1033.31</v>
          </cell>
          <cell r="H520">
            <v>0</v>
          </cell>
        </row>
        <row r="521">
          <cell r="C521" t="str">
            <v>Колесниченко Геннадий Георгиевич</v>
          </cell>
          <cell r="D521" t="str">
            <v>электрослесарь (слесарь) дежурный и по ремонту оборудования о/г.р</v>
          </cell>
          <cell r="E521" t="str">
            <v>ЮЭ2010697 043723</v>
          </cell>
          <cell r="F521">
            <v>1149</v>
          </cell>
          <cell r="G521">
            <v>974.08</v>
          </cell>
          <cell r="H521">
            <v>915.27</v>
          </cell>
        </row>
        <row r="522">
          <cell r="E522" t="str">
            <v>ГВ2010105 485459</v>
          </cell>
          <cell r="F522">
            <v>1079.5999999999999</v>
          </cell>
          <cell r="G522">
            <v>915.27</v>
          </cell>
          <cell r="H522">
            <v>0</v>
          </cell>
        </row>
        <row r="523">
          <cell r="C523" t="str">
            <v>Колпаков Вадим Михайлович</v>
          </cell>
          <cell r="D523" t="str">
            <v>электрогазосварщик, занятый на резке и ручной сварке</v>
          </cell>
          <cell r="E523" t="str">
            <v>ШБ2010597 880190</v>
          </cell>
          <cell r="F523">
            <v>1664.6</v>
          </cell>
          <cell r="G523">
            <v>1411.02</v>
          </cell>
          <cell r="H523">
            <v>1638.82</v>
          </cell>
        </row>
        <row r="524">
          <cell r="E524" t="str">
            <v>АП2010037 923577</v>
          </cell>
          <cell r="F524">
            <v>1933.4</v>
          </cell>
          <cell r="G524">
            <v>1638.82</v>
          </cell>
          <cell r="H524">
            <v>0</v>
          </cell>
        </row>
        <row r="525">
          <cell r="C525" t="str">
            <v>Кострубин Геннадий Иванович</v>
          </cell>
          <cell r="D525" t="str">
            <v xml:space="preserve">горнорабочий </v>
          </cell>
          <cell r="E525" t="str">
            <v>ГЕ2010108 884613</v>
          </cell>
          <cell r="F525">
            <v>1079.5999999999999</v>
          </cell>
          <cell r="G525">
            <v>915.27</v>
          </cell>
          <cell r="H525">
            <v>0</v>
          </cell>
        </row>
        <row r="526">
          <cell r="C526" t="str">
            <v>Котляров Александр Николаевич</v>
          </cell>
          <cell r="D526" t="str">
            <v>проходчик на поверхностных работах</v>
          </cell>
          <cell r="E526" t="str">
            <v>ЮЭ2010697 947645</v>
          </cell>
          <cell r="F526">
            <v>1079.5999999999999</v>
          </cell>
          <cell r="G526">
            <v>915.27</v>
          </cell>
          <cell r="H526">
            <v>1121.96</v>
          </cell>
        </row>
        <row r="527">
          <cell r="E527">
            <v>2007013716621</v>
          </cell>
          <cell r="F527">
            <v>1323.5</v>
          </cell>
          <cell r="G527">
            <v>1121.96</v>
          </cell>
          <cell r="H527">
            <v>0</v>
          </cell>
        </row>
        <row r="528">
          <cell r="C528" t="str">
            <v>Котляров Геннадий Иванович</v>
          </cell>
          <cell r="D528" t="str">
            <v>проходчик на поверхностных работах</v>
          </cell>
          <cell r="E528" t="str">
            <v>ЮЭ2010697 978754</v>
          </cell>
          <cell r="F528">
            <v>1257</v>
          </cell>
          <cell r="G528">
            <v>1065.5999999999999</v>
          </cell>
          <cell r="H528">
            <v>2081.79</v>
          </cell>
        </row>
        <row r="529">
          <cell r="E529" t="str">
            <v>ЕВ2010156 981365</v>
          </cell>
          <cell r="F529">
            <v>2456.1</v>
          </cell>
          <cell r="G529">
            <v>2081.79</v>
          </cell>
          <cell r="H529">
            <v>0</v>
          </cell>
        </row>
        <row r="530">
          <cell r="C530" t="str">
            <v>Корныш Олег Григорьевич</v>
          </cell>
          <cell r="D530" t="str">
            <v>электрогазосварщик, занятый на резке и ручной сварке</v>
          </cell>
          <cell r="E530" t="str">
            <v>ЧБ2010571 847643</v>
          </cell>
          <cell r="F530">
            <v>1776.4</v>
          </cell>
          <cell r="G530">
            <v>1505.77</v>
          </cell>
          <cell r="H530">
            <v>0</v>
          </cell>
        </row>
        <row r="531">
          <cell r="C531" t="str">
            <v>Кравцов Владимир Сергеевич</v>
          </cell>
          <cell r="D531" t="str">
            <v>электрогазосварщик, занятый на резке и ручной сварке</v>
          </cell>
          <cell r="E531" t="str">
            <v>ВЛ2010086 113342</v>
          </cell>
          <cell r="F531">
            <v>1079.5999999999999</v>
          </cell>
          <cell r="G531">
            <v>915.27</v>
          </cell>
          <cell r="H531">
            <v>915.27</v>
          </cell>
        </row>
        <row r="532">
          <cell r="E532" t="str">
            <v>ЕВ2010156 910422</v>
          </cell>
          <cell r="F532">
            <v>1079.5999999999999</v>
          </cell>
          <cell r="G532">
            <v>915.27</v>
          </cell>
          <cell r="H532">
            <v>0</v>
          </cell>
        </row>
        <row r="533">
          <cell r="C533" t="str">
            <v>Кравченко Вадим Анатольевич</v>
          </cell>
          <cell r="D533" t="str">
            <v xml:space="preserve">горнорабочий </v>
          </cell>
          <cell r="E533" t="str">
            <v>ГЕ2010108 884614</v>
          </cell>
          <cell r="F533">
            <v>1079.5999999999999</v>
          </cell>
          <cell r="G533">
            <v>915.27</v>
          </cell>
          <cell r="H533">
            <v>0</v>
          </cell>
        </row>
        <row r="534">
          <cell r="C534" t="str">
            <v>Кривощеков Александр Павлович</v>
          </cell>
          <cell r="D534" t="str">
            <v>проходчик на поверхностных работах</v>
          </cell>
          <cell r="E534" t="str">
            <v>ЧБ2010571 780995</v>
          </cell>
          <cell r="F534">
            <v>1149</v>
          </cell>
          <cell r="G534">
            <v>974.08</v>
          </cell>
          <cell r="H534">
            <v>1121.96</v>
          </cell>
        </row>
        <row r="535">
          <cell r="E535" t="str">
            <v>ЕВ2010156 968125</v>
          </cell>
          <cell r="F535">
            <v>1323.5</v>
          </cell>
          <cell r="G535">
            <v>1121.96</v>
          </cell>
          <cell r="H535">
            <v>0</v>
          </cell>
        </row>
        <row r="536">
          <cell r="C536" t="str">
            <v>Кривченков Александр Федорович</v>
          </cell>
          <cell r="D536" t="str">
            <v xml:space="preserve">горнорабочий </v>
          </cell>
          <cell r="E536" t="str">
            <v>ШГ2010599 052815</v>
          </cell>
          <cell r="F536">
            <v>1149</v>
          </cell>
          <cell r="G536">
            <v>974.08</v>
          </cell>
          <cell r="H536">
            <v>0</v>
          </cell>
        </row>
        <row r="537">
          <cell r="C537" t="str">
            <v>Кропачев Антон Александрович</v>
          </cell>
          <cell r="D537" t="str">
            <v>проходчик на поверхностных работах</v>
          </cell>
          <cell r="E537" t="str">
            <v>ЧБ2010571 780836</v>
          </cell>
          <cell r="F537">
            <v>997</v>
          </cell>
          <cell r="G537">
            <v>845.26</v>
          </cell>
          <cell r="H537">
            <v>1121.96</v>
          </cell>
        </row>
        <row r="538">
          <cell r="E538" t="str">
            <v>ЕВ2010156 971786</v>
          </cell>
          <cell r="F538">
            <v>1323.5</v>
          </cell>
          <cell r="G538">
            <v>1121.96</v>
          </cell>
          <cell r="H538">
            <v>0</v>
          </cell>
        </row>
        <row r="539">
          <cell r="C539" t="str">
            <v>Кузин Иван Владимирович</v>
          </cell>
          <cell r="D539" t="str">
            <v>горнорабочий</v>
          </cell>
          <cell r="E539" t="str">
            <v>ШГ2010599 061095</v>
          </cell>
          <cell r="F539">
            <v>1149</v>
          </cell>
          <cell r="G539">
            <v>974.08</v>
          </cell>
          <cell r="H539">
            <v>0</v>
          </cell>
        </row>
        <row r="540">
          <cell r="C540" t="str">
            <v>Кузнецов Вячеслав Анатольевич</v>
          </cell>
          <cell r="D540" t="str">
            <v>проходчик на поверхностных работах</v>
          </cell>
          <cell r="E540" t="str">
            <v>ЮЭ2010697 043972</v>
          </cell>
          <cell r="F540">
            <v>1149</v>
          </cell>
          <cell r="G540">
            <v>974.08</v>
          </cell>
          <cell r="H540">
            <v>0</v>
          </cell>
        </row>
        <row r="541">
          <cell r="C541" t="str">
            <v>Кузнецовский Алексей Борисович</v>
          </cell>
          <cell r="D541" t="str">
            <v>электрогазосварщик, занятый на резке и ручной сварке</v>
          </cell>
          <cell r="E541" t="str">
            <v>ЧБ2010571 562555</v>
          </cell>
          <cell r="F541">
            <v>1428.1</v>
          </cell>
          <cell r="G541">
            <v>1210.6099999999999</v>
          </cell>
          <cell r="H541">
            <v>1210.6099999999999</v>
          </cell>
        </row>
        <row r="542">
          <cell r="E542" t="str">
            <v>ЕВ2010156 930609</v>
          </cell>
          <cell r="F542">
            <v>1428.1</v>
          </cell>
          <cell r="G542">
            <v>1210.6099999999999</v>
          </cell>
          <cell r="H542">
            <v>0</v>
          </cell>
        </row>
        <row r="543">
          <cell r="C543" t="str">
            <v>Кулагин Дмитрий Геннадьевич</v>
          </cell>
          <cell r="D543" t="str">
            <v>проходчик на поверхностных работах</v>
          </cell>
          <cell r="E543" t="str">
            <v>ЕЛ2010163 001788</v>
          </cell>
          <cell r="F543">
            <v>1251.7</v>
          </cell>
          <cell r="G543">
            <v>1061.1099999999999</v>
          </cell>
          <cell r="H543">
            <v>1491.2</v>
          </cell>
        </row>
        <row r="544">
          <cell r="E544">
            <v>2007013712364</v>
          </cell>
          <cell r="F544">
            <v>1759.2</v>
          </cell>
          <cell r="G544">
            <v>1491.2</v>
          </cell>
          <cell r="H544">
            <v>0</v>
          </cell>
        </row>
        <row r="545">
          <cell r="C545" t="str">
            <v>Лабутин Евгений Петрович</v>
          </cell>
          <cell r="D545" t="str">
            <v>проходчик на поверхностных работах</v>
          </cell>
          <cell r="E545" t="str">
            <v>ЮЭ2010697 044639</v>
          </cell>
          <cell r="F545">
            <v>1079.5999999999999</v>
          </cell>
          <cell r="G545">
            <v>915.27</v>
          </cell>
          <cell r="H545">
            <v>0</v>
          </cell>
        </row>
        <row r="546">
          <cell r="C546" t="str">
            <v>Лаврик Виктор Александрович</v>
          </cell>
          <cell r="D546" t="str">
            <v>проходчик на поверхностных работах</v>
          </cell>
          <cell r="E546" t="str">
            <v>ЮЛ2010683 554343</v>
          </cell>
          <cell r="F546">
            <v>1497.9</v>
          </cell>
          <cell r="G546">
            <v>1269.75</v>
          </cell>
          <cell r="H546">
            <v>1269.75</v>
          </cell>
        </row>
        <row r="547">
          <cell r="E547" t="str">
            <v>ЮЛ2010683 554344</v>
          </cell>
          <cell r="F547">
            <v>1497.9</v>
          </cell>
          <cell r="G547">
            <v>1269.75</v>
          </cell>
          <cell r="H547">
            <v>0</v>
          </cell>
        </row>
        <row r="548">
          <cell r="C548" t="str">
            <v>Лаптев Иван Климентьевич</v>
          </cell>
          <cell r="D548" t="str">
            <v>проходчик на поверхностных работах</v>
          </cell>
          <cell r="E548" t="str">
            <v>АИ2010032 666146</v>
          </cell>
          <cell r="F548">
            <v>2299.4</v>
          </cell>
          <cell r="G548">
            <v>1948.99</v>
          </cell>
          <cell r="H548">
            <v>1328.73</v>
          </cell>
        </row>
        <row r="549">
          <cell r="E549" t="str">
            <v>ГВ2010105 484812</v>
          </cell>
          <cell r="F549">
            <v>1567.5</v>
          </cell>
          <cell r="G549">
            <v>1328.73</v>
          </cell>
          <cell r="H549">
            <v>0</v>
          </cell>
        </row>
        <row r="550">
          <cell r="C550" t="str">
            <v>Лелин Денис Игоревич</v>
          </cell>
          <cell r="D550" t="str">
            <v xml:space="preserve">горнорабочий </v>
          </cell>
          <cell r="E550" t="str">
            <v>ЕВ2010156 729241</v>
          </cell>
          <cell r="F550">
            <v>1149</v>
          </cell>
          <cell r="G550">
            <v>974.08</v>
          </cell>
          <cell r="H550">
            <v>0</v>
          </cell>
        </row>
        <row r="551">
          <cell r="C551" t="str">
            <v>Лихота Анатолий Анатольевич</v>
          </cell>
          <cell r="D551" t="str">
            <v>электрогазосварщик, занятый на резке и ручной сварке</v>
          </cell>
          <cell r="E551" t="str">
            <v>ЮЭ2010697 707341</v>
          </cell>
          <cell r="F551">
            <v>1428.1</v>
          </cell>
          <cell r="G551">
            <v>1210.6099999999999</v>
          </cell>
          <cell r="H551">
            <v>1417.3</v>
          </cell>
        </row>
        <row r="552">
          <cell r="E552" t="str">
            <v>ЕВ2010156  903721</v>
          </cell>
          <cell r="F552">
            <v>1672</v>
          </cell>
          <cell r="G552">
            <v>1417.3</v>
          </cell>
          <cell r="H552">
            <v>0</v>
          </cell>
        </row>
        <row r="553">
          <cell r="C553" t="str">
            <v>Мамаев Игорь Николаевич</v>
          </cell>
          <cell r="D553" t="str">
            <v>электрослесарь (слесарь) дежурный и по ремонту оборудования</v>
          </cell>
          <cell r="E553" t="str">
            <v>ЧБ2010571 196465</v>
          </cell>
          <cell r="F553">
            <v>1079.5999999999999</v>
          </cell>
          <cell r="G553">
            <v>915.27</v>
          </cell>
          <cell r="H553">
            <v>974.08</v>
          </cell>
        </row>
        <row r="554">
          <cell r="E554" t="str">
            <v>ВЕ2010082 117643</v>
          </cell>
          <cell r="F554">
            <v>1149</v>
          </cell>
          <cell r="G554">
            <v>974.08</v>
          </cell>
          <cell r="H554">
            <v>0</v>
          </cell>
        </row>
        <row r="555">
          <cell r="C555" t="str">
            <v>Мардасов Александр Федорович</v>
          </cell>
          <cell r="D555" t="str">
            <v>проходчик на поверхностных работах</v>
          </cell>
          <cell r="E555" t="str">
            <v>ЯИ2010707  977521</v>
          </cell>
          <cell r="F555">
            <v>1358.4</v>
          </cell>
          <cell r="G555">
            <v>1151.53</v>
          </cell>
          <cell r="H555">
            <v>1233.82</v>
          </cell>
        </row>
        <row r="556">
          <cell r="E556" t="str">
            <v>ЕВ2010156 935930</v>
          </cell>
          <cell r="F556">
            <v>1455.5</v>
          </cell>
          <cell r="G556">
            <v>1233.82</v>
          </cell>
          <cell r="H556">
            <v>0</v>
          </cell>
        </row>
        <row r="557">
          <cell r="C557" t="str">
            <v>Михайлов Олег Викторович</v>
          </cell>
          <cell r="D557" t="str">
            <v>проходчик на поверхностных работах</v>
          </cell>
          <cell r="E557" t="str">
            <v>ЮЭ2010697 909697</v>
          </cell>
          <cell r="F557">
            <v>1149</v>
          </cell>
          <cell r="G557">
            <v>974.08</v>
          </cell>
          <cell r="H557">
            <v>0</v>
          </cell>
        </row>
        <row r="558">
          <cell r="C558" t="str">
            <v>Мягков Максим Александрович</v>
          </cell>
          <cell r="D558" t="str">
            <v>проходчик на поверхностных работах</v>
          </cell>
          <cell r="E558" t="str">
            <v>ЯИ2010707 201881</v>
          </cell>
          <cell r="F558">
            <v>1567.5</v>
          </cell>
          <cell r="G558">
            <v>1328.73</v>
          </cell>
          <cell r="H558">
            <v>1638.82</v>
          </cell>
        </row>
        <row r="559">
          <cell r="E559" t="str">
            <v>АП2010037 936096</v>
          </cell>
          <cell r="F559">
            <v>1933.4</v>
          </cell>
          <cell r="G559">
            <v>1638.82</v>
          </cell>
          <cell r="H559">
            <v>0</v>
          </cell>
        </row>
        <row r="560">
          <cell r="C560" t="str">
            <v>Назаров Владимир Александрович</v>
          </cell>
          <cell r="D560" t="str">
            <v>проходчик на поверхностных работах</v>
          </cell>
          <cell r="E560" t="str">
            <v>ЮЭ2010697 896074</v>
          </cell>
          <cell r="F560">
            <v>1894.7</v>
          </cell>
          <cell r="G560">
            <v>1677.38</v>
          </cell>
          <cell r="H560">
            <v>2414.16</v>
          </cell>
        </row>
        <row r="561">
          <cell r="E561" t="str">
            <v>ГВ2010105 485465</v>
          </cell>
          <cell r="F561">
            <v>2848.3</v>
          </cell>
          <cell r="G561">
            <v>2414.16</v>
          </cell>
          <cell r="H561">
            <v>0</v>
          </cell>
        </row>
        <row r="562">
          <cell r="C562" t="str">
            <v>Наумов Николай Сергеевич</v>
          </cell>
          <cell r="D562" t="str">
            <v xml:space="preserve">горнорабочий </v>
          </cell>
          <cell r="E562" t="str">
            <v>АИ2010032 751791</v>
          </cell>
          <cell r="F562">
            <v>1060.7</v>
          </cell>
          <cell r="G562">
            <v>899.25</v>
          </cell>
          <cell r="H562">
            <v>0</v>
          </cell>
        </row>
        <row r="563">
          <cell r="C563" t="str">
            <v>Наумович Андрей Александрович</v>
          </cell>
          <cell r="D563" t="str">
            <v xml:space="preserve">горнорабочий </v>
          </cell>
          <cell r="E563" t="str">
            <v xml:space="preserve"> ЮЭ2010697 947116</v>
          </cell>
          <cell r="F563">
            <v>1079.5999999999999</v>
          </cell>
          <cell r="G563">
            <v>915.27</v>
          </cell>
          <cell r="H563">
            <v>0</v>
          </cell>
        </row>
        <row r="564">
          <cell r="C564" t="str">
            <v>Невмержицкий Сергей Александрович</v>
          </cell>
          <cell r="D564" t="str">
            <v>электрослесарь (слесарь) дежурный и по ремонту оборудования</v>
          </cell>
          <cell r="E564" t="str">
            <v>ВЛ2010086 291149</v>
          </cell>
          <cell r="F564">
            <v>1567.5</v>
          </cell>
          <cell r="G564">
            <v>1328.73</v>
          </cell>
          <cell r="H564">
            <v>1638.82</v>
          </cell>
        </row>
        <row r="565">
          <cell r="E565" t="str">
            <v xml:space="preserve"> ЕГ2010157 235218</v>
          </cell>
          <cell r="F565">
            <v>1933.4</v>
          </cell>
          <cell r="G565">
            <v>1638.82</v>
          </cell>
          <cell r="H565">
            <v>0</v>
          </cell>
        </row>
        <row r="566">
          <cell r="C566" t="str">
            <v>Орищенко Алексей Викторович</v>
          </cell>
          <cell r="D566" t="str">
            <v>проходчик на поверхностных работах</v>
          </cell>
          <cell r="E566" t="str">
            <v>ЧБ2010571 780572</v>
          </cell>
          <cell r="F566">
            <v>1079.5999999999999</v>
          </cell>
          <cell r="G566">
            <v>915.27</v>
          </cell>
          <cell r="H566">
            <v>0</v>
          </cell>
        </row>
        <row r="567">
          <cell r="C567" t="str">
            <v>Осауленко Александр Олегович</v>
          </cell>
          <cell r="D567" t="str">
            <v>горнорабочий</v>
          </cell>
          <cell r="E567" t="str">
            <v>ЮЭ2010697 947965</v>
          </cell>
          <cell r="F567">
            <v>1079.5999999999999</v>
          </cell>
          <cell r="G567">
            <v>915.27</v>
          </cell>
          <cell r="H567">
            <v>0</v>
          </cell>
        </row>
        <row r="568">
          <cell r="C568" t="str">
            <v>Павлов Петр Алексеевич</v>
          </cell>
          <cell r="D568" t="str">
            <v>электрогазосварщик, занятый на резке и ручной сварке</v>
          </cell>
          <cell r="E568" t="str">
            <v>ШБ2010597 788521</v>
          </cell>
          <cell r="F568">
            <v>1497.9</v>
          </cell>
          <cell r="G568">
            <v>1269.75</v>
          </cell>
          <cell r="H568">
            <v>1269.75</v>
          </cell>
        </row>
        <row r="569">
          <cell r="E569" t="str">
            <v>ГМ2010113 132537</v>
          </cell>
          <cell r="F569">
            <v>1497.9</v>
          </cell>
          <cell r="G569">
            <v>1269.75</v>
          </cell>
          <cell r="H569">
            <v>0</v>
          </cell>
        </row>
        <row r="570">
          <cell r="C570" t="str">
            <v>Пак Роман Валерьевич</v>
          </cell>
          <cell r="D570" t="str">
            <v>электрогазосварщик, занятый на резке и ручной сварке</v>
          </cell>
          <cell r="E570" t="str">
            <v>АК2010033 139316</v>
          </cell>
          <cell r="F570">
            <v>1497.9</v>
          </cell>
          <cell r="G570">
            <v>1269.75</v>
          </cell>
          <cell r="H570">
            <v>2192.73</v>
          </cell>
        </row>
        <row r="571">
          <cell r="E571" t="str">
            <v>АК2010033 139319</v>
          </cell>
          <cell r="F571">
            <v>2587</v>
          </cell>
          <cell r="G571">
            <v>2192.73</v>
          </cell>
          <cell r="H571">
            <v>0</v>
          </cell>
        </row>
        <row r="572">
          <cell r="C572" t="str">
            <v>Пигарев Алексей Владимирович</v>
          </cell>
          <cell r="D572" t="str">
            <v>проходчик на поверхностных работах</v>
          </cell>
          <cell r="E572" t="str">
            <v>ЮЭ2010697 044863</v>
          </cell>
          <cell r="F572">
            <v>1080</v>
          </cell>
          <cell r="G572">
            <v>915.25</v>
          </cell>
          <cell r="H572">
            <v>1195.5999999999999</v>
          </cell>
        </row>
        <row r="573">
          <cell r="E573" t="str">
            <v>ЕВ2010156 990797</v>
          </cell>
          <cell r="F573">
            <v>1410.4</v>
          </cell>
          <cell r="G573">
            <v>1195.5999999999999</v>
          </cell>
          <cell r="H573">
            <v>0</v>
          </cell>
        </row>
        <row r="574">
          <cell r="C574" t="str">
            <v>Плаченов Владимир Владимирович</v>
          </cell>
          <cell r="D574" t="str">
            <v>проходчик на поверхностных работах</v>
          </cell>
          <cell r="E574" t="str">
            <v>ЮЭ2010697 896071</v>
          </cell>
          <cell r="F574">
            <v>1894.7</v>
          </cell>
          <cell r="G574">
            <v>1677.38</v>
          </cell>
          <cell r="H574">
            <v>1638.82</v>
          </cell>
        </row>
        <row r="575">
          <cell r="E575" t="str">
            <v>ГВ2010105 485466</v>
          </cell>
          <cell r="F575">
            <v>1933.4</v>
          </cell>
          <cell r="G575">
            <v>1638.82</v>
          </cell>
          <cell r="H575">
            <v>0</v>
          </cell>
        </row>
        <row r="576">
          <cell r="C576" t="str">
            <v>Плешаков Юрий Викторович</v>
          </cell>
          <cell r="D576" t="str">
            <v>электрослесарь (слесарь) дежурный и по ремонту оборудования</v>
          </cell>
          <cell r="E576" t="str">
            <v>ЕВ2010156 970147</v>
          </cell>
          <cell r="F576">
            <v>1323.5</v>
          </cell>
          <cell r="G576">
            <v>1121.96</v>
          </cell>
          <cell r="H576">
            <v>0</v>
          </cell>
        </row>
        <row r="577">
          <cell r="C577" t="str">
            <v>Плотников Андрей Витальевич</v>
          </cell>
          <cell r="D577" t="str">
            <v>электрослесарь (слесарь) дежурный и по ремонту оборудования</v>
          </cell>
          <cell r="E577" t="str">
            <v>ЧБ2010571 780714</v>
          </cell>
          <cell r="F577">
            <v>1149</v>
          </cell>
          <cell r="G577">
            <v>974.08</v>
          </cell>
          <cell r="H577">
            <v>0</v>
          </cell>
        </row>
        <row r="578">
          <cell r="C578" t="str">
            <v>Подустов Андрей Александрович</v>
          </cell>
          <cell r="D578" t="str">
            <v xml:space="preserve">горнорабочий </v>
          </cell>
          <cell r="E578" t="str">
            <v>ЮЭ2010697 896072</v>
          </cell>
          <cell r="F578">
            <v>1894.7</v>
          </cell>
          <cell r="G578">
            <v>1677.38</v>
          </cell>
          <cell r="H578">
            <v>2414.16</v>
          </cell>
        </row>
        <row r="579">
          <cell r="E579" t="str">
            <v>ГВ2010105 485464</v>
          </cell>
          <cell r="F579">
            <v>2848.3</v>
          </cell>
          <cell r="G579">
            <v>2414.16</v>
          </cell>
          <cell r="H579">
            <v>0</v>
          </cell>
        </row>
        <row r="580">
          <cell r="C580" t="str">
            <v>Поклонцев Сергей Владимирович</v>
          </cell>
          <cell r="D580" t="str">
            <v>проходчик на поверхностных работах</v>
          </cell>
          <cell r="E580" t="str">
            <v>ЮЭ2010697 706921</v>
          </cell>
          <cell r="F580">
            <v>1428.1</v>
          </cell>
          <cell r="G580">
            <v>1210.6099999999999</v>
          </cell>
          <cell r="H580">
            <v>0</v>
          </cell>
        </row>
        <row r="581">
          <cell r="C581" t="str">
            <v>Поляков Игорь Юрьевич</v>
          </cell>
          <cell r="D581" t="str">
            <v>электрослесарь (слесарь) дежурный и по ремонту оборудования</v>
          </cell>
          <cell r="E581" t="str">
            <v>БГ2010104 241527</v>
          </cell>
          <cell r="F581">
            <v>1149</v>
          </cell>
          <cell r="G581">
            <v>974.08</v>
          </cell>
          <cell r="H581">
            <v>1195.5999999999999</v>
          </cell>
        </row>
        <row r="582">
          <cell r="E582" t="str">
            <v xml:space="preserve">ШГ2010599 061841 </v>
          </cell>
          <cell r="F582">
            <v>1410.4</v>
          </cell>
          <cell r="G582">
            <v>1195.5999999999999</v>
          </cell>
          <cell r="H582">
            <v>0</v>
          </cell>
        </row>
        <row r="583">
          <cell r="C583" t="str">
            <v>Потелещенко Олег Вадимович</v>
          </cell>
          <cell r="D583" t="str">
            <v>электрогазосварщик, занятый на резке и ручной сварке</v>
          </cell>
          <cell r="E583" t="str">
            <v>ЮЭ2010697               915753</v>
          </cell>
          <cell r="F583">
            <v>1079.5999999999999</v>
          </cell>
          <cell r="G583">
            <v>915.27</v>
          </cell>
          <cell r="H583">
            <v>1121.96</v>
          </cell>
        </row>
        <row r="584">
          <cell r="E584" t="str">
            <v>ГЕ2010108 885126</v>
          </cell>
          <cell r="F584">
            <v>1323.5</v>
          </cell>
          <cell r="G584">
            <v>1121.96</v>
          </cell>
          <cell r="H584">
            <v>0</v>
          </cell>
        </row>
        <row r="585">
          <cell r="C585" t="str">
            <v>Починков Михаил Юрьевич</v>
          </cell>
          <cell r="D585" t="str">
            <v>электрослесарь (слесарь) дежурный и по ремонту оборудования</v>
          </cell>
          <cell r="E585" t="str">
            <v>ШГ2010599 055458</v>
          </cell>
          <cell r="F585">
            <v>1218.9000000000001</v>
          </cell>
          <cell r="G585">
            <v>1033.31</v>
          </cell>
          <cell r="H585">
            <v>887.8</v>
          </cell>
        </row>
        <row r="586">
          <cell r="E586">
            <v>72670400448801</v>
          </cell>
          <cell r="F586">
            <v>1047.5999999999999</v>
          </cell>
          <cell r="G586">
            <v>887.8</v>
          </cell>
          <cell r="H586">
            <v>0</v>
          </cell>
        </row>
        <row r="587">
          <cell r="C587" t="str">
            <v>Прокошев Евгений Евгеньевич</v>
          </cell>
          <cell r="D587" t="str">
            <v>электрогазосварщик занятый на резке и ручной сварке о/г.р.</v>
          </cell>
          <cell r="E587" t="str">
            <v>ГВ2010105 484819</v>
          </cell>
          <cell r="F587">
            <v>1428.1</v>
          </cell>
          <cell r="G587">
            <v>1210.6099999999999</v>
          </cell>
          <cell r="H587">
            <v>0</v>
          </cell>
        </row>
        <row r="588">
          <cell r="C588" t="str">
            <v>Пудов Алексей Владимирович</v>
          </cell>
          <cell r="D588" t="str">
            <v xml:space="preserve">горнорабочий </v>
          </cell>
          <cell r="E588" t="str">
            <v>ЮЭ2010697 915755</v>
          </cell>
          <cell r="F588">
            <v>1079.5999999999999</v>
          </cell>
          <cell r="G588">
            <v>915.27</v>
          </cell>
          <cell r="H588">
            <v>1036.03</v>
          </cell>
        </row>
        <row r="589">
          <cell r="E589" t="str">
            <v>АП2010037 917305</v>
          </cell>
          <cell r="F589">
            <v>1222.0999999999999</v>
          </cell>
          <cell r="G589">
            <v>1036.03</v>
          </cell>
          <cell r="H589">
            <v>0</v>
          </cell>
        </row>
        <row r="590">
          <cell r="C590" t="str">
            <v>Рожков Александр Викторович</v>
          </cell>
          <cell r="D590" t="str">
            <v xml:space="preserve">горнорабочий </v>
          </cell>
          <cell r="E590" t="str">
            <v>ГВ2010105 484857</v>
          </cell>
          <cell r="F590">
            <v>1047.5999999999999</v>
          </cell>
          <cell r="G590">
            <v>888.15</v>
          </cell>
          <cell r="H590">
            <v>0</v>
          </cell>
        </row>
        <row r="591">
          <cell r="C591" t="str">
            <v>Романов Владимир Вячеславович</v>
          </cell>
          <cell r="D591" t="str">
            <v>электрогазосварщик занятый на резке и ручной сварке о/г.р.</v>
          </cell>
          <cell r="E591" t="str">
            <v>АК2010033 042398</v>
          </cell>
          <cell r="F591">
            <v>1567.5</v>
          </cell>
          <cell r="G591">
            <v>1328.73</v>
          </cell>
          <cell r="H591">
            <v>1210.6099999999999</v>
          </cell>
        </row>
        <row r="592">
          <cell r="E592" t="str">
            <v>АК2010033 042399</v>
          </cell>
          <cell r="F592">
            <v>1428.1</v>
          </cell>
          <cell r="G592">
            <v>1210.6099999999999</v>
          </cell>
          <cell r="H592">
            <v>0</v>
          </cell>
        </row>
        <row r="593">
          <cell r="C593" t="str">
            <v>Самсонов Геннадий Владимирович</v>
          </cell>
          <cell r="D593" t="str">
            <v>электрогазосварщик занятый на резке и ручной сварке о/г.р.</v>
          </cell>
          <cell r="E593" t="str">
            <v>ГВ2010105 591882</v>
          </cell>
          <cell r="F593">
            <v>1567.5</v>
          </cell>
          <cell r="G593">
            <v>1328.74</v>
          </cell>
          <cell r="H593">
            <v>0</v>
          </cell>
        </row>
        <row r="594">
          <cell r="C594" t="str">
            <v>Сапожников Валентин Александрович</v>
          </cell>
          <cell r="D594" t="str">
            <v>проходчик на поверхностных работах</v>
          </cell>
          <cell r="E594" t="str">
            <v>ЧБ2010571 780578</v>
          </cell>
          <cell r="F594">
            <v>1079.5999999999999</v>
          </cell>
          <cell r="G594">
            <v>915.27</v>
          </cell>
          <cell r="H594">
            <v>0</v>
          </cell>
        </row>
        <row r="595">
          <cell r="C595" t="str">
            <v>Серобаба Игорь Владимирович</v>
          </cell>
          <cell r="D595" t="str">
            <v>проходчик на поверхностных работах</v>
          </cell>
          <cell r="E595" t="str">
            <v>ВЛ2010086 494644</v>
          </cell>
          <cell r="F595">
            <v>1497.9</v>
          </cell>
          <cell r="G595">
            <v>1269.75</v>
          </cell>
          <cell r="H595">
            <v>1638.82</v>
          </cell>
        </row>
        <row r="596">
          <cell r="E596" t="str">
            <v>ВБ2010078 961611</v>
          </cell>
          <cell r="F596">
            <v>1933.4</v>
          </cell>
          <cell r="G596">
            <v>1638.82</v>
          </cell>
          <cell r="H596">
            <v>0</v>
          </cell>
        </row>
        <row r="597">
          <cell r="C597" t="str">
            <v>Сиднеков Олег Анатольевич</v>
          </cell>
          <cell r="D597" t="str">
            <v>электрогазосварщик, занятый на резке и ручной сварке</v>
          </cell>
          <cell r="E597" t="str">
            <v>ЩН2010633 911284</v>
          </cell>
          <cell r="F597">
            <v>1567.5</v>
          </cell>
          <cell r="G597">
            <v>1328.73</v>
          </cell>
          <cell r="H597">
            <v>1638.82</v>
          </cell>
        </row>
        <row r="598">
          <cell r="E598" t="str">
            <v>АП2010037  912322</v>
          </cell>
          <cell r="F598">
            <v>1933.4</v>
          </cell>
          <cell r="G598">
            <v>1638.82</v>
          </cell>
          <cell r="H598">
            <v>0</v>
          </cell>
        </row>
        <row r="599">
          <cell r="C599" t="str">
            <v>Сидоренко Николай Анатольевич</v>
          </cell>
          <cell r="D599" t="str">
            <v xml:space="preserve">горнорабочий </v>
          </cell>
          <cell r="E599" t="str">
            <v>ЮЭ2010697 947179</v>
          </cell>
          <cell r="F599">
            <v>1776.4</v>
          </cell>
          <cell r="G599">
            <v>1505.77</v>
          </cell>
          <cell r="H599">
            <v>899.25</v>
          </cell>
        </row>
        <row r="600">
          <cell r="E600">
            <v>2007013737483</v>
          </cell>
          <cell r="F600">
            <v>1060.7</v>
          </cell>
          <cell r="G600">
            <v>899.25</v>
          </cell>
          <cell r="H600">
            <v>0</v>
          </cell>
        </row>
        <row r="601">
          <cell r="C601" t="str">
            <v>Синцов Дмитрий Александрович</v>
          </cell>
          <cell r="D601" t="str">
            <v>электрогазосварщик, занятый на резке и ручной сварке</v>
          </cell>
          <cell r="E601" t="str">
            <v>ВЛ2010086 113349</v>
          </cell>
          <cell r="F601">
            <v>1079.5999999999999</v>
          </cell>
          <cell r="G601">
            <v>915.27</v>
          </cell>
          <cell r="H601">
            <v>0</v>
          </cell>
        </row>
        <row r="602">
          <cell r="C602" t="str">
            <v>Сирота Александр Лазаревич</v>
          </cell>
          <cell r="D602" t="str">
            <v>машинист компрессорных установок</v>
          </cell>
          <cell r="E602" t="str">
            <v>ВЛ2010086 289990</v>
          </cell>
          <cell r="F602">
            <v>1567.5</v>
          </cell>
          <cell r="G602">
            <v>1328.73</v>
          </cell>
          <cell r="H602">
            <v>1638.82</v>
          </cell>
        </row>
        <row r="603">
          <cell r="E603" t="str">
            <v>ЕВ2010156  987044</v>
          </cell>
          <cell r="F603">
            <v>1933.4</v>
          </cell>
          <cell r="G603">
            <v>1638.82</v>
          </cell>
          <cell r="H603">
            <v>0</v>
          </cell>
        </row>
        <row r="604">
          <cell r="C604" t="str">
            <v>Скориков Денис Сергеевич</v>
          </cell>
          <cell r="D604" t="str">
            <v xml:space="preserve">горнорабочий </v>
          </cell>
          <cell r="E604" t="str">
            <v>ЮЭ2010697 499556</v>
          </cell>
          <cell r="F604">
            <v>1497.9</v>
          </cell>
          <cell r="G604">
            <v>1269.75</v>
          </cell>
          <cell r="H604">
            <v>1371.79</v>
          </cell>
        </row>
        <row r="605">
          <cell r="E605" t="str">
            <v>АП2010037 926476</v>
          </cell>
          <cell r="F605">
            <v>1618.3</v>
          </cell>
          <cell r="G605">
            <v>1371.79</v>
          </cell>
          <cell r="H605">
            <v>0</v>
          </cell>
        </row>
        <row r="606">
          <cell r="C606" t="str">
            <v>Скориков Евгений Сергеевич</v>
          </cell>
          <cell r="D606" t="str">
            <v xml:space="preserve">горнорабочий </v>
          </cell>
          <cell r="E606" t="str">
            <v>ЮЭ2010697 499554</v>
          </cell>
          <cell r="F606">
            <v>1428.1</v>
          </cell>
          <cell r="G606">
            <v>1210.6099999999999</v>
          </cell>
          <cell r="H606">
            <v>0</v>
          </cell>
        </row>
        <row r="607">
          <cell r="C607" t="str">
            <v>Скориков Сергей Викторович</v>
          </cell>
          <cell r="D607" t="str">
            <v>проходчик на поверхностных работах</v>
          </cell>
          <cell r="E607" t="str">
            <v>ЮЭ2010697 499557</v>
          </cell>
          <cell r="F607">
            <v>1497.9</v>
          </cell>
          <cell r="G607">
            <v>1269.75</v>
          </cell>
          <cell r="H607">
            <v>1371.79</v>
          </cell>
        </row>
        <row r="608">
          <cell r="E608" t="str">
            <v>АП2010037 926475</v>
          </cell>
          <cell r="F608">
            <v>1618.3</v>
          </cell>
          <cell r="G608">
            <v>1371.79</v>
          </cell>
          <cell r="H608">
            <v>0</v>
          </cell>
        </row>
        <row r="609">
          <cell r="C609" t="str">
            <v>Скотинников Андрей Николаевич</v>
          </cell>
          <cell r="D609" t="str">
            <v>проходчик на поверхностных работах</v>
          </cell>
          <cell r="E609" t="str">
            <v>ЧБ2010571 780644</v>
          </cell>
          <cell r="F609">
            <v>1079.5999999999999</v>
          </cell>
          <cell r="G609">
            <v>915.27</v>
          </cell>
          <cell r="H609">
            <v>0</v>
          </cell>
        </row>
        <row r="610">
          <cell r="C610" t="str">
            <v>Соболев Андрей Васильевич</v>
          </cell>
          <cell r="D610" t="str">
            <v xml:space="preserve">горнорабочий </v>
          </cell>
          <cell r="E610" t="str">
            <v>ЮЭ2010697 947180</v>
          </cell>
          <cell r="F610">
            <v>1776.4</v>
          </cell>
          <cell r="G610">
            <v>1505.77</v>
          </cell>
          <cell r="H610">
            <v>915.27</v>
          </cell>
        </row>
        <row r="611">
          <cell r="E611">
            <v>2007012507288</v>
          </cell>
          <cell r="F611">
            <v>1079.5999999999999</v>
          </cell>
          <cell r="G611">
            <v>915.27</v>
          </cell>
          <cell r="H611">
            <v>0</v>
          </cell>
        </row>
        <row r="612">
          <cell r="C612" t="str">
            <v>Соломенцев Валерий Викторович</v>
          </cell>
          <cell r="D612" t="str">
            <v>электрогазосварщик, занятый на резке и ручной сварке</v>
          </cell>
          <cell r="E612" t="str">
            <v>ГЕ2010108 884612</v>
          </cell>
          <cell r="F612">
            <v>1149</v>
          </cell>
          <cell r="G612">
            <v>974.08</v>
          </cell>
          <cell r="H612">
            <v>0</v>
          </cell>
        </row>
        <row r="613">
          <cell r="C613" t="str">
            <v>Сорокин Григорий Александрович</v>
          </cell>
          <cell r="D613" t="str">
            <v>электрослесарь (слесарь) дежурный и по ремонту оборудования</v>
          </cell>
          <cell r="E613" t="str">
            <v>ВЛ2010086 116695</v>
          </cell>
          <cell r="F613">
            <v>1079.5999999999999</v>
          </cell>
          <cell r="G613">
            <v>915.27</v>
          </cell>
          <cell r="H613">
            <v>1121.96</v>
          </cell>
        </row>
        <row r="614">
          <cell r="E614" t="str">
            <v>ВЛ2010086 116698</v>
          </cell>
          <cell r="F614">
            <v>1323.5</v>
          </cell>
          <cell r="G614">
            <v>1121.96</v>
          </cell>
          <cell r="H614">
            <v>0</v>
          </cell>
        </row>
        <row r="615">
          <cell r="C615" t="str">
            <v>Степанов Николай Григорьевич</v>
          </cell>
          <cell r="D615" t="str">
            <v>проходчик на поверхностных работах</v>
          </cell>
          <cell r="E615" t="str">
            <v>ШГ2010599 055459</v>
          </cell>
          <cell r="F615">
            <v>1218.9000000000001</v>
          </cell>
          <cell r="G615">
            <v>1033.31</v>
          </cell>
          <cell r="H615">
            <v>1033.31</v>
          </cell>
        </row>
        <row r="616">
          <cell r="E616" t="str">
            <v>ГЕ2010108 884622</v>
          </cell>
          <cell r="F616">
            <v>1218.9000000000001</v>
          </cell>
          <cell r="G616">
            <v>1033.31</v>
          </cell>
          <cell r="H616">
            <v>0</v>
          </cell>
        </row>
        <row r="617">
          <cell r="C617" t="str">
            <v>Стетюха Сергей Анатольевич</v>
          </cell>
          <cell r="D617" t="str">
            <v>электрогазосварщик, занятый на резке и ручной сварке</v>
          </cell>
          <cell r="E617" t="str">
            <v>ЮЭ2010697 044120</v>
          </cell>
          <cell r="F617">
            <v>1149</v>
          </cell>
          <cell r="G617">
            <v>974.08</v>
          </cell>
          <cell r="H617">
            <v>0</v>
          </cell>
        </row>
        <row r="618">
          <cell r="C618" t="str">
            <v>Стешенко Александр Владимирович</v>
          </cell>
          <cell r="D618" t="str">
            <v>электрогазосварщик, занятый на резке и ручной сварке</v>
          </cell>
          <cell r="E618" t="str">
            <v>ЧБ2010571 847641</v>
          </cell>
          <cell r="F618">
            <v>1776.4</v>
          </cell>
          <cell r="G618">
            <v>1505.77</v>
          </cell>
          <cell r="H618">
            <v>0</v>
          </cell>
        </row>
        <row r="619">
          <cell r="C619" t="str">
            <v>Сухов Алексей Федорович</v>
          </cell>
          <cell r="D619" t="str">
            <v xml:space="preserve">горнорабочий </v>
          </cell>
          <cell r="E619" t="str">
            <v>АЕ2010030 412831</v>
          </cell>
          <cell r="F619">
            <v>940</v>
          </cell>
          <cell r="G619">
            <v>796.96</v>
          </cell>
          <cell r="H619">
            <v>0</v>
          </cell>
        </row>
        <row r="620">
          <cell r="C620" t="str">
            <v>Сухляк Юрий Алексеевич</v>
          </cell>
          <cell r="D620" t="str">
            <v>электрогазосварщик, занятый на резке и ручной сварке</v>
          </cell>
          <cell r="E620" t="str">
            <v>ЧБ2010571 985085</v>
          </cell>
          <cell r="F620">
            <v>1567.5</v>
          </cell>
          <cell r="G620">
            <v>1328.73</v>
          </cell>
          <cell r="H620">
            <v>1491.2</v>
          </cell>
        </row>
        <row r="621">
          <cell r="E621" t="str">
            <v>АП2010037  937779</v>
          </cell>
          <cell r="F621">
            <v>1759.2</v>
          </cell>
          <cell r="G621">
            <v>1491.2</v>
          </cell>
          <cell r="H621">
            <v>0</v>
          </cell>
        </row>
        <row r="622">
          <cell r="C622" t="str">
            <v>Сытник Александр Анатольевич</v>
          </cell>
          <cell r="D622" t="str">
            <v>проходчик на поверхностных работах</v>
          </cell>
          <cell r="E622" t="str">
            <v>ЮЭ2010697 909675</v>
          </cell>
          <cell r="F622">
            <v>1047.5999999999999</v>
          </cell>
          <cell r="G622">
            <v>888.15</v>
          </cell>
          <cell r="H622">
            <v>0</v>
          </cell>
        </row>
        <row r="623">
          <cell r="C623" t="str">
            <v>Тарабановский Андрей Викторович</v>
          </cell>
          <cell r="D623" t="str">
            <v>электрослесарь (слесарь) дежурный и по ремонту оборудования</v>
          </cell>
          <cell r="E623" t="str">
            <v>ЧБ2010571 780664</v>
          </cell>
          <cell r="F623">
            <v>1060.7</v>
          </cell>
          <cell r="G623">
            <v>899.25</v>
          </cell>
          <cell r="H623">
            <v>915.27</v>
          </cell>
        </row>
        <row r="624">
          <cell r="E624" t="str">
            <v>ЧБ2010571  780665</v>
          </cell>
          <cell r="F624">
            <v>1079.5999999999999</v>
          </cell>
          <cell r="G624">
            <v>915.27</v>
          </cell>
          <cell r="H624">
            <v>0</v>
          </cell>
        </row>
        <row r="625">
          <cell r="C625" t="str">
            <v>Татевосян Арсен Георгиевич</v>
          </cell>
          <cell r="D625" t="str">
            <v>электрогазосварщик, занятый на резке и ручной сварке</v>
          </cell>
          <cell r="E625" t="str">
            <v>АК2010033 046135</v>
          </cell>
          <cell r="F625">
            <v>1315.4</v>
          </cell>
          <cell r="G625">
            <v>1115.0899999999999</v>
          </cell>
          <cell r="H625">
            <v>0</v>
          </cell>
        </row>
        <row r="626">
          <cell r="C626" t="str">
            <v>Тербулатов Эльдар Исмаилович</v>
          </cell>
          <cell r="D626" t="str">
            <v>машинист передвижной дизельной электростанции</v>
          </cell>
          <cell r="E626" t="str">
            <v>ВЛ2010086 289992</v>
          </cell>
          <cell r="F626">
            <v>1567.5</v>
          </cell>
          <cell r="G626">
            <v>1328.73</v>
          </cell>
          <cell r="H626">
            <v>0</v>
          </cell>
        </row>
        <row r="627">
          <cell r="C627" t="str">
            <v>Тилов Мухажир Камалович</v>
          </cell>
          <cell r="D627" t="str">
            <v>электросварщик ручной сварки</v>
          </cell>
          <cell r="E627" t="str">
            <v>ВЛ2010086 289993</v>
          </cell>
          <cell r="F627">
            <v>1567.5</v>
          </cell>
          <cell r="G627">
            <v>1328.73</v>
          </cell>
          <cell r="H627">
            <v>0</v>
          </cell>
        </row>
        <row r="628">
          <cell r="C628" t="str">
            <v>Тимохин Александр Викторович</v>
          </cell>
          <cell r="D628" t="str">
            <v>электрогазосварщик, занятый на резке и ручной сварке</v>
          </cell>
          <cell r="E628" t="str">
            <v>ЮЭ2010697 945205</v>
          </cell>
          <cell r="F628">
            <v>1567.5</v>
          </cell>
          <cell r="G628">
            <v>1328.74</v>
          </cell>
          <cell r="H628">
            <v>0</v>
          </cell>
        </row>
        <row r="629">
          <cell r="C629" t="str">
            <v>Тишков Дмитрий Владимирович</v>
          </cell>
          <cell r="D629" t="str">
            <v>электрогазосварщик, занятый на резке и ручной сварке</v>
          </cell>
          <cell r="E629" t="str">
            <v>ЧБ2010571 847642</v>
          </cell>
          <cell r="F629">
            <v>1776.4</v>
          </cell>
          <cell r="G629">
            <v>1505.77</v>
          </cell>
          <cell r="H629">
            <v>1343.31</v>
          </cell>
        </row>
        <row r="630">
          <cell r="E630" t="str">
            <v>АП2010037 902886</v>
          </cell>
          <cell r="F630">
            <v>1584.7</v>
          </cell>
          <cell r="G630">
            <v>1343.31</v>
          </cell>
          <cell r="H630">
            <v>0</v>
          </cell>
        </row>
        <row r="631">
          <cell r="C631" t="str">
            <v>Толиченко Максим Станиславович</v>
          </cell>
          <cell r="D631" t="str">
            <v>электрогазосварщик, занятый на резке и ручной сварке</v>
          </cell>
          <cell r="E631" t="str">
            <v>ЕВ2010156 969540</v>
          </cell>
          <cell r="F631">
            <v>1497.7</v>
          </cell>
          <cell r="G631">
            <v>1269.5899999999999</v>
          </cell>
          <cell r="H631">
            <v>0</v>
          </cell>
        </row>
        <row r="632">
          <cell r="C632" t="str">
            <v>Улецкий Геннадий Гаврилович</v>
          </cell>
          <cell r="D632" t="str">
            <v>электросварщик ручной сварки</v>
          </cell>
          <cell r="E632" t="str">
            <v>ЮЭ2010697 043616</v>
          </cell>
          <cell r="F632">
            <v>1060.7</v>
          </cell>
          <cell r="G632">
            <v>899.25</v>
          </cell>
          <cell r="H632">
            <v>974.08</v>
          </cell>
        </row>
        <row r="633">
          <cell r="E633" t="str">
            <v>ГМ2010113 494191</v>
          </cell>
          <cell r="F633">
            <v>1149</v>
          </cell>
          <cell r="G633">
            <v>974.08</v>
          </cell>
          <cell r="H633">
            <v>0</v>
          </cell>
        </row>
        <row r="634">
          <cell r="C634" t="str">
            <v>Урсу Лилиян Иванович</v>
          </cell>
          <cell r="D634" t="str">
            <v xml:space="preserve">горнорабочий </v>
          </cell>
          <cell r="E634" t="str">
            <v>АК2010033 139315</v>
          </cell>
          <cell r="F634">
            <v>1497.9</v>
          </cell>
          <cell r="G634">
            <v>1269.75</v>
          </cell>
          <cell r="H634">
            <v>0</v>
          </cell>
        </row>
        <row r="635">
          <cell r="C635" t="str">
            <v>Федоров Алексей Алексеевич</v>
          </cell>
          <cell r="D635" t="str">
            <v>электрослесарь дежурный и по ремонту оборудования</v>
          </cell>
          <cell r="E635" t="str">
            <v>АК2010033 138481</v>
          </cell>
          <cell r="F635">
            <v>1497.9</v>
          </cell>
          <cell r="G635">
            <v>1269.75</v>
          </cell>
          <cell r="H635">
            <v>0</v>
          </cell>
        </row>
        <row r="636">
          <cell r="C636" t="str">
            <v>Федоров Игорь Александрович</v>
          </cell>
          <cell r="D636" t="str">
            <v>проходчик на поверхностных работах</v>
          </cell>
          <cell r="E636" t="str">
            <v>ГЕ2010108  884611</v>
          </cell>
          <cell r="F636">
            <v>1149</v>
          </cell>
          <cell r="G636">
            <v>974.08</v>
          </cell>
          <cell r="H636">
            <v>0</v>
          </cell>
        </row>
        <row r="637">
          <cell r="C637" t="str">
            <v>Федотов Дмитрий Витальевич</v>
          </cell>
          <cell r="D637" t="str">
            <v>проходчик на поверхностных работах</v>
          </cell>
          <cell r="E637" t="str">
            <v>ЯИ2010707 201892</v>
          </cell>
          <cell r="F637">
            <v>1567.5</v>
          </cell>
          <cell r="G637">
            <v>1328.73</v>
          </cell>
          <cell r="H637">
            <v>0</v>
          </cell>
        </row>
        <row r="638">
          <cell r="C638" t="str">
            <v>Фесиков Владимир Александрович</v>
          </cell>
          <cell r="D638" t="str">
            <v>горнорабочий</v>
          </cell>
          <cell r="E638" t="str">
            <v>ЮЭ2010697 915977</v>
          </cell>
          <cell r="F638">
            <v>1079.5999999999999</v>
          </cell>
          <cell r="G638">
            <v>915.27</v>
          </cell>
          <cell r="H638">
            <v>0</v>
          </cell>
        </row>
        <row r="639">
          <cell r="C639" t="str">
            <v>Фефилов Валерий Леонидович</v>
          </cell>
          <cell r="D639" t="str">
            <v>электрослесарь дежурный и по ремонту оборудования</v>
          </cell>
          <cell r="E639" t="str">
            <v>ЮМ2010684 418040</v>
          </cell>
          <cell r="F639">
            <v>1149</v>
          </cell>
          <cell r="G639">
            <v>974.08</v>
          </cell>
          <cell r="H639">
            <v>915.27</v>
          </cell>
        </row>
        <row r="640">
          <cell r="E640" t="str">
            <v>ГВ2010105 485455</v>
          </cell>
          <cell r="F640">
            <v>1079.5999999999999</v>
          </cell>
          <cell r="G640">
            <v>915.27</v>
          </cell>
          <cell r="H640">
            <v>0</v>
          </cell>
        </row>
        <row r="641">
          <cell r="C641" t="str">
            <v>Фомин Алексей Николаевич</v>
          </cell>
          <cell r="D641" t="str">
            <v>проходчик на поверхностных работах</v>
          </cell>
          <cell r="E641" t="str">
            <v>ВЕ2010082 594260</v>
          </cell>
          <cell r="F641">
            <v>997</v>
          </cell>
          <cell r="G641">
            <v>845.26</v>
          </cell>
          <cell r="H641">
            <v>0</v>
          </cell>
        </row>
        <row r="642">
          <cell r="C642" t="str">
            <v>Чайко Александр Тимофеевич</v>
          </cell>
          <cell r="D642" t="str">
            <v>элекрогазосварщик занятый на резке и ручной сварке о/г.р.</v>
          </cell>
          <cell r="E642" t="str">
            <v>ВЛ2010086 048698</v>
          </cell>
          <cell r="F642">
            <v>1497.9</v>
          </cell>
          <cell r="G642">
            <v>1269.75</v>
          </cell>
          <cell r="H642">
            <v>1565.1</v>
          </cell>
        </row>
        <row r="643">
          <cell r="E643" t="str">
            <v>ВЛ2010086 048699</v>
          </cell>
          <cell r="F643">
            <v>1846.4</v>
          </cell>
          <cell r="G643">
            <v>1565.1</v>
          </cell>
          <cell r="H643">
            <v>0</v>
          </cell>
        </row>
        <row r="644">
          <cell r="C644" t="str">
            <v>Черновол Анатолий Алексеевич</v>
          </cell>
          <cell r="D644" t="str">
            <v>электрослесарь (слесарь) дежурный и по ремонту оборудования</v>
          </cell>
          <cell r="E644" t="str">
            <v>АИ2010032 765058</v>
          </cell>
          <cell r="F644">
            <v>1567.5</v>
          </cell>
          <cell r="G644">
            <v>1328.73</v>
          </cell>
          <cell r="H644">
            <v>1328.73</v>
          </cell>
        </row>
        <row r="645">
          <cell r="E645" t="str">
            <v>АИ2010032 767958</v>
          </cell>
          <cell r="F645">
            <v>1567.5</v>
          </cell>
          <cell r="G645">
            <v>1328.73</v>
          </cell>
          <cell r="H645">
            <v>0</v>
          </cell>
        </row>
        <row r="646">
          <cell r="C646" t="str">
            <v>Чеховской Андрей Николаевич</v>
          </cell>
          <cell r="D646" t="str">
            <v>электрогазосварщик, занятый на резке и ручной сварке</v>
          </cell>
          <cell r="E646" t="str">
            <v>ВЛ2010086 117382</v>
          </cell>
          <cell r="F646">
            <v>1149</v>
          </cell>
          <cell r="G646">
            <v>974.08</v>
          </cell>
          <cell r="H646">
            <v>0</v>
          </cell>
        </row>
        <row r="647">
          <cell r="C647" t="str">
            <v>Чмиль Денис Сергеевич</v>
          </cell>
          <cell r="D647" t="str">
            <v>проходчик на поверхностных работах</v>
          </cell>
          <cell r="E647" t="str">
            <v>ГМ2010113 446847</v>
          </cell>
          <cell r="F647">
            <v>1079.5999999999999</v>
          </cell>
          <cell r="G647">
            <v>915.27</v>
          </cell>
          <cell r="H647">
            <v>0</v>
          </cell>
        </row>
        <row r="648">
          <cell r="C648" t="str">
            <v>Харлампьев Валентин Юрьевич</v>
          </cell>
          <cell r="D648" t="str">
            <v>проходчик на поверхностных работах</v>
          </cell>
          <cell r="E648" t="str">
            <v>АИ2010032 666147</v>
          </cell>
          <cell r="F648">
            <v>2299.4</v>
          </cell>
          <cell r="G648">
            <v>1948.99</v>
          </cell>
          <cell r="H648">
            <v>1948.99</v>
          </cell>
        </row>
        <row r="649">
          <cell r="E649" t="str">
            <v>ГМ2010113 446433</v>
          </cell>
          <cell r="F649">
            <v>2299.4</v>
          </cell>
          <cell r="G649">
            <v>1948.99</v>
          </cell>
          <cell r="H649">
            <v>0</v>
          </cell>
        </row>
        <row r="650">
          <cell r="C650" t="str">
            <v>Хворостенко Анатолий Николаевич</v>
          </cell>
          <cell r="D650" t="str">
            <v>элекрогазосварщик занятый на резке и ручной сварке о/г.р.</v>
          </cell>
          <cell r="E650" t="str">
            <v>АК2010033 139653</v>
          </cell>
          <cell r="F650">
            <v>2090.3000000000002</v>
          </cell>
          <cell r="G650">
            <v>1771.79</v>
          </cell>
          <cell r="H650">
            <v>2192.73</v>
          </cell>
        </row>
        <row r="651">
          <cell r="E651" t="str">
            <v>ЕВ2010156 961733</v>
          </cell>
          <cell r="F651">
            <v>2587</v>
          </cell>
          <cell r="G651">
            <v>2192.73</v>
          </cell>
          <cell r="H651">
            <v>0</v>
          </cell>
        </row>
        <row r="652">
          <cell r="C652" t="str">
            <v>Христофоров Геннадий Дмитриевич</v>
          </cell>
          <cell r="D652" t="str">
            <v>проходчик на поверхностных работах</v>
          </cell>
          <cell r="E652" t="str">
            <v>ЮЭ2010697 896073</v>
          </cell>
          <cell r="F652">
            <v>1894.7</v>
          </cell>
          <cell r="G652">
            <v>1677.38</v>
          </cell>
          <cell r="H652">
            <v>1638.82</v>
          </cell>
        </row>
        <row r="653">
          <cell r="E653" t="str">
            <v>ГВ2010105 485467</v>
          </cell>
          <cell r="F653">
            <v>1933.4</v>
          </cell>
          <cell r="G653">
            <v>1638.82</v>
          </cell>
          <cell r="H653">
            <v>0</v>
          </cell>
        </row>
        <row r="654">
          <cell r="C654" t="str">
            <v>Шарапова Оксана Михайловна</v>
          </cell>
          <cell r="D654" t="str">
            <v>горнорабочий на маркшейдерских работах</v>
          </cell>
          <cell r="E654" t="str">
            <v>ВЕ2010082 694605</v>
          </cell>
          <cell r="F654">
            <v>2111.8000000000002</v>
          </cell>
          <cell r="G654">
            <v>1790.01</v>
          </cell>
          <cell r="H654">
            <v>0</v>
          </cell>
        </row>
        <row r="655">
          <cell r="C655" t="str">
            <v>Шаталов Олег Николаевич</v>
          </cell>
          <cell r="D655" t="str">
            <v>электросварщик ручной сварки</v>
          </cell>
          <cell r="E655" t="str">
            <v>ЮЭ2010697 896080</v>
          </cell>
          <cell r="F655">
            <v>1567.5</v>
          </cell>
          <cell r="G655">
            <v>1328.73</v>
          </cell>
          <cell r="H655">
            <v>1269.5899999999999</v>
          </cell>
        </row>
        <row r="656">
          <cell r="E656" t="str">
            <v>ГВ2010105 485325</v>
          </cell>
          <cell r="F656">
            <v>1497.7</v>
          </cell>
          <cell r="G656">
            <v>1269.5899999999999</v>
          </cell>
          <cell r="H656">
            <v>0</v>
          </cell>
        </row>
        <row r="657">
          <cell r="C657" t="str">
            <v>Шевченко Александр Викторович</v>
          </cell>
          <cell r="D657" t="str">
            <v>горнорабочий</v>
          </cell>
          <cell r="E657" t="str">
            <v xml:space="preserve">ГЕ2010108 885127                </v>
          </cell>
          <cell r="F657">
            <v>1323.5</v>
          </cell>
          <cell r="G657">
            <v>1121.96</v>
          </cell>
          <cell r="H657">
            <v>0</v>
          </cell>
        </row>
        <row r="658">
          <cell r="C658" t="str">
            <v>Шевченко Николай Алексеевич</v>
          </cell>
          <cell r="D658" t="str">
            <v>электросварщик ручной сварки</v>
          </cell>
          <cell r="E658" t="str">
            <v>ЧБ2010571 562554</v>
          </cell>
          <cell r="F658">
            <v>1428.1</v>
          </cell>
          <cell r="G658">
            <v>1210.6099999999999</v>
          </cell>
          <cell r="H658">
            <v>0</v>
          </cell>
        </row>
        <row r="659">
          <cell r="C659" t="str">
            <v>Шеин Валерий Сергеевич</v>
          </cell>
          <cell r="D659" t="str">
            <v>машинист компрессорных установок</v>
          </cell>
          <cell r="E659" t="str">
            <v>АК2010086 288224</v>
          </cell>
          <cell r="F659">
            <v>1567.5</v>
          </cell>
          <cell r="G659">
            <v>1328.73</v>
          </cell>
          <cell r="H659">
            <v>1328.73</v>
          </cell>
        </row>
        <row r="660">
          <cell r="E660" t="str">
            <v>ГВ2010105 484900</v>
          </cell>
          <cell r="F660">
            <v>1567.5</v>
          </cell>
          <cell r="G660">
            <v>1328.73</v>
          </cell>
          <cell r="H660">
            <v>0</v>
          </cell>
        </row>
        <row r="661">
          <cell r="C661" t="str">
            <v>Шиян Игорь Анатольевич</v>
          </cell>
          <cell r="D661" t="str">
            <v>электрослесарь (слесарь) дежурный и по ремонту оборудования</v>
          </cell>
          <cell r="E661" t="str">
            <v>ЧБ2010571 780651</v>
          </cell>
          <cell r="F661">
            <v>1218.9000000000001</v>
          </cell>
          <cell r="G661">
            <v>1033.31</v>
          </cell>
          <cell r="H661">
            <v>915.27</v>
          </cell>
        </row>
        <row r="662">
          <cell r="E662" t="str">
            <v>ГВ2010105 485454</v>
          </cell>
          <cell r="F662">
            <v>1079.5999999999999</v>
          </cell>
          <cell r="G662">
            <v>915.27</v>
          </cell>
          <cell r="H662">
            <v>0</v>
          </cell>
        </row>
        <row r="663">
          <cell r="C663" t="str">
            <v>Шквира Славик Тамазович</v>
          </cell>
          <cell r="D663" t="str">
            <v>электрогазосварщик, занятый на резке и ручной сварке</v>
          </cell>
          <cell r="E663" t="str">
            <v>ЯЯ2010725 200706</v>
          </cell>
          <cell r="F663">
            <v>2090.3000000000002</v>
          </cell>
          <cell r="G663">
            <v>1771.79</v>
          </cell>
          <cell r="H663">
            <v>0</v>
          </cell>
        </row>
        <row r="664">
          <cell r="C664" t="str">
            <v>Шульга Александр Александрович</v>
          </cell>
          <cell r="D664" t="str">
            <v>электрослесарь (слесарь) дежурный и по ремонту оборудования</v>
          </cell>
          <cell r="E664" t="str">
            <v>ЧБ2010571 780829</v>
          </cell>
          <cell r="F664">
            <v>997</v>
          </cell>
          <cell r="G664">
            <v>845.26</v>
          </cell>
          <cell r="H664">
            <v>0</v>
          </cell>
        </row>
        <row r="665">
          <cell r="C665" t="str">
            <v>Шумский Сергей Евгеньевич</v>
          </cell>
          <cell r="D665" t="str">
            <v>проходчик на поверхностных работах</v>
          </cell>
          <cell r="E665" t="str">
            <v>ЮЭ2010697 947327</v>
          </cell>
          <cell r="F665">
            <v>1079.5999999999999</v>
          </cell>
          <cell r="G665">
            <v>915.27</v>
          </cell>
          <cell r="H665">
            <v>0</v>
          </cell>
        </row>
        <row r="666">
          <cell r="C666" t="str">
            <v>Янченко Владимир Дмитриевич</v>
          </cell>
          <cell r="D666" t="str">
            <v>электрогазосварщик, занятый на резке и ручной сварке</v>
          </cell>
          <cell r="E666" t="str">
            <v>АК 2010033 138480</v>
          </cell>
          <cell r="F666">
            <v>1497.9</v>
          </cell>
          <cell r="G666">
            <v>1269.75</v>
          </cell>
          <cell r="H666">
            <v>1601.09</v>
          </cell>
        </row>
        <row r="667">
          <cell r="E667" t="str">
            <v>ЕВ2010156  720772</v>
          </cell>
          <cell r="F667">
            <v>1804.1</v>
          </cell>
          <cell r="G667">
            <v>1601.09</v>
          </cell>
          <cell r="H667">
            <v>0</v>
          </cell>
        </row>
        <row r="668">
          <cell r="C668" t="str">
            <v>Яценко Андрей Николаевич</v>
          </cell>
          <cell r="D668" t="str">
            <v>проходчик на поверхностных работах</v>
          </cell>
          <cell r="E668" t="str">
            <v>ЮЭ2010697 909674</v>
          </cell>
          <cell r="F668">
            <v>1047.5999999999999</v>
          </cell>
          <cell r="G668">
            <v>888.15</v>
          </cell>
          <cell r="H668">
            <v>0</v>
          </cell>
        </row>
        <row r="669">
          <cell r="H669">
            <v>0</v>
          </cell>
        </row>
        <row r="670">
          <cell r="H670">
            <v>0</v>
          </cell>
        </row>
        <row r="671">
          <cell r="C671" t="str">
            <v>Дьяковский Владимир Иванович</v>
          </cell>
          <cell r="D671" t="str">
            <v>машинист крана автомобильного</v>
          </cell>
          <cell r="E671" t="str">
            <v>ЮЭ2010697 858765</v>
          </cell>
          <cell r="F671">
            <v>2299.4</v>
          </cell>
          <cell r="G671">
            <v>1948.99</v>
          </cell>
          <cell r="H671">
            <v>0</v>
          </cell>
        </row>
        <row r="672">
          <cell r="C672" t="str">
            <v>Запорожец Сергей Анатольевич</v>
          </cell>
          <cell r="D672" t="str">
            <v>машинист крана автомобильного</v>
          </cell>
          <cell r="E672" t="str">
            <v>ВЕ2010082 694597</v>
          </cell>
          <cell r="F672">
            <v>2090.3000000000002</v>
          </cell>
          <cell r="G672">
            <v>1771.79</v>
          </cell>
          <cell r="H672">
            <v>0</v>
          </cell>
        </row>
        <row r="673">
          <cell r="C673" t="str">
            <v>Зайцев Тимофей Иванович</v>
          </cell>
          <cell r="D673" t="str">
            <v>машинист крана автомобильного</v>
          </cell>
          <cell r="E673" t="str">
            <v>ВЛ2010086 228064</v>
          </cell>
          <cell r="F673">
            <v>3397.3</v>
          </cell>
          <cell r="G673">
            <v>2879.42</v>
          </cell>
          <cell r="H673">
            <v>0</v>
          </cell>
        </row>
        <row r="674">
          <cell r="C674" t="str">
            <v>Румянцев Сергей Рафаилович</v>
          </cell>
          <cell r="D674" t="str">
            <v>машинист крана автомобильного</v>
          </cell>
          <cell r="E674" t="str">
            <v>ЮЭ2010697 885743</v>
          </cell>
          <cell r="F674">
            <v>2299.4</v>
          </cell>
          <cell r="G674">
            <v>1948.99</v>
          </cell>
          <cell r="H674">
            <v>0</v>
          </cell>
        </row>
        <row r="675">
          <cell r="C675" t="str">
            <v>Рыков Сергей Николаевич</v>
          </cell>
          <cell r="D675" t="str">
            <v>машинист крана автомобильного</v>
          </cell>
          <cell r="E675" t="str">
            <v>ГВ2010105 484528</v>
          </cell>
          <cell r="F675">
            <v>933.2</v>
          </cell>
          <cell r="G675">
            <v>791.2</v>
          </cell>
          <cell r="H675">
            <v>0</v>
          </cell>
        </row>
        <row r="676">
          <cell r="C676" t="str">
            <v>Сергеев Юрий Николаевич</v>
          </cell>
          <cell r="D676" t="str">
            <v>машинист бульдозера</v>
          </cell>
          <cell r="E676" t="str">
            <v>ЮЭ2010697 564194</v>
          </cell>
          <cell r="F676">
            <v>1567.5</v>
          </cell>
          <cell r="G676">
            <v>1328.73</v>
          </cell>
          <cell r="H676">
            <v>0</v>
          </cell>
        </row>
        <row r="677">
          <cell r="C677" t="str">
            <v>Снимщиков Александр Иванович</v>
          </cell>
          <cell r="D677" t="str">
            <v>машинист бульдозера</v>
          </cell>
          <cell r="E677" t="str">
            <v>ЯЯ2010725 295954</v>
          </cell>
          <cell r="F677">
            <v>1497.9</v>
          </cell>
          <cell r="G677">
            <v>1269.75</v>
          </cell>
          <cell r="H677">
            <v>1638.82</v>
          </cell>
        </row>
        <row r="678">
          <cell r="E678" t="str">
            <v>АС2010039 807528</v>
          </cell>
          <cell r="F678">
            <v>1933.4</v>
          </cell>
          <cell r="G678">
            <v>1638.82</v>
          </cell>
          <cell r="H678">
            <v>0</v>
          </cell>
        </row>
        <row r="679">
          <cell r="H679">
            <v>0</v>
          </cell>
        </row>
        <row r="680">
          <cell r="C680" t="str">
            <v>Агафонов Андрей Андреевич</v>
          </cell>
          <cell r="D680" t="str">
            <v>водитель автомобиля</v>
          </cell>
          <cell r="E680" t="str">
            <v>ГВ2010105 484557</v>
          </cell>
          <cell r="F680">
            <v>2194.9</v>
          </cell>
          <cell r="G680">
            <v>1860.43</v>
          </cell>
          <cell r="H680">
            <v>0</v>
          </cell>
        </row>
        <row r="681">
          <cell r="C681" t="str">
            <v>Галашев Сергей Павлович</v>
          </cell>
          <cell r="D681" t="str">
            <v>водитель автомобиля</v>
          </cell>
          <cell r="E681" t="str">
            <v>ГВ2010105 484526</v>
          </cell>
          <cell r="F681">
            <v>1428.1</v>
          </cell>
          <cell r="G681">
            <v>1210.6099999999999</v>
          </cell>
          <cell r="H681">
            <v>0</v>
          </cell>
        </row>
        <row r="682">
          <cell r="C682" t="str">
            <v>Горлатов Андрей Владимирович</v>
          </cell>
          <cell r="D682" t="str">
            <v>водитель автомобиля</v>
          </cell>
          <cell r="E682" t="str">
            <v>АИ2010032 718731</v>
          </cell>
          <cell r="F682">
            <v>2090.3000000000002</v>
          </cell>
          <cell r="G682">
            <v>1771.79</v>
          </cell>
          <cell r="H682">
            <v>0</v>
          </cell>
        </row>
        <row r="683">
          <cell r="C683" t="str">
            <v>Жердев Руслан Геннадьевич</v>
          </cell>
          <cell r="D683" t="str">
            <v>водитель автомобиля</v>
          </cell>
          <cell r="E683" t="str">
            <v>ГЕ2010108 884636</v>
          </cell>
          <cell r="F683">
            <v>2194.9</v>
          </cell>
          <cell r="G683">
            <v>1860.43</v>
          </cell>
          <cell r="H683">
            <v>0</v>
          </cell>
        </row>
        <row r="684">
          <cell r="C684" t="str">
            <v>Лукьянов Юрий Александрович</v>
          </cell>
          <cell r="D684" t="str">
            <v>водитель автомобиля</v>
          </cell>
          <cell r="E684" t="str">
            <v>ЩН2010633 306677</v>
          </cell>
          <cell r="F684">
            <v>1497.9</v>
          </cell>
          <cell r="G684">
            <v>1269.75</v>
          </cell>
          <cell r="H684">
            <v>0</v>
          </cell>
        </row>
        <row r="685">
          <cell r="C685" t="str">
            <v>Хачидзе Аркадий Элвардович</v>
          </cell>
          <cell r="D685" t="str">
            <v>водитель автомобиля</v>
          </cell>
          <cell r="E685" t="str">
            <v>ВЕ2010082 694540</v>
          </cell>
          <cell r="F685">
            <v>2194.9</v>
          </cell>
          <cell r="G685">
            <v>1860.43</v>
          </cell>
          <cell r="H685">
            <v>0</v>
          </cell>
        </row>
        <row r="686">
          <cell r="C686" t="str">
            <v>Шахмаев Геннадий Геннадьевич</v>
          </cell>
          <cell r="D686" t="str">
            <v>водитель автомобиля</v>
          </cell>
          <cell r="E686" t="str">
            <v>ВЕ2010082 694539</v>
          </cell>
          <cell r="F686">
            <v>2194.9</v>
          </cell>
          <cell r="G686">
            <v>1860.43</v>
          </cell>
          <cell r="H686">
            <v>0</v>
          </cell>
        </row>
        <row r="687">
          <cell r="H687">
            <v>0</v>
          </cell>
        </row>
        <row r="688">
          <cell r="C688" t="str">
            <v>Гондарев Анатолий Алексеевич</v>
          </cell>
          <cell r="D688" t="str">
            <v>водитель автомобиля</v>
          </cell>
          <cell r="E688" t="str">
            <v>АК2010033 048062</v>
          </cell>
          <cell r="F688">
            <v>1497.9</v>
          </cell>
          <cell r="G688">
            <v>1269.75</v>
          </cell>
          <cell r="H688">
            <v>0</v>
          </cell>
        </row>
        <row r="689">
          <cell r="C689" t="str">
            <v>Рожновский Владимир Николаевич</v>
          </cell>
          <cell r="D689" t="str">
            <v>водитель автомобиля</v>
          </cell>
          <cell r="E689" t="str">
            <v>ГВ2010105 484722</v>
          </cell>
          <cell r="F689">
            <v>2194.9</v>
          </cell>
          <cell r="G689">
            <v>1860.43</v>
          </cell>
          <cell r="H689">
            <v>0</v>
          </cell>
        </row>
        <row r="690">
          <cell r="H690">
            <v>0</v>
          </cell>
        </row>
        <row r="691">
          <cell r="C691" t="str">
            <v>Бондаренко Вячеслав Борисович</v>
          </cell>
          <cell r="D691" t="str">
            <v>водитель автобуса</v>
          </cell>
          <cell r="E691" t="str">
            <v>АИ2010032 753822</v>
          </cell>
          <cell r="F691">
            <v>1671.7</v>
          </cell>
          <cell r="G691">
            <v>1417.04</v>
          </cell>
          <cell r="H691">
            <v>0</v>
          </cell>
        </row>
        <row r="692">
          <cell r="C692" t="str">
            <v>Костин Валерий Павлович</v>
          </cell>
          <cell r="D692" t="str">
            <v>водитель автобуса</v>
          </cell>
          <cell r="E692" t="str">
            <v>ГВ2010105 484569</v>
          </cell>
          <cell r="F692">
            <v>1149</v>
          </cell>
          <cell r="G692">
            <v>974.08</v>
          </cell>
          <cell r="H692">
            <v>0</v>
          </cell>
        </row>
        <row r="693">
          <cell r="H693">
            <v>0</v>
          </cell>
        </row>
        <row r="694">
          <cell r="H694">
            <v>0</v>
          </cell>
        </row>
        <row r="695">
          <cell r="C695" t="str">
            <v>Мажугин Александр Петрович</v>
          </cell>
          <cell r="D695" t="str">
            <v>механик автомобильной колонны</v>
          </cell>
          <cell r="E695" t="str">
            <v>АК2010033 183193</v>
          </cell>
          <cell r="F695">
            <v>2090.3000000000002</v>
          </cell>
          <cell r="G695">
            <v>1771.79</v>
          </cell>
          <cell r="H695">
            <v>0</v>
          </cell>
        </row>
        <row r="696">
          <cell r="H696">
            <v>0</v>
          </cell>
        </row>
        <row r="697">
          <cell r="C697" t="str">
            <v>Головченко Сергей Евгеньевич</v>
          </cell>
          <cell r="D697" t="str">
            <v>слесарь по ремонту автомобилей</v>
          </cell>
          <cell r="E697" t="str">
            <v>ЧБ2010571 838022</v>
          </cell>
          <cell r="F697">
            <v>2194.9</v>
          </cell>
          <cell r="G697">
            <v>1860.43</v>
          </cell>
          <cell r="H697">
            <v>0</v>
          </cell>
        </row>
        <row r="698">
          <cell r="C698" t="str">
            <v>Усанов Михаил Юрьевич</v>
          </cell>
          <cell r="D698" t="str">
            <v>слесарь по ремонту автомобилей</v>
          </cell>
          <cell r="E698" t="str">
            <v>ГВ2010105 484527</v>
          </cell>
          <cell r="F698">
            <v>1428.1</v>
          </cell>
          <cell r="G698">
            <v>1210.6099999999999</v>
          </cell>
          <cell r="H698">
            <v>0</v>
          </cell>
        </row>
        <row r="699">
          <cell r="H699">
            <v>0</v>
          </cell>
        </row>
        <row r="700">
          <cell r="C700" t="str">
            <v>Горохова Алена Николаевна</v>
          </cell>
          <cell r="D700" t="str">
            <v>инженер-лаборант</v>
          </cell>
          <cell r="E700" t="str">
            <v>АИ2010032 675079</v>
          </cell>
          <cell r="F700">
            <v>2299.4</v>
          </cell>
          <cell r="G700">
            <v>1948.99</v>
          </cell>
          <cell r="H700">
            <v>1948.99</v>
          </cell>
        </row>
        <row r="701">
          <cell r="E701" t="str">
            <v>АИ2010032 675080</v>
          </cell>
          <cell r="F701">
            <v>2299.4</v>
          </cell>
          <cell r="G701">
            <v>1948.99</v>
          </cell>
          <cell r="H701">
            <v>0</v>
          </cell>
        </row>
        <row r="702">
          <cell r="C702" t="str">
            <v>Карпенко Любовь Валентиновна</v>
          </cell>
          <cell r="D702" t="str">
            <v>инженер II категории</v>
          </cell>
          <cell r="E702" t="str">
            <v>ЮЭ2010697 351279</v>
          </cell>
          <cell r="F702">
            <v>2717.7</v>
          </cell>
          <cell r="G702">
            <v>2303.4899999999998</v>
          </cell>
          <cell r="H702">
            <v>1774.15</v>
          </cell>
        </row>
        <row r="703">
          <cell r="E703">
            <v>8236124764931</v>
          </cell>
          <cell r="F703">
            <v>2093.5</v>
          </cell>
          <cell r="G703">
            <v>1774.15</v>
          </cell>
          <cell r="H703">
            <v>0</v>
          </cell>
        </row>
        <row r="704">
          <cell r="C704" t="str">
            <v>Итого:</v>
          </cell>
          <cell r="G704">
            <v>352202</v>
          </cell>
        </row>
        <row r="936">
          <cell r="C936" t="str">
            <v>Воробьев Борис Олегович</v>
          </cell>
          <cell r="D936" t="str">
            <v xml:space="preserve">Мастер горный </v>
          </cell>
          <cell r="E936" t="str">
            <v>ЮЭ 2010697 679976</v>
          </cell>
          <cell r="F936">
            <v>2587</v>
          </cell>
          <cell r="G936">
            <v>2192.73</v>
          </cell>
          <cell r="H936">
            <v>0</v>
          </cell>
        </row>
        <row r="937">
          <cell r="C937" t="str">
            <v>Довбня Владислав Сергеевич</v>
          </cell>
          <cell r="D937" t="str">
            <v>Маркшейдер</v>
          </cell>
          <cell r="E937" t="str">
            <v>ГВ 2010104 292357</v>
          </cell>
          <cell r="F937">
            <v>2194.6</v>
          </cell>
          <cell r="G937">
            <v>1860.18</v>
          </cell>
          <cell r="H937">
            <v>0</v>
          </cell>
        </row>
        <row r="938">
          <cell r="C938" t="str">
            <v>Коротун Павел Владимирович</v>
          </cell>
          <cell r="D938" t="str">
            <v xml:space="preserve">Мастер горный </v>
          </cell>
          <cell r="E938" t="str">
            <v>ВЛ 2010086 115207</v>
          </cell>
          <cell r="F938">
            <v>1933.4</v>
          </cell>
          <cell r="G938">
            <v>1638.82</v>
          </cell>
          <cell r="H938">
            <v>0</v>
          </cell>
        </row>
        <row r="939">
          <cell r="C939" t="str">
            <v>Криворотов Сергей Александрович</v>
          </cell>
          <cell r="D939" t="str">
            <v>Помощник электромеханика</v>
          </cell>
          <cell r="E939" t="str">
            <v>ГК 2010111 280617</v>
          </cell>
          <cell r="F939">
            <v>1933.4</v>
          </cell>
          <cell r="G939">
            <v>1638.82</v>
          </cell>
          <cell r="H939">
            <v>0</v>
          </cell>
        </row>
        <row r="940">
          <cell r="C940" t="str">
            <v>Матяшов Роман Игоревич</v>
          </cell>
          <cell r="D940" t="str">
            <v>Помощник электромеханика</v>
          </cell>
          <cell r="E940" t="str">
            <v>ЦМ 2010554 058439</v>
          </cell>
          <cell r="F940">
            <v>1410.4</v>
          </cell>
          <cell r="G940">
            <v>1195.5999999999999</v>
          </cell>
          <cell r="H940">
            <v>0</v>
          </cell>
        </row>
        <row r="941">
          <cell r="C941" t="str">
            <v>Петров Андрей Юрьевич</v>
          </cell>
          <cell r="D941" t="str">
            <v>Маркшейдер</v>
          </cell>
          <cell r="E941" t="str">
            <v>ГЕ2010108 884710</v>
          </cell>
          <cell r="F941">
            <v>1933.4</v>
          </cell>
          <cell r="G941">
            <v>1638.82</v>
          </cell>
          <cell r="H941">
            <v>0</v>
          </cell>
        </row>
        <row r="942">
          <cell r="C942" t="str">
            <v>Рыбчак Евгений Васильевич</v>
          </cell>
          <cell r="D942" t="str">
            <v>Маркшейдер</v>
          </cell>
          <cell r="E942" t="str">
            <v>АК 2010033 153548</v>
          </cell>
          <cell r="F942">
            <v>2587</v>
          </cell>
          <cell r="G942">
            <v>2192.73</v>
          </cell>
          <cell r="H942">
            <v>0</v>
          </cell>
        </row>
        <row r="943">
          <cell r="C943" t="str">
            <v>Фролов Дмитрий Юрьевич</v>
          </cell>
          <cell r="D943" t="str">
            <v>Помощник электромеханика</v>
          </cell>
          <cell r="E943" t="str">
            <v>ВЛ2010086 292193</v>
          </cell>
          <cell r="F943">
            <v>2299.4</v>
          </cell>
          <cell r="G943">
            <v>1948.99</v>
          </cell>
          <cell r="H943">
            <v>2414.16</v>
          </cell>
        </row>
        <row r="944">
          <cell r="E944" t="str">
            <v>ВЛ 2010086 292194</v>
          </cell>
          <cell r="F944">
            <v>2848.3</v>
          </cell>
          <cell r="G944">
            <v>2414.16</v>
          </cell>
          <cell r="H944">
            <v>0</v>
          </cell>
        </row>
        <row r="945">
          <cell r="C945" t="str">
            <v>Шунин Роман Витальевич</v>
          </cell>
          <cell r="D945" t="str">
            <v xml:space="preserve">Мастер горный </v>
          </cell>
          <cell r="E945" t="str">
            <v>АП 2010037  961462</v>
          </cell>
          <cell r="F945">
            <v>1220.3</v>
          </cell>
          <cell r="G945">
            <v>1034.5</v>
          </cell>
          <cell r="H945">
            <v>0</v>
          </cell>
        </row>
        <row r="946">
          <cell r="H946">
            <v>0</v>
          </cell>
        </row>
        <row r="947">
          <cell r="C947" t="str">
            <v>Абашев Рустам Хакимуллович</v>
          </cell>
          <cell r="D947" t="str">
            <v>электрогазосварщик занятый на резке и ручной сварке о/г.р.</v>
          </cell>
          <cell r="E947" t="str">
            <v>АП 2010037 984852</v>
          </cell>
          <cell r="F947">
            <v>1149</v>
          </cell>
          <cell r="G947">
            <v>974.08</v>
          </cell>
          <cell r="H947">
            <v>974.08</v>
          </cell>
        </row>
        <row r="948">
          <cell r="E948" t="str">
            <v>БЭ 2010074 922072</v>
          </cell>
          <cell r="F948">
            <v>1149</v>
          </cell>
          <cell r="G948">
            <v>974.08</v>
          </cell>
          <cell r="H948">
            <v>0</v>
          </cell>
        </row>
        <row r="949">
          <cell r="C949" t="str">
            <v>Акимов Сергей Владимирович</v>
          </cell>
          <cell r="D949" t="str">
            <v>электросварщик ручной сварки о/г.р.</v>
          </cell>
          <cell r="E949" t="str">
            <v>ЮЭ 2010684 418372</v>
          </cell>
          <cell r="F949">
            <v>1410.4</v>
          </cell>
          <cell r="G949">
            <v>1195.5999999999999</v>
          </cell>
          <cell r="H949">
            <v>1121.96</v>
          </cell>
        </row>
        <row r="950">
          <cell r="E950" t="str">
            <v>АП 2010037 309955</v>
          </cell>
          <cell r="F950">
            <v>1323.5</v>
          </cell>
          <cell r="G950">
            <v>1121.96</v>
          </cell>
          <cell r="H950">
            <v>0</v>
          </cell>
        </row>
        <row r="951">
          <cell r="C951" t="str">
            <v>Алексеев Юрий Семенович</v>
          </cell>
          <cell r="D951" t="str">
            <v>проходчик на поверхностных работах</v>
          </cell>
          <cell r="E951" t="str">
            <v>АИ 2010032 720752</v>
          </cell>
          <cell r="F951">
            <v>3083.7</v>
          </cell>
          <cell r="G951">
            <v>2613.65</v>
          </cell>
          <cell r="H951">
            <v>2192.73</v>
          </cell>
        </row>
        <row r="952">
          <cell r="E952" t="str">
            <v>ГЕ 2010108 885345</v>
          </cell>
          <cell r="F952">
            <v>2587</v>
          </cell>
          <cell r="G952">
            <v>2192.73</v>
          </cell>
          <cell r="H952">
            <v>0</v>
          </cell>
        </row>
        <row r="953">
          <cell r="C953" t="str">
            <v>Алелеков Виктор Николаевич</v>
          </cell>
          <cell r="D953" t="str">
            <v>электросварщик ручной сварки о/г.р.</v>
          </cell>
          <cell r="E953" t="str">
            <v>АЕ 2010030 521255</v>
          </cell>
          <cell r="F953">
            <v>3083.7</v>
          </cell>
          <cell r="G953">
            <v>2613.65</v>
          </cell>
          <cell r="H953">
            <v>2192.73</v>
          </cell>
        </row>
        <row r="954">
          <cell r="E954" t="str">
            <v>ЯИ 2010707 811691</v>
          </cell>
          <cell r="F954">
            <v>2587</v>
          </cell>
          <cell r="G954">
            <v>2192.73</v>
          </cell>
          <cell r="H954">
            <v>0</v>
          </cell>
        </row>
        <row r="955">
          <cell r="C955" t="str">
            <v>Ангиленко Игорь Вадимович</v>
          </cell>
          <cell r="D955" t="str">
            <v>проходчик на поверхностных работах</v>
          </cell>
          <cell r="E955" t="str">
            <v>ЮЭ 2010697 045338</v>
          </cell>
          <cell r="F955">
            <v>1323.5</v>
          </cell>
          <cell r="G955">
            <v>1121.96</v>
          </cell>
          <cell r="H955">
            <v>0</v>
          </cell>
        </row>
        <row r="956">
          <cell r="C956" t="str">
            <v>Андреев Максим Николаевич</v>
          </cell>
          <cell r="D956" t="str">
            <v>электрослесарь (слесарь) дежурный и по ремонту оборудования</v>
          </cell>
          <cell r="E956" t="str">
            <v>ЮЭ 2010697 948871</v>
          </cell>
          <cell r="F956">
            <v>1410.4</v>
          </cell>
          <cell r="G956">
            <v>1195.5999999999999</v>
          </cell>
          <cell r="H956">
            <v>0</v>
          </cell>
        </row>
        <row r="957">
          <cell r="C957" t="str">
            <v>Антонов Алексей Евгеньевич</v>
          </cell>
          <cell r="D957" t="str">
            <v>электрослесарь (слесарь) дежурный и по ремонту оборудования</v>
          </cell>
          <cell r="E957" t="str">
            <v>ЧБ 2010571 781269</v>
          </cell>
          <cell r="F957">
            <v>1323.5</v>
          </cell>
          <cell r="G957">
            <v>1121.96</v>
          </cell>
          <cell r="H957">
            <v>0</v>
          </cell>
        </row>
        <row r="958">
          <cell r="C958" t="str">
            <v>Апарович Виталий Геннадьевич</v>
          </cell>
          <cell r="D958" t="str">
            <v xml:space="preserve">горнорабочий </v>
          </cell>
          <cell r="E958" t="str">
            <v>ЮМ 2010684 419531</v>
          </cell>
          <cell r="F958">
            <v>1567.4</v>
          </cell>
          <cell r="G958">
            <v>1328.65</v>
          </cell>
          <cell r="H958">
            <v>1121.96</v>
          </cell>
        </row>
        <row r="959">
          <cell r="E959" t="str">
            <v>АС 2010039 821065</v>
          </cell>
          <cell r="F959">
            <v>1323.5</v>
          </cell>
          <cell r="G959">
            <v>1121.96</v>
          </cell>
          <cell r="H959">
            <v>0</v>
          </cell>
        </row>
        <row r="960">
          <cell r="C960" t="str">
            <v>Артюхин Александр Николаевич</v>
          </cell>
          <cell r="D960" t="str">
            <v>электросварщик ручной сварки о/г.р.</v>
          </cell>
          <cell r="E960" t="str">
            <v>ЮЭ 2010697 046197</v>
          </cell>
          <cell r="F960">
            <v>1410.4</v>
          </cell>
          <cell r="G960">
            <v>1195.5999999999999</v>
          </cell>
          <cell r="H960">
            <v>0</v>
          </cell>
        </row>
        <row r="961">
          <cell r="C961" t="str">
            <v>Базовой Евгений Викторович</v>
          </cell>
          <cell r="D961" t="str">
            <v>электрогазосварщик занятый на резке и ручной сварке о/г.р.</v>
          </cell>
          <cell r="E961" t="str">
            <v>С 2007014 122585</v>
          </cell>
          <cell r="F961">
            <v>1323.5</v>
          </cell>
          <cell r="G961">
            <v>1121.96</v>
          </cell>
          <cell r="H961">
            <v>0</v>
          </cell>
        </row>
        <row r="962">
          <cell r="C962" t="str">
            <v>Базулин Александр Васильевич</v>
          </cell>
          <cell r="D962" t="str">
            <v>электрослесарь (слесарь) дежурный и по ремонту оборудования</v>
          </cell>
          <cell r="E962" t="str">
            <v>ВЛ 2010086 294776</v>
          </cell>
          <cell r="F962">
            <v>1933.4</v>
          </cell>
          <cell r="G962">
            <v>1638.82</v>
          </cell>
          <cell r="H962">
            <v>1638.82</v>
          </cell>
        </row>
        <row r="963">
          <cell r="E963" t="str">
            <v>АП 2010037  352620</v>
          </cell>
          <cell r="F963">
            <v>1933.4</v>
          </cell>
          <cell r="G963">
            <v>1638.82</v>
          </cell>
          <cell r="H963">
            <v>0</v>
          </cell>
        </row>
        <row r="964">
          <cell r="C964" t="str">
            <v>Барков Алексей Александрович</v>
          </cell>
          <cell r="D964" t="str">
            <v xml:space="preserve">горнорабочий </v>
          </cell>
          <cell r="E964" t="str">
            <v>Г 2010003 752298</v>
          </cell>
          <cell r="F964">
            <v>2107.9</v>
          </cell>
          <cell r="G964">
            <v>1786.71</v>
          </cell>
          <cell r="H964">
            <v>1786.71</v>
          </cell>
        </row>
        <row r="965">
          <cell r="E965" t="str">
            <v>ГМ 2010113 964481</v>
          </cell>
          <cell r="F965">
            <v>2107.9</v>
          </cell>
          <cell r="G965">
            <v>1786.71</v>
          </cell>
          <cell r="H965">
            <v>0</v>
          </cell>
        </row>
        <row r="966">
          <cell r="C966" t="str">
            <v>Беловолов Геннадий Анатольевич</v>
          </cell>
          <cell r="D966" t="str">
            <v>проходчик на поверхностных работах</v>
          </cell>
          <cell r="E966" t="str">
            <v>ГВ 2010105 485390</v>
          </cell>
          <cell r="F966">
            <v>1584.7</v>
          </cell>
          <cell r="G966">
            <v>1343.31</v>
          </cell>
          <cell r="H966">
            <v>0</v>
          </cell>
        </row>
        <row r="967">
          <cell r="C967" t="str">
            <v>Белоусов Павел Анатольевич</v>
          </cell>
          <cell r="D967" t="str">
            <v>электрослесарь (слесарь) дежурный и по ремонту оборудования</v>
          </cell>
          <cell r="E967" t="str">
            <v>ВЛ 2010086 425340</v>
          </cell>
          <cell r="F967">
            <v>2299.4</v>
          </cell>
          <cell r="G967">
            <v>1948.99</v>
          </cell>
          <cell r="H967">
            <v>0</v>
          </cell>
        </row>
        <row r="968">
          <cell r="C968" t="str">
            <v>Бида Андрей Александрович</v>
          </cell>
          <cell r="D968" t="str">
            <v>электросварщик ручной сварки</v>
          </cell>
          <cell r="E968" t="str">
            <v>ЮЭ 2010697 915566</v>
          </cell>
          <cell r="F968">
            <v>1323.5</v>
          </cell>
          <cell r="G968">
            <v>1121.96</v>
          </cell>
          <cell r="H968">
            <v>0</v>
          </cell>
        </row>
        <row r="969">
          <cell r="C969" t="str">
            <v>Билалов Сергей Владимирович</v>
          </cell>
          <cell r="D969" t="str">
            <v>электрогазосварщик занятый на резке и ручной сварке о/г.р.</v>
          </cell>
          <cell r="E969" t="str">
            <v>ЕГ 2010157 714135</v>
          </cell>
          <cell r="F969">
            <v>1497.7</v>
          </cell>
          <cell r="G969">
            <v>1269.5899999999999</v>
          </cell>
          <cell r="H969">
            <v>1121.96</v>
          </cell>
        </row>
        <row r="970">
          <cell r="E970" t="str">
            <v xml:space="preserve">С 200701 4122586              </v>
          </cell>
          <cell r="F970">
            <v>1323.5</v>
          </cell>
          <cell r="G970">
            <v>1121.96</v>
          </cell>
          <cell r="H970">
            <v>0</v>
          </cell>
        </row>
        <row r="971">
          <cell r="C971" t="str">
            <v>Богатырев Сергей Александрович</v>
          </cell>
          <cell r="D971" t="str">
            <v>проходчик на поверхностных работах</v>
          </cell>
          <cell r="E971" t="str">
            <v>ГВ 2010105 485391</v>
          </cell>
          <cell r="F971">
            <v>1584.7</v>
          </cell>
          <cell r="G971">
            <v>1343.31</v>
          </cell>
          <cell r="H971">
            <v>0</v>
          </cell>
        </row>
        <row r="972">
          <cell r="C972" t="str">
            <v>Бондарев Иван Викторович</v>
          </cell>
          <cell r="D972" t="str">
            <v>горнорабочий о/г.р</v>
          </cell>
          <cell r="E972" t="str">
            <v>ЮЭ 2010697 045833</v>
          </cell>
          <cell r="F972">
            <v>1323.5</v>
          </cell>
          <cell r="G972">
            <v>1121.96</v>
          </cell>
          <cell r="H972">
            <v>1121.96</v>
          </cell>
        </row>
        <row r="973">
          <cell r="E973" t="str">
            <v>ГМ 2010113 963743</v>
          </cell>
          <cell r="F973">
            <v>1323.5</v>
          </cell>
          <cell r="G973">
            <v>1121.96</v>
          </cell>
          <cell r="H973">
            <v>0</v>
          </cell>
        </row>
        <row r="974">
          <cell r="C974" t="str">
            <v>Вальков Виктор Анатольевич</v>
          </cell>
          <cell r="D974" t="str">
            <v>электрослесарь (слесарь) дежурный и по ремонту оборудования</v>
          </cell>
          <cell r="E974" t="str">
            <v>ГК 2010111 280618</v>
          </cell>
          <cell r="F974">
            <v>1933.4</v>
          </cell>
          <cell r="G974">
            <v>1638.82</v>
          </cell>
          <cell r="H974">
            <v>1638.82</v>
          </cell>
        </row>
        <row r="975">
          <cell r="E975" t="str">
            <v>АП 2010037  307482</v>
          </cell>
          <cell r="F975">
            <v>1933.4</v>
          </cell>
          <cell r="G975">
            <v>1638.82</v>
          </cell>
          <cell r="H975">
            <v>0</v>
          </cell>
        </row>
        <row r="976">
          <cell r="C976" t="str">
            <v>Володин Сергей Николаевич</v>
          </cell>
          <cell r="D976" t="str">
            <v>проходчик на поверхностных работах</v>
          </cell>
          <cell r="E976" t="str">
            <v>АП 2010037 986263</v>
          </cell>
          <cell r="F976">
            <v>1323.5</v>
          </cell>
          <cell r="G976">
            <v>1121.96</v>
          </cell>
          <cell r="H976">
            <v>0</v>
          </cell>
        </row>
        <row r="977">
          <cell r="C977" t="str">
            <v>Волчков Игорь Николаевич</v>
          </cell>
          <cell r="D977" t="str">
            <v>электросварщик ручной сварки</v>
          </cell>
          <cell r="E977" t="str">
            <v>ЕГ 2010157 714341</v>
          </cell>
          <cell r="F977">
            <v>1497.7</v>
          </cell>
          <cell r="G977">
            <v>1269.5899999999999</v>
          </cell>
          <cell r="H977">
            <v>0</v>
          </cell>
        </row>
        <row r="978">
          <cell r="C978" t="str">
            <v>Воробьев Андрей Сергеевич</v>
          </cell>
          <cell r="D978" t="str">
            <v>проходчик на поверхностных работах</v>
          </cell>
          <cell r="E978" t="str">
            <v>Р 2007013 717568</v>
          </cell>
          <cell r="F978">
            <v>1410.4</v>
          </cell>
          <cell r="G978">
            <v>1195.5999999999999</v>
          </cell>
          <cell r="H978">
            <v>1099.96</v>
          </cell>
        </row>
        <row r="979">
          <cell r="E979" t="str">
            <v>С 2007014 119399</v>
          </cell>
          <cell r="F979">
            <v>1299.9000000000001</v>
          </cell>
          <cell r="G979">
            <v>1099.96</v>
          </cell>
          <cell r="H979">
            <v>0</v>
          </cell>
        </row>
        <row r="980">
          <cell r="C980" t="str">
            <v>Галибин Сергей Валентинович</v>
          </cell>
          <cell r="D980" t="str">
            <v>электрослесарь (слесарь) дежурный и по ремонту оборудования</v>
          </cell>
          <cell r="E980" t="str">
            <v>ВЛ 2010086 583662</v>
          </cell>
          <cell r="F980">
            <v>2299.4</v>
          </cell>
          <cell r="G980">
            <v>1948.99</v>
          </cell>
          <cell r="H980">
            <v>1638.82</v>
          </cell>
        </row>
        <row r="981">
          <cell r="E981" t="str">
            <v>АС 2010039 828547</v>
          </cell>
          <cell r="F981">
            <v>1933.4</v>
          </cell>
          <cell r="G981">
            <v>1638.82</v>
          </cell>
          <cell r="H981">
            <v>0</v>
          </cell>
        </row>
        <row r="982">
          <cell r="C982" t="str">
            <v>Гамидов Юсиф Ашраф Оглы</v>
          </cell>
          <cell r="D982" t="str">
            <v xml:space="preserve">горнорабочий </v>
          </cell>
          <cell r="E982" t="str">
            <v>ГБ 2010104 257029</v>
          </cell>
          <cell r="F982">
            <v>2717.7</v>
          </cell>
          <cell r="G982">
            <v>2303.4899999999998</v>
          </cell>
          <cell r="H982">
            <v>0</v>
          </cell>
        </row>
        <row r="983">
          <cell r="C983" t="str">
            <v>Ганусевич Олег Валерьевич</v>
          </cell>
          <cell r="D983" t="str">
            <v>электрослесарь (слесарь) дежурный и по ремонту оборудования</v>
          </cell>
          <cell r="E983" t="str">
            <v>ГБ 2010104 243593</v>
          </cell>
          <cell r="F983">
            <v>1497.7</v>
          </cell>
          <cell r="G983">
            <v>1269.5899999999999</v>
          </cell>
          <cell r="H983">
            <v>1564.75</v>
          </cell>
        </row>
        <row r="984">
          <cell r="E984" t="str">
            <v>734203 60767094</v>
          </cell>
          <cell r="F984">
            <v>1846.4</v>
          </cell>
          <cell r="G984">
            <v>1564.75</v>
          </cell>
          <cell r="H984">
            <v>0</v>
          </cell>
        </row>
        <row r="985">
          <cell r="C985" t="str">
            <v>Герасименко Владислав Владиславович</v>
          </cell>
          <cell r="D985" t="str">
            <v>проходчик на поверхностных работах</v>
          </cell>
          <cell r="E985" t="str">
            <v>ГБ 2010104 243416</v>
          </cell>
          <cell r="F985">
            <v>1410.4</v>
          </cell>
          <cell r="G985">
            <v>1195.5999999999999</v>
          </cell>
          <cell r="H985">
            <v>0</v>
          </cell>
        </row>
        <row r="986">
          <cell r="C986" t="str">
            <v>Гладченко Виктор Иванович</v>
          </cell>
          <cell r="D986" t="str">
            <v>электрослесарь (слесарь) дежурный и по ремонту оборудования</v>
          </cell>
          <cell r="E986" t="str">
            <v>ГБ 2010104 241884</v>
          </cell>
          <cell r="F986">
            <v>1410.4</v>
          </cell>
          <cell r="G986">
            <v>1195.5999999999999</v>
          </cell>
          <cell r="H986">
            <v>1195.5999999999999</v>
          </cell>
        </row>
        <row r="987">
          <cell r="E987" t="str">
            <v>ГБ 2010104 241885</v>
          </cell>
          <cell r="F987">
            <v>1410.4</v>
          </cell>
          <cell r="G987">
            <v>1195.5999999999999</v>
          </cell>
          <cell r="H987">
            <v>0</v>
          </cell>
        </row>
        <row r="988">
          <cell r="C988" t="str">
            <v>Гулов Руслан Викторович</v>
          </cell>
          <cell r="D988" t="str">
            <v xml:space="preserve">горнорабочий </v>
          </cell>
          <cell r="E988" t="str">
            <v>АП 2010037 331712</v>
          </cell>
          <cell r="F988">
            <v>1410.4</v>
          </cell>
          <cell r="G988">
            <v>1195.5999999999999</v>
          </cell>
          <cell r="H988">
            <v>0</v>
          </cell>
        </row>
        <row r="989">
          <cell r="C989" t="str">
            <v>Гуляев Валерий Александрович</v>
          </cell>
          <cell r="D989" t="str">
            <v>электрослесарь (слесарь) дежурный и по ремонту оборудования</v>
          </cell>
          <cell r="E989" t="str">
            <v>ВЛ 2010086 117244</v>
          </cell>
          <cell r="F989">
            <v>1323.5</v>
          </cell>
          <cell r="G989">
            <v>1121.96</v>
          </cell>
          <cell r="H989">
            <v>0</v>
          </cell>
        </row>
        <row r="990">
          <cell r="C990" t="str">
            <v>Гусак Александр Леонидович</v>
          </cell>
          <cell r="D990" t="str">
            <v>электросварщик ручной сварки</v>
          </cell>
          <cell r="E990" t="str">
            <v>ШБ 2010597 746610</v>
          </cell>
          <cell r="F990">
            <v>1933.4</v>
          </cell>
          <cell r="G990">
            <v>1638.82</v>
          </cell>
          <cell r="H990">
            <v>0</v>
          </cell>
        </row>
        <row r="991">
          <cell r="C991" t="str">
            <v>Гущин Владимир Петрович</v>
          </cell>
          <cell r="D991" t="str">
            <v>электрослесарь (слесарь) дежурный и по ремонту оборудования</v>
          </cell>
          <cell r="E991" t="str">
            <v>ЕГ 2010157 714107</v>
          </cell>
          <cell r="F991">
            <v>1323.5</v>
          </cell>
          <cell r="G991">
            <v>1121.96</v>
          </cell>
          <cell r="H991">
            <v>1121.96</v>
          </cell>
        </row>
        <row r="992">
          <cell r="E992" t="str">
            <v>БЭ 2010074 924362</v>
          </cell>
          <cell r="F992">
            <v>1323.5</v>
          </cell>
          <cell r="G992">
            <v>1121.96</v>
          </cell>
          <cell r="H992">
            <v>0</v>
          </cell>
        </row>
        <row r="993">
          <cell r="C993" t="str">
            <v>Дзюбин Анатолий Владимирович</v>
          </cell>
          <cell r="D993" t="str">
            <v>электрогазосварщик занятый на резке и ручной сварке о/г.р.</v>
          </cell>
          <cell r="E993" t="str">
            <v>АП 2010037 964170</v>
          </cell>
          <cell r="F993">
            <v>1864.4</v>
          </cell>
          <cell r="G993">
            <v>1583.1</v>
          </cell>
          <cell r="H993">
            <v>0</v>
          </cell>
        </row>
        <row r="994">
          <cell r="C994" t="str">
            <v>Дзюбин Владимир Владимирович</v>
          </cell>
          <cell r="D994" t="str">
            <v>электрогазосварщик занятый на резке и ручной сварке о/г.р.</v>
          </cell>
          <cell r="E994" t="str">
            <v>АП 2010037 964171</v>
          </cell>
          <cell r="F994">
            <v>1864.4</v>
          </cell>
          <cell r="G994">
            <v>1583.1</v>
          </cell>
          <cell r="H994">
            <v>0</v>
          </cell>
        </row>
        <row r="995">
          <cell r="C995" t="str">
            <v>Дзюбин Юрий Владимирович</v>
          </cell>
          <cell r="D995" t="str">
            <v>электрогазосварщик занятый на резке и ручной сварке о/г.р.</v>
          </cell>
          <cell r="E995" t="str">
            <v>АП2010037 964169</v>
          </cell>
          <cell r="F995">
            <v>1864.4</v>
          </cell>
          <cell r="G995">
            <v>1583.1</v>
          </cell>
          <cell r="H995">
            <v>0</v>
          </cell>
        </row>
        <row r="996">
          <cell r="C996" t="str">
            <v>Драгунцов Александр Владимирович</v>
          </cell>
          <cell r="D996" t="str">
            <v>проходчик на поверхностных работах</v>
          </cell>
          <cell r="E996" t="str">
            <v>ЮЭ 2010697 045662</v>
          </cell>
          <cell r="F996">
            <v>1671.7</v>
          </cell>
          <cell r="G996">
            <v>1417.04</v>
          </cell>
          <cell r="H996">
            <v>1101.96</v>
          </cell>
        </row>
        <row r="997">
          <cell r="E997" t="str">
            <v>ЮЭ 2010697 045345</v>
          </cell>
          <cell r="F997">
            <v>1299.9000000000001</v>
          </cell>
          <cell r="G997">
            <v>1101.96</v>
          </cell>
          <cell r="H997">
            <v>0</v>
          </cell>
        </row>
        <row r="998">
          <cell r="C998" t="str">
            <v>Дударов Муса Кантемирович</v>
          </cell>
          <cell r="D998" t="str">
            <v>проходчик на поверхностных работах</v>
          </cell>
          <cell r="E998" t="str">
            <v>ВЛ 2010086 293471</v>
          </cell>
          <cell r="F998">
            <v>1933.4</v>
          </cell>
          <cell r="G998">
            <v>1638.82</v>
          </cell>
          <cell r="H998">
            <v>0</v>
          </cell>
        </row>
        <row r="999">
          <cell r="C999" t="str">
            <v>Дужик Виктор Васильевич</v>
          </cell>
          <cell r="D999" t="str">
            <v>горнорабочий</v>
          </cell>
          <cell r="E999" t="str">
            <v>ЮЭ 2010697 949326</v>
          </cell>
          <cell r="F999">
            <v>1497.7</v>
          </cell>
          <cell r="G999">
            <v>1269.5899999999999</v>
          </cell>
          <cell r="H999">
            <v>1121.96</v>
          </cell>
        </row>
        <row r="1000">
          <cell r="E1000" t="str">
            <v>С 2007014  122587</v>
          </cell>
          <cell r="F1000">
            <v>1323.5</v>
          </cell>
          <cell r="G1000">
            <v>1121.96</v>
          </cell>
          <cell r="H1000">
            <v>0</v>
          </cell>
        </row>
        <row r="1001">
          <cell r="C1001" t="str">
            <v>Дьяков Андрей Николаевич</v>
          </cell>
          <cell r="D1001" t="str">
            <v xml:space="preserve">горнорабочий </v>
          </cell>
          <cell r="E1001" t="str">
            <v>ЯИ 2010707 811703</v>
          </cell>
          <cell r="F1001">
            <v>3083.7</v>
          </cell>
          <cell r="G1001">
            <v>2613.65</v>
          </cell>
          <cell r="H1001">
            <v>2303.4899999999998</v>
          </cell>
        </row>
        <row r="1002">
          <cell r="E1002" t="str">
            <v>С 2007014 110679</v>
          </cell>
          <cell r="F1002">
            <v>2717.7</v>
          </cell>
          <cell r="G1002">
            <v>2303.4899999999998</v>
          </cell>
          <cell r="H1002">
            <v>0</v>
          </cell>
        </row>
        <row r="1003">
          <cell r="C1003" t="str">
            <v>Ермилов Роман Юрьевич</v>
          </cell>
          <cell r="D1003" t="str">
            <v>электрогазосварщик, занятый на резке и ручной сварке</v>
          </cell>
          <cell r="E1003" t="str">
            <v>ЕГ 2010157 714245</v>
          </cell>
          <cell r="F1003">
            <v>1497.7</v>
          </cell>
          <cell r="G1003">
            <v>1269.5899999999999</v>
          </cell>
          <cell r="H1003">
            <v>0</v>
          </cell>
        </row>
        <row r="1004">
          <cell r="C1004" t="str">
            <v>Журба Дмитрий Александрович</v>
          </cell>
          <cell r="D1004" t="str">
            <v>проходчик на поверхностных работах</v>
          </cell>
          <cell r="E1004" t="str">
            <v>ЦН 2010555 973532</v>
          </cell>
          <cell r="F1004">
            <v>3240</v>
          </cell>
          <cell r="G1004">
            <v>2746.05</v>
          </cell>
          <cell r="H1004">
            <v>0</v>
          </cell>
        </row>
        <row r="1005">
          <cell r="C1005" t="str">
            <v>Зорькин Виталий Сергеевич</v>
          </cell>
          <cell r="D1005" t="str">
            <v>проходчик на поверхностных работах</v>
          </cell>
          <cell r="E1005" t="str">
            <v>ЮЭ 2010697 948518</v>
          </cell>
          <cell r="F1005">
            <v>1567.4</v>
          </cell>
          <cell r="G1005">
            <v>1328.65</v>
          </cell>
          <cell r="H1005">
            <v>0</v>
          </cell>
        </row>
        <row r="1006">
          <cell r="C1006" t="str">
            <v>Зюзик Сергей Анатольевич</v>
          </cell>
          <cell r="D1006" t="str">
            <v>горнорабочий о/г.р</v>
          </cell>
          <cell r="E1006" t="str">
            <v>ГБ 2010104 240521</v>
          </cell>
          <cell r="F1006">
            <v>1410.4</v>
          </cell>
          <cell r="G1006">
            <v>1195.5999999999999</v>
          </cell>
          <cell r="H1006">
            <v>1101.96</v>
          </cell>
        </row>
        <row r="1007">
          <cell r="E1007" t="str">
            <v>ШГ 2010599  061979</v>
          </cell>
          <cell r="F1007">
            <v>1299.9000000000001</v>
          </cell>
          <cell r="G1007">
            <v>1101.96</v>
          </cell>
          <cell r="H1007">
            <v>0</v>
          </cell>
        </row>
        <row r="1008">
          <cell r="C1008" t="str">
            <v>Камышников Александр Сергеевич</v>
          </cell>
          <cell r="D1008" t="str">
            <v>проходчик на поверхностных работах</v>
          </cell>
          <cell r="E1008" t="str">
            <v>АП 2010037 986262</v>
          </cell>
          <cell r="F1008">
            <v>1323.5</v>
          </cell>
          <cell r="G1008">
            <v>1121.96</v>
          </cell>
          <cell r="H1008">
            <v>0</v>
          </cell>
        </row>
        <row r="1009">
          <cell r="C1009" t="str">
            <v>Каппес Николай Владимирович</v>
          </cell>
          <cell r="D1009" t="str">
            <v xml:space="preserve">горнорабочий </v>
          </cell>
          <cell r="E1009" t="str">
            <v>ВЛ 2010086 593867</v>
          </cell>
          <cell r="F1009">
            <v>3083.7</v>
          </cell>
          <cell r="G1009">
            <v>2613.65</v>
          </cell>
          <cell r="H1009">
            <v>1417.3</v>
          </cell>
        </row>
        <row r="1010">
          <cell r="E1010" t="str">
            <v>АС 2010039 837382</v>
          </cell>
          <cell r="F1010">
            <v>1672</v>
          </cell>
          <cell r="G1010">
            <v>1417.3</v>
          </cell>
          <cell r="H1010">
            <v>0</v>
          </cell>
        </row>
        <row r="1011">
          <cell r="C1011" t="str">
            <v>Карунин Павел Николаевич</v>
          </cell>
          <cell r="D1011" t="str">
            <v>горнорабочий на маркшейдерских работах</v>
          </cell>
          <cell r="E1011" t="str">
            <v>ГЕ 2010108 884911</v>
          </cell>
          <cell r="F1011">
            <v>1933.4</v>
          </cell>
          <cell r="G1011">
            <v>1638.82</v>
          </cell>
          <cell r="H1011">
            <v>0</v>
          </cell>
        </row>
        <row r="1012">
          <cell r="C1012" t="str">
            <v>Катенев Юрий Николаевич</v>
          </cell>
          <cell r="D1012" t="str">
            <v xml:space="preserve">горнорабочий </v>
          </cell>
          <cell r="E1012" t="str">
            <v>ЮЭ 2010697 046857</v>
          </cell>
          <cell r="F1012">
            <v>1410.4</v>
          </cell>
          <cell r="G1012">
            <v>1195.5999999999999</v>
          </cell>
          <cell r="H1012">
            <v>1121.96</v>
          </cell>
        </row>
        <row r="1013">
          <cell r="E1013" t="str">
            <v>АП 2010037 347343</v>
          </cell>
          <cell r="F1013">
            <v>1323.5</v>
          </cell>
          <cell r="G1013">
            <v>1121.96</v>
          </cell>
          <cell r="H1013">
            <v>0</v>
          </cell>
        </row>
        <row r="1014">
          <cell r="C1014" t="str">
            <v>Клочко Евгений Владимирович</v>
          </cell>
          <cell r="D1014" t="str">
            <v>электрогазосварщик, занятый на резке и ручной сварке</v>
          </cell>
          <cell r="E1014" t="str">
            <v>ШБ 2010597 907069</v>
          </cell>
          <cell r="F1014">
            <v>2194.8000000000002</v>
          </cell>
          <cell r="G1014">
            <v>1860.34</v>
          </cell>
          <cell r="H1014">
            <v>1565.1</v>
          </cell>
        </row>
        <row r="1015">
          <cell r="E1015" t="str">
            <v>ЕВ 2010156  997272</v>
          </cell>
          <cell r="F1015">
            <v>1846.4</v>
          </cell>
          <cell r="G1015">
            <v>1565.1</v>
          </cell>
          <cell r="H1015">
            <v>0</v>
          </cell>
        </row>
        <row r="1016">
          <cell r="C1016" t="str">
            <v>Клочков Роман Леонидович</v>
          </cell>
          <cell r="D1016" t="str">
            <v xml:space="preserve">горнорабочий </v>
          </cell>
          <cell r="E1016" t="str">
            <v>ГБ 2010104 243524</v>
          </cell>
          <cell r="F1016">
            <v>1410.4</v>
          </cell>
          <cell r="G1016">
            <v>1195.5999999999999</v>
          </cell>
          <cell r="H1016">
            <v>1101.96</v>
          </cell>
        </row>
        <row r="1017">
          <cell r="E1017" t="str">
            <v>ГЕ 2010108 885332</v>
          </cell>
          <cell r="F1017">
            <v>1299.9000000000001</v>
          </cell>
          <cell r="G1017">
            <v>1101.96</v>
          </cell>
          <cell r="H1017">
            <v>0</v>
          </cell>
        </row>
        <row r="1018">
          <cell r="C1018" t="str">
            <v>Князев Руслан Анатольевич</v>
          </cell>
          <cell r="D1018" t="str">
            <v>проходчик на поверхностных работах</v>
          </cell>
          <cell r="E1018" t="str">
            <v>ЭУ 2010664 192881</v>
          </cell>
          <cell r="F1018">
            <v>2674.6</v>
          </cell>
          <cell r="G1018">
            <v>2266.96</v>
          </cell>
          <cell r="H1018">
            <v>0</v>
          </cell>
        </row>
        <row r="1019">
          <cell r="C1019" t="str">
            <v>Колесников Юрий Викторович</v>
          </cell>
          <cell r="D1019" t="str">
            <v>электрогазосварщик, занятый на резке и ручной сварке</v>
          </cell>
          <cell r="E1019" t="str">
            <v>ЧБ 2010571 781309</v>
          </cell>
          <cell r="F1019">
            <v>1443.6</v>
          </cell>
          <cell r="G1019">
            <v>1223.74</v>
          </cell>
          <cell r="H1019">
            <v>1121.96</v>
          </cell>
        </row>
        <row r="1020">
          <cell r="E1020" t="str">
            <v>ГМ 2010113 963752</v>
          </cell>
          <cell r="F1020">
            <v>1323.5</v>
          </cell>
          <cell r="G1020">
            <v>1121.96</v>
          </cell>
          <cell r="H1020">
            <v>0</v>
          </cell>
        </row>
        <row r="1021">
          <cell r="C1021" t="str">
            <v>Колпаков Вадим Михайлович</v>
          </cell>
          <cell r="D1021" t="str">
            <v>электрогазосварщик, занятый на резке и ручной сварке</v>
          </cell>
          <cell r="E1021" t="str">
            <v>ШБ 2010597 837090</v>
          </cell>
          <cell r="F1021">
            <v>1933.4</v>
          </cell>
          <cell r="G1021">
            <v>1638.82</v>
          </cell>
          <cell r="H1021">
            <v>1638.82</v>
          </cell>
        </row>
        <row r="1022">
          <cell r="E1022" t="str">
            <v>АП 2010037 312763</v>
          </cell>
          <cell r="F1022">
            <v>1933.4</v>
          </cell>
          <cell r="G1022">
            <v>1638.82</v>
          </cell>
          <cell r="H1022">
            <v>0</v>
          </cell>
        </row>
        <row r="1023">
          <cell r="C1023" t="str">
            <v>Котляров Александр Николаевич</v>
          </cell>
          <cell r="D1023" t="str">
            <v>проходчик на поверхностных работах</v>
          </cell>
          <cell r="E1023" t="str">
            <v>ЮЭ 2010697 948626</v>
          </cell>
          <cell r="F1023">
            <v>1323.5</v>
          </cell>
          <cell r="G1023">
            <v>1121.96</v>
          </cell>
          <cell r="H1023">
            <v>1101.96</v>
          </cell>
        </row>
        <row r="1024">
          <cell r="E1024" t="str">
            <v>ГМ 2010113 963717</v>
          </cell>
          <cell r="F1024">
            <v>1299.9000000000001</v>
          </cell>
          <cell r="G1024">
            <v>1101.96</v>
          </cell>
          <cell r="H1024">
            <v>0</v>
          </cell>
        </row>
        <row r="1025">
          <cell r="C1025" t="str">
            <v>Котляров Геннадий Сергеевич</v>
          </cell>
          <cell r="D1025" t="str">
            <v>проходчик на поверхностных работах</v>
          </cell>
          <cell r="E1025" t="str">
            <v>ЮЭ 2010697 982868</v>
          </cell>
          <cell r="F1025">
            <v>1672</v>
          </cell>
          <cell r="G1025">
            <v>1417.3</v>
          </cell>
          <cell r="H1025">
            <v>1417.3</v>
          </cell>
        </row>
        <row r="1026">
          <cell r="E1026" t="str">
            <v>БР 2010064  188744</v>
          </cell>
          <cell r="F1026">
            <v>1672</v>
          </cell>
          <cell r="G1026">
            <v>1417.3</v>
          </cell>
          <cell r="H1026">
            <v>0</v>
          </cell>
        </row>
        <row r="1027">
          <cell r="C1027" t="str">
            <v>Кравцов Владимир Сергеевич</v>
          </cell>
          <cell r="D1027" t="str">
            <v>электрогазосварщик, занятый на резке и ручной сварке</v>
          </cell>
          <cell r="E1027" t="str">
            <v>ЧБ 2010571 781284</v>
          </cell>
          <cell r="F1027">
            <v>1323.5</v>
          </cell>
          <cell r="G1027">
            <v>1121.96</v>
          </cell>
          <cell r="H1027">
            <v>0</v>
          </cell>
        </row>
        <row r="1028">
          <cell r="C1028" t="str">
            <v>Кривощеков Александр Павлович</v>
          </cell>
          <cell r="D1028" t="str">
            <v>проходчик на поверхностных работах</v>
          </cell>
          <cell r="E1028" t="str">
            <v>ЧБ 2010571 781591</v>
          </cell>
          <cell r="F1028">
            <v>1497.7</v>
          </cell>
          <cell r="G1028">
            <v>1269.5899999999999</v>
          </cell>
          <cell r="H1028">
            <v>1034.5</v>
          </cell>
        </row>
        <row r="1029">
          <cell r="E1029" t="str">
            <v>АП2010037 352608</v>
          </cell>
          <cell r="F1029">
            <v>1220.3</v>
          </cell>
          <cell r="G1029">
            <v>1034.5</v>
          </cell>
          <cell r="H1029">
            <v>0</v>
          </cell>
        </row>
        <row r="1030">
          <cell r="C1030" t="str">
            <v>Кривченков Александр Федорович</v>
          </cell>
          <cell r="D1030" t="str">
            <v xml:space="preserve">горнорабочий </v>
          </cell>
          <cell r="E1030" t="str">
            <v>ШГ 2010599 061621</v>
          </cell>
          <cell r="F1030">
            <v>1410.4</v>
          </cell>
          <cell r="G1030">
            <v>1195.5999999999999</v>
          </cell>
          <cell r="H1030">
            <v>1195.5999999999999</v>
          </cell>
        </row>
        <row r="1031">
          <cell r="E1031" t="str">
            <v>ГБ 2010104 240882</v>
          </cell>
          <cell r="F1031">
            <v>1410.4</v>
          </cell>
          <cell r="G1031">
            <v>1195.5999999999999</v>
          </cell>
          <cell r="H1031">
            <v>0</v>
          </cell>
        </row>
        <row r="1032">
          <cell r="C1032" t="str">
            <v>Кропачев Антон Александрович</v>
          </cell>
          <cell r="D1032" t="str">
            <v>проходчик на поверхностных работах</v>
          </cell>
          <cell r="E1032" t="str">
            <v>ЧБ 2010571 781563</v>
          </cell>
          <cell r="F1032">
            <v>1323.5</v>
          </cell>
          <cell r="G1032">
            <v>1121.96</v>
          </cell>
          <cell r="H1032">
            <v>0</v>
          </cell>
        </row>
        <row r="1033">
          <cell r="C1033" t="str">
            <v>Кузин Иван Владимирович</v>
          </cell>
          <cell r="D1033" t="str">
            <v>горнорабочий</v>
          </cell>
          <cell r="E1033" t="str">
            <v>ШГ 2010599 063558</v>
          </cell>
          <cell r="F1033">
            <v>1671.7</v>
          </cell>
          <cell r="G1033">
            <v>1417.04</v>
          </cell>
          <cell r="H1033">
            <v>1565.1</v>
          </cell>
        </row>
        <row r="1034">
          <cell r="E1034" t="str">
            <v>С 2007014 105739</v>
          </cell>
          <cell r="F1034">
            <v>1846.4</v>
          </cell>
          <cell r="G1034">
            <v>1565.1</v>
          </cell>
          <cell r="H1034">
            <v>0</v>
          </cell>
        </row>
        <row r="1035">
          <cell r="C1035" t="str">
            <v>Кузнецов Владислав Анатольевич</v>
          </cell>
          <cell r="D1035" t="str">
            <v>Проходчик на поверхностных работах</v>
          </cell>
          <cell r="E1035" t="str">
            <v>ЮЭ 2010697 044820</v>
          </cell>
          <cell r="F1035">
            <v>1323.5</v>
          </cell>
          <cell r="G1035">
            <v>1121.96</v>
          </cell>
          <cell r="H1035">
            <v>1121.96</v>
          </cell>
        </row>
        <row r="1036">
          <cell r="E1036" t="str">
            <v>АС 2010039 826298</v>
          </cell>
          <cell r="F1036">
            <v>1323.5</v>
          </cell>
          <cell r="G1036">
            <v>1121.96</v>
          </cell>
          <cell r="H1036">
            <v>0</v>
          </cell>
        </row>
        <row r="1037">
          <cell r="C1037" t="str">
            <v>Кузнецовский Алексей Борисович</v>
          </cell>
          <cell r="D1037" t="str">
            <v>электрогазосварщик, занятый на резке и ручной сварке</v>
          </cell>
          <cell r="E1037" t="str">
            <v>ЮЭ 2010697 657391</v>
          </cell>
          <cell r="F1037">
            <v>2587</v>
          </cell>
          <cell r="G1037">
            <v>2192.73</v>
          </cell>
          <cell r="H1037">
            <v>0</v>
          </cell>
        </row>
        <row r="1038">
          <cell r="C1038" t="str">
            <v>Кулагин Дмитрий Геннадьевич</v>
          </cell>
          <cell r="D1038" t="str">
            <v>проходчик на поверхностных работах</v>
          </cell>
          <cell r="E1038" t="str">
            <v>ЕЛ 2010163 003229</v>
          </cell>
          <cell r="F1038">
            <v>1618.3</v>
          </cell>
          <cell r="G1038">
            <v>1371.79</v>
          </cell>
          <cell r="H1038">
            <v>1491.2</v>
          </cell>
        </row>
        <row r="1039">
          <cell r="E1039" t="str">
            <v>С 2007014 117464</v>
          </cell>
          <cell r="F1039">
            <v>1759.2</v>
          </cell>
          <cell r="G1039">
            <v>1491.2</v>
          </cell>
          <cell r="H1039">
            <v>0</v>
          </cell>
        </row>
        <row r="1040">
          <cell r="C1040" t="str">
            <v>Лаврик Виктор Александрович</v>
          </cell>
          <cell r="D1040" t="str">
            <v>проходчик на поверхностных работах</v>
          </cell>
          <cell r="E1040" t="str">
            <v>ЮЛ 2010683 554434</v>
          </cell>
          <cell r="F1040">
            <v>2194.8000000000002</v>
          </cell>
          <cell r="G1040">
            <v>1860.34</v>
          </cell>
          <cell r="H1040">
            <v>0</v>
          </cell>
        </row>
        <row r="1041">
          <cell r="C1041" t="str">
            <v>Ландин Руслан Сергеевич</v>
          </cell>
          <cell r="D1041" t="str">
            <v>проходчик на поверхностных работах</v>
          </cell>
          <cell r="E1041" t="str">
            <v>ЦН 2010555 974859</v>
          </cell>
          <cell r="F1041">
            <v>1443.6</v>
          </cell>
          <cell r="G1041">
            <v>1223.74</v>
          </cell>
          <cell r="H1041">
            <v>0</v>
          </cell>
        </row>
        <row r="1042">
          <cell r="C1042" t="str">
            <v>Лаптев Иван Климентьевич</v>
          </cell>
          <cell r="D1042" t="str">
            <v>проходчик на поверхностных работах</v>
          </cell>
          <cell r="E1042" t="str">
            <v>ВЛ 2010086 179193</v>
          </cell>
          <cell r="F1042">
            <v>3397.3</v>
          </cell>
          <cell r="G1042">
            <v>2879.42</v>
          </cell>
          <cell r="H1042">
            <v>0</v>
          </cell>
        </row>
        <row r="1043">
          <cell r="C1043" t="str">
            <v>Лелин Денис Игоревич</v>
          </cell>
          <cell r="D1043" t="str">
            <v xml:space="preserve">горнорабочий </v>
          </cell>
          <cell r="E1043" t="str">
            <v>ЮЭ 2010697 045557</v>
          </cell>
          <cell r="F1043">
            <v>1567.4</v>
          </cell>
          <cell r="G1043">
            <v>1328.65</v>
          </cell>
          <cell r="H1043">
            <v>0</v>
          </cell>
        </row>
        <row r="1044">
          <cell r="C1044" t="str">
            <v>Лихота Анатолий Анатольевич</v>
          </cell>
          <cell r="D1044" t="str">
            <v>электрогазосварщик, занятый на резке и ручной сварке</v>
          </cell>
          <cell r="E1044" t="str">
            <v>ЮЭ 2010697 678562</v>
          </cell>
          <cell r="F1044">
            <v>1618.3</v>
          </cell>
          <cell r="G1044">
            <v>1371.79</v>
          </cell>
          <cell r="H1044">
            <v>1491.2</v>
          </cell>
        </row>
        <row r="1045">
          <cell r="E1045" t="str">
            <v>ЮЭ 2010697 733126</v>
          </cell>
          <cell r="F1045">
            <v>1759.2</v>
          </cell>
          <cell r="G1045">
            <v>1491.2</v>
          </cell>
          <cell r="H1045">
            <v>0</v>
          </cell>
        </row>
        <row r="1046">
          <cell r="C1046" t="str">
            <v>Мамаев Игорь Николаевич</v>
          </cell>
          <cell r="D1046" t="str">
            <v>электрослесарь (слесарь) дежурный и по ремонту оборудования</v>
          </cell>
          <cell r="E1046" t="str">
            <v>ВЛ 2010086 119372</v>
          </cell>
          <cell r="F1046">
            <v>1323.5</v>
          </cell>
          <cell r="G1046">
            <v>1121.96</v>
          </cell>
          <cell r="H1046">
            <v>0</v>
          </cell>
        </row>
        <row r="1047">
          <cell r="C1047" t="str">
            <v>Мардасов Александр Федорович</v>
          </cell>
          <cell r="D1047" t="str">
            <v>проходчик на поверхностных работах</v>
          </cell>
          <cell r="E1047" t="str">
            <v>ВЛ 2010086 120027</v>
          </cell>
          <cell r="F1047">
            <v>2194.8000000000002</v>
          </cell>
          <cell r="G1047">
            <v>1860.34</v>
          </cell>
          <cell r="H1047">
            <v>835.01</v>
          </cell>
        </row>
        <row r="1048">
          <cell r="E1048" t="str">
            <v>АС 2010039 829412</v>
          </cell>
          <cell r="F1048">
            <v>984.9</v>
          </cell>
          <cell r="G1048">
            <v>835.01</v>
          </cell>
          <cell r="H1048">
            <v>0</v>
          </cell>
        </row>
        <row r="1049">
          <cell r="C1049" t="str">
            <v>Минаев Дмитрий Анатольевич</v>
          </cell>
          <cell r="D1049" t="str">
            <v>проходчик на поверхностных работах</v>
          </cell>
          <cell r="E1049" t="str">
            <v>ЮМ 2010684 418337</v>
          </cell>
          <cell r="F1049">
            <v>1567.4</v>
          </cell>
          <cell r="G1049">
            <v>1328.65</v>
          </cell>
          <cell r="H1049">
            <v>1121.96</v>
          </cell>
        </row>
        <row r="1050">
          <cell r="E1050" t="str">
            <v>ГМ 2010113 963736</v>
          </cell>
          <cell r="F1050">
            <v>1323.5</v>
          </cell>
          <cell r="G1050">
            <v>1121.96</v>
          </cell>
          <cell r="H1050">
            <v>0</v>
          </cell>
        </row>
        <row r="1051">
          <cell r="C1051" t="str">
            <v>Михайлов Олег Викторович</v>
          </cell>
          <cell r="D1051" t="str">
            <v>проходчик на поверхностных работах</v>
          </cell>
          <cell r="E1051" t="str">
            <v>ЮМ 2010684 581285</v>
          </cell>
          <cell r="F1051">
            <v>1634.5</v>
          </cell>
          <cell r="G1051">
            <v>1385.52</v>
          </cell>
          <cell r="H1051">
            <v>0</v>
          </cell>
        </row>
        <row r="1052">
          <cell r="C1052" t="str">
            <v>Мягков Максим Александрович</v>
          </cell>
          <cell r="D1052" t="str">
            <v>проходчик на поверхностных работах</v>
          </cell>
          <cell r="E1052" t="str">
            <v>АК 2010033 074065</v>
          </cell>
          <cell r="F1052">
            <v>1933.4</v>
          </cell>
          <cell r="G1052">
            <v>1638.82</v>
          </cell>
          <cell r="H1052">
            <v>0</v>
          </cell>
        </row>
        <row r="1053">
          <cell r="C1053" t="str">
            <v>Наумов Николай Сергеевич</v>
          </cell>
          <cell r="D1053" t="str">
            <v xml:space="preserve">горнорабочий </v>
          </cell>
          <cell r="E1053" t="str">
            <v>ГБ 2010104 622573</v>
          </cell>
          <cell r="F1053">
            <v>1671.7</v>
          </cell>
          <cell r="G1053">
            <v>1417.04</v>
          </cell>
          <cell r="H1053">
            <v>0</v>
          </cell>
        </row>
        <row r="1054">
          <cell r="C1054" t="str">
            <v>Невмержицкий Сергей Александрович</v>
          </cell>
          <cell r="D1054" t="str">
            <v>электрослесарь (слесарь) дежурный и по ремонту оборудования</v>
          </cell>
          <cell r="E1054" t="str">
            <v>ГК 2010111 280619</v>
          </cell>
          <cell r="F1054">
            <v>1933.4</v>
          </cell>
          <cell r="G1054">
            <v>1638.82</v>
          </cell>
          <cell r="H1054">
            <v>1638.82</v>
          </cell>
        </row>
        <row r="1055">
          <cell r="E1055" t="str">
            <v xml:space="preserve"> АП 2010037 307481</v>
          </cell>
          <cell r="F1055">
            <v>1933.4</v>
          </cell>
          <cell r="G1055">
            <v>1638.82</v>
          </cell>
          <cell r="H1055">
            <v>0</v>
          </cell>
        </row>
        <row r="1056">
          <cell r="C1056" t="str">
            <v>Никитин Михаил Сергеевич</v>
          </cell>
          <cell r="D1056" t="str">
            <v>проходчик на поверхностных работах</v>
          </cell>
          <cell r="E1056" t="str">
            <v>ГЕ 2010108 885373</v>
          </cell>
          <cell r="F1056">
            <v>1323.5</v>
          </cell>
          <cell r="G1056">
            <v>1121.96</v>
          </cell>
          <cell r="H1056">
            <v>0</v>
          </cell>
        </row>
        <row r="1057">
          <cell r="C1057" t="str">
            <v>Павлов Петр Алексеевич</v>
          </cell>
          <cell r="D1057" t="str">
            <v>электрогазосварщик, занятый на резке и ручной сварке</v>
          </cell>
          <cell r="E1057" t="str">
            <v>ВЛ 2010086 051812</v>
          </cell>
          <cell r="F1057">
            <v>2194.8000000000002</v>
          </cell>
          <cell r="G1057">
            <v>1860.34</v>
          </cell>
          <cell r="H1057">
            <v>0</v>
          </cell>
        </row>
        <row r="1058">
          <cell r="C1058" t="str">
            <v>Папазов Сергей Николаевич</v>
          </cell>
          <cell r="D1058" t="str">
            <v xml:space="preserve">горнорабочий </v>
          </cell>
          <cell r="E1058" t="str">
            <v>ВЛ 2010086 228644</v>
          </cell>
          <cell r="F1058">
            <v>2299.4</v>
          </cell>
          <cell r="G1058">
            <v>1948.99</v>
          </cell>
          <cell r="H1058">
            <v>0</v>
          </cell>
        </row>
        <row r="1059">
          <cell r="C1059" t="str">
            <v>Пигарев Алексей Владимирович</v>
          </cell>
          <cell r="D1059" t="str">
            <v>проходчик на поверхностных работах</v>
          </cell>
          <cell r="E1059" t="str">
            <v>ЮЭ 2010697 045989</v>
          </cell>
          <cell r="F1059">
            <v>1357.6</v>
          </cell>
          <cell r="G1059">
            <v>1150.8599999999999</v>
          </cell>
          <cell r="H1059">
            <v>1427.46</v>
          </cell>
        </row>
        <row r="1060">
          <cell r="E1060" t="str">
            <v>АП 2010037 347342</v>
          </cell>
          <cell r="F1060">
            <v>1684.4</v>
          </cell>
          <cell r="G1060">
            <v>1427.46</v>
          </cell>
          <cell r="H1060">
            <v>0</v>
          </cell>
        </row>
        <row r="1061">
          <cell r="C1061" t="str">
            <v>Поляков Игорь Юрьевич</v>
          </cell>
          <cell r="D1061" t="str">
            <v>электрослесарь (слесарь) дежурный и по ремонту оборудования</v>
          </cell>
          <cell r="E1061" t="str">
            <v>ГБ 2010104 245273</v>
          </cell>
          <cell r="F1061">
            <v>1497.7</v>
          </cell>
          <cell r="G1061">
            <v>1269.5899999999999</v>
          </cell>
          <cell r="H1061">
            <v>0</v>
          </cell>
        </row>
        <row r="1062">
          <cell r="C1062" t="str">
            <v>Починков Михаил Юрьевич</v>
          </cell>
          <cell r="D1062" t="str">
            <v>электрослесарь (слесарь) дежурный и по ремонту оборудования</v>
          </cell>
          <cell r="E1062" t="str">
            <v>ГБ 2010104 243594</v>
          </cell>
          <cell r="F1062">
            <v>1497.7</v>
          </cell>
          <cell r="G1062">
            <v>1269.5899999999999</v>
          </cell>
          <cell r="H1062">
            <v>1564.75</v>
          </cell>
        </row>
        <row r="1063">
          <cell r="E1063">
            <v>73420360767094</v>
          </cell>
          <cell r="F1063">
            <v>1846.4</v>
          </cell>
          <cell r="G1063">
            <v>1564.75</v>
          </cell>
          <cell r="H1063">
            <v>0</v>
          </cell>
        </row>
        <row r="1064">
          <cell r="C1064" t="str">
            <v>Прима Николай Алексеевич</v>
          </cell>
          <cell r="D1064" t="str">
            <v>Слесарь по ремонту оборудования</v>
          </cell>
          <cell r="E1064" t="str">
            <v>АП2010037 312762</v>
          </cell>
          <cell r="F1064">
            <v>1933.4</v>
          </cell>
          <cell r="G1064">
            <v>1638.82</v>
          </cell>
          <cell r="H1064">
            <v>0</v>
          </cell>
        </row>
        <row r="1065">
          <cell r="C1065" t="str">
            <v>Прокошев Евгений Евгеньевич</v>
          </cell>
          <cell r="D1065" t="str">
            <v>электрогазосварщик занятый на резке и ручной сварке о/г.р.</v>
          </cell>
          <cell r="E1065" t="str">
            <v>АК 2010033 050493</v>
          </cell>
          <cell r="F1065">
            <v>2194.8000000000002</v>
          </cell>
          <cell r="G1065">
            <v>1860.34</v>
          </cell>
          <cell r="H1065">
            <v>1491.2</v>
          </cell>
        </row>
        <row r="1066">
          <cell r="E1066" t="str">
            <v>АК 2010033 050494</v>
          </cell>
          <cell r="F1066">
            <v>1759.2</v>
          </cell>
          <cell r="G1066">
            <v>1491.2</v>
          </cell>
          <cell r="H1066">
            <v>0</v>
          </cell>
        </row>
        <row r="1067">
          <cell r="C1067" t="str">
            <v>Пудов Алексей Владимирович</v>
          </cell>
          <cell r="D1067" t="str">
            <v xml:space="preserve">горнорабочий </v>
          </cell>
          <cell r="E1067" t="str">
            <v>ЕГ 2010157 714288</v>
          </cell>
          <cell r="F1067">
            <v>1497.7</v>
          </cell>
          <cell r="G1067">
            <v>1269.5899999999999</v>
          </cell>
          <cell r="H1067">
            <v>0</v>
          </cell>
        </row>
        <row r="1068">
          <cell r="C1068" t="str">
            <v>Пятак Виталий Сергеевич</v>
          </cell>
          <cell r="D1068" t="str">
            <v>электрогазосварщик занятый на резке и ручной сварке о/г.р.</v>
          </cell>
          <cell r="E1068" t="str">
            <v>ЕГ 2010157 714241</v>
          </cell>
          <cell r="F1068">
            <v>1497.7</v>
          </cell>
          <cell r="G1068">
            <v>1269.5899999999999</v>
          </cell>
          <cell r="H1068">
            <v>1121.96</v>
          </cell>
        </row>
        <row r="1069">
          <cell r="E1069" t="str">
            <v>БЭ 2010074 902565</v>
          </cell>
          <cell r="F1069">
            <v>1323.5</v>
          </cell>
          <cell r="G1069">
            <v>1121.96</v>
          </cell>
          <cell r="H1069">
            <v>0</v>
          </cell>
        </row>
        <row r="1070">
          <cell r="C1070" t="str">
            <v>Рожков Александр Викторович</v>
          </cell>
          <cell r="D1070" t="str">
            <v xml:space="preserve">горнорабочий </v>
          </cell>
          <cell r="E1070" t="str">
            <v>ЮЭ 2010697 045663</v>
          </cell>
          <cell r="F1070">
            <v>1671.7</v>
          </cell>
          <cell r="G1070">
            <v>1417.04</v>
          </cell>
          <cell r="H1070">
            <v>1101.96</v>
          </cell>
        </row>
        <row r="1071">
          <cell r="E1071" t="str">
            <v>ЮЭ 2010697 045346</v>
          </cell>
          <cell r="F1071">
            <v>1299.9000000000001</v>
          </cell>
          <cell r="G1071">
            <v>1101.96</v>
          </cell>
          <cell r="H1071">
            <v>0</v>
          </cell>
        </row>
        <row r="1072">
          <cell r="C1072" t="str">
            <v>Романов Владимир Вячеславович</v>
          </cell>
          <cell r="D1072" t="str">
            <v>электрогазосварщик занятый на резке и ручной сварке о/г.р.</v>
          </cell>
          <cell r="E1072" t="str">
            <v>ВЛ 2010086 548761</v>
          </cell>
          <cell r="F1072">
            <v>2090.4</v>
          </cell>
          <cell r="G1072">
            <v>1771.87</v>
          </cell>
          <cell r="H1072">
            <v>1491.2</v>
          </cell>
        </row>
        <row r="1073">
          <cell r="E1073" t="str">
            <v>АК 2010033 047711</v>
          </cell>
          <cell r="F1073">
            <v>1759.2</v>
          </cell>
          <cell r="G1073">
            <v>1491.2</v>
          </cell>
          <cell r="H1073">
            <v>0</v>
          </cell>
        </row>
        <row r="1074">
          <cell r="C1074" t="str">
            <v>Рыковский Сергей Викторович</v>
          </cell>
          <cell r="D1074" t="str">
            <v>проходчик на поверхностных работах</v>
          </cell>
          <cell r="E1074" t="str">
            <v>ЮЭ 2010697 911408</v>
          </cell>
          <cell r="F1074">
            <v>1410.4</v>
          </cell>
          <cell r="G1074">
            <v>1195.5999999999999</v>
          </cell>
          <cell r="H1074">
            <v>0</v>
          </cell>
        </row>
        <row r="1075">
          <cell r="C1075" t="str">
            <v>Рытов Александр Иванович</v>
          </cell>
          <cell r="D1075" t="str">
            <v>электрогазосварщик занятый на резке и ручной сварке о/г.р.</v>
          </cell>
          <cell r="E1075" t="str">
            <v>ЯИ 2010707 811683</v>
          </cell>
          <cell r="F1075">
            <v>3083.7</v>
          </cell>
          <cell r="G1075">
            <v>2613.65</v>
          </cell>
          <cell r="H1075">
            <v>2192.73</v>
          </cell>
        </row>
        <row r="1076">
          <cell r="E1076" t="str">
            <v>ЯИ 2010707 811684</v>
          </cell>
          <cell r="F1076">
            <v>2587</v>
          </cell>
          <cell r="G1076">
            <v>2192.73</v>
          </cell>
          <cell r="H1076">
            <v>0</v>
          </cell>
        </row>
        <row r="1077">
          <cell r="C1077" t="str">
            <v>Самаров Сергей Иванович</v>
          </cell>
          <cell r="D1077" t="str">
            <v>электрогазосварщик занятый на резке и ручной сварке о/г.р.</v>
          </cell>
          <cell r="E1077" t="str">
            <v>С 2007014 812747</v>
          </cell>
          <cell r="F1077">
            <v>1396.3</v>
          </cell>
          <cell r="G1077">
            <v>1183.6600000000001</v>
          </cell>
          <cell r="H1077">
            <v>0</v>
          </cell>
        </row>
        <row r="1078">
          <cell r="C1078" t="str">
            <v>Самсонов Геннадий Владимирович</v>
          </cell>
          <cell r="D1078" t="str">
            <v>электрогазосварщик занятый на резке и ручной сварке о/г.р.</v>
          </cell>
          <cell r="E1078" t="str">
            <v>ГЕ 2010108 884617</v>
          </cell>
          <cell r="F1078">
            <v>1323.5</v>
          </cell>
          <cell r="G1078">
            <v>1121.96</v>
          </cell>
          <cell r="H1078">
            <v>1101.96</v>
          </cell>
        </row>
        <row r="1079">
          <cell r="E1079" t="str">
            <v>ЮЭ 2010697 045743</v>
          </cell>
          <cell r="F1079">
            <v>1299.9000000000001</v>
          </cell>
          <cell r="G1079">
            <v>1101.96</v>
          </cell>
          <cell r="H1079">
            <v>0</v>
          </cell>
        </row>
        <row r="1080">
          <cell r="C1080" t="str">
            <v>Сиднеков Олег Анатольевич</v>
          </cell>
          <cell r="D1080" t="str">
            <v>электрогазосварщик, занятый на резке и ручной сварке</v>
          </cell>
          <cell r="E1080" t="str">
            <v>ГБ 2010104 256418</v>
          </cell>
          <cell r="F1080">
            <v>2142.6999999999998</v>
          </cell>
          <cell r="G1080">
            <v>1892.82</v>
          </cell>
          <cell r="H1080">
            <v>0</v>
          </cell>
        </row>
        <row r="1081">
          <cell r="C1081" t="str">
            <v>Синцов Дмитрий Александрович</v>
          </cell>
          <cell r="D1081" t="str">
            <v>электрогазосварщик, занятый на резке и ручной сварке</v>
          </cell>
          <cell r="E1081" t="str">
            <v>ЧБ 2010571 781051</v>
          </cell>
          <cell r="F1081">
            <v>1443.6</v>
          </cell>
          <cell r="G1081">
            <v>1223.74</v>
          </cell>
          <cell r="H1081">
            <v>1034.5</v>
          </cell>
        </row>
        <row r="1082">
          <cell r="E1082" t="str">
            <v>АП 2010037  961461</v>
          </cell>
          <cell r="F1082">
            <v>1220.3</v>
          </cell>
          <cell r="G1082">
            <v>1034.5</v>
          </cell>
          <cell r="H1082">
            <v>0</v>
          </cell>
        </row>
        <row r="1083">
          <cell r="C1083" t="str">
            <v>Сирота Александр Лазаревич</v>
          </cell>
          <cell r="D1083" t="str">
            <v>машинист компрессорных установок</v>
          </cell>
          <cell r="E1083" t="str">
            <v>ВЛ 2010086 294083</v>
          </cell>
          <cell r="F1083">
            <v>1933.4</v>
          </cell>
          <cell r="G1083">
            <v>1638.82</v>
          </cell>
          <cell r="H1083">
            <v>1638.82</v>
          </cell>
        </row>
        <row r="1084">
          <cell r="E1084" t="str">
            <v>АП 2010037 356439</v>
          </cell>
          <cell r="F1084">
            <v>1933.4</v>
          </cell>
          <cell r="G1084">
            <v>1638.82</v>
          </cell>
          <cell r="H1084">
            <v>0</v>
          </cell>
        </row>
        <row r="1085">
          <cell r="C1085" t="str">
            <v>Соломенцев Валерий Викторович</v>
          </cell>
          <cell r="D1085" t="str">
            <v>электрогазосварщик, занятый на резке и ручной сварке</v>
          </cell>
          <cell r="E1085" t="str">
            <v>ЮЭ 2010697 948645</v>
          </cell>
          <cell r="F1085">
            <v>1323.5</v>
          </cell>
          <cell r="G1085">
            <v>1121.96</v>
          </cell>
          <cell r="H1085">
            <v>1101.96</v>
          </cell>
        </row>
        <row r="1086">
          <cell r="E1086" t="str">
            <v>ГЕ 2010108 885335</v>
          </cell>
          <cell r="F1086">
            <v>1299.9000000000001</v>
          </cell>
          <cell r="G1086">
            <v>1101.96</v>
          </cell>
          <cell r="H1086">
            <v>0</v>
          </cell>
        </row>
        <row r="1087">
          <cell r="C1087" t="str">
            <v>Степанов Николай Григорьевич</v>
          </cell>
          <cell r="D1087" t="str">
            <v>проходчик на поверхностных работах</v>
          </cell>
          <cell r="E1087" t="str">
            <v>ГБ 2010104 243417</v>
          </cell>
          <cell r="F1087">
            <v>1410.4</v>
          </cell>
          <cell r="G1087">
            <v>1195.5999999999999</v>
          </cell>
          <cell r="H1087">
            <v>0</v>
          </cell>
        </row>
        <row r="1088">
          <cell r="C1088" t="str">
            <v>Степовой Юрий Анатольевич</v>
          </cell>
          <cell r="D1088" t="str">
            <v>электрогазосварщик, занятый на резке и ручной сварке</v>
          </cell>
          <cell r="E1088" t="str">
            <v>АЕ 2010030 521257</v>
          </cell>
          <cell r="F1088">
            <v>3083.7</v>
          </cell>
          <cell r="G1088">
            <v>2613.65</v>
          </cell>
          <cell r="H1088">
            <v>0</v>
          </cell>
        </row>
        <row r="1089">
          <cell r="C1089" t="str">
            <v>Стетюха Сергей Анатольевич</v>
          </cell>
          <cell r="D1089" t="str">
            <v>электрогазосварщик, занятый на резке и ручной сварке</v>
          </cell>
          <cell r="E1089" t="str">
            <v>ЮЭ 2010697 045363</v>
          </cell>
          <cell r="F1089">
            <v>1567.4</v>
          </cell>
          <cell r="G1089">
            <v>1328.65</v>
          </cell>
          <cell r="H1089">
            <v>1121.96</v>
          </cell>
        </row>
        <row r="1090">
          <cell r="E1090" t="str">
            <v>ГЕ 2010108 885372</v>
          </cell>
          <cell r="F1090">
            <v>1323.5</v>
          </cell>
          <cell r="G1090">
            <v>1121.96</v>
          </cell>
          <cell r="H1090">
            <v>0</v>
          </cell>
        </row>
        <row r="1091">
          <cell r="C1091" t="str">
            <v>Стерляжников Александр Яковлевич</v>
          </cell>
          <cell r="D1091" t="str">
            <v>электрослесарь (слесарь) дежурный и по ремонту оборудования</v>
          </cell>
          <cell r="E1091" t="str">
            <v>АС 2010039 828549</v>
          </cell>
          <cell r="F1091">
            <v>1933.4</v>
          </cell>
          <cell r="G1091">
            <v>1638.82</v>
          </cell>
          <cell r="H1091">
            <v>0</v>
          </cell>
        </row>
        <row r="1092">
          <cell r="C1092" t="str">
            <v>Стешенко Александр Владимирович</v>
          </cell>
          <cell r="D1092" t="str">
            <v>электрогазосварщик, занятый на резке и ручной сварке</v>
          </cell>
          <cell r="E1092" t="str">
            <v>Р 2007013 891795</v>
          </cell>
          <cell r="F1092">
            <v>1497.7</v>
          </cell>
          <cell r="G1092">
            <v>1269.5899999999999</v>
          </cell>
          <cell r="H1092">
            <v>0</v>
          </cell>
        </row>
        <row r="1093">
          <cell r="C1093" t="str">
            <v>Сухляк Юрий Алексеевич</v>
          </cell>
          <cell r="D1093" t="str">
            <v>электрогазосварщик, занятый на резке и ручной сварке</v>
          </cell>
          <cell r="E1093" t="str">
            <v>ВЛ 2010086 552655</v>
          </cell>
          <cell r="F1093">
            <v>1759.2</v>
          </cell>
          <cell r="G1093">
            <v>1491.2</v>
          </cell>
          <cell r="H1093">
            <v>1491.2</v>
          </cell>
        </row>
        <row r="1094">
          <cell r="E1094" t="str">
            <v>С 2007014 119692</v>
          </cell>
          <cell r="F1094">
            <v>1759.2</v>
          </cell>
          <cell r="G1094">
            <v>1491.2</v>
          </cell>
          <cell r="H1094">
            <v>0</v>
          </cell>
        </row>
        <row r="1095">
          <cell r="C1095" t="str">
            <v>Тарабановский Андрей Викторович</v>
          </cell>
          <cell r="D1095" t="str">
            <v>электрослесарь (слесарь) дежурный и по ремонту оборудования</v>
          </cell>
          <cell r="E1095" t="str">
            <v>ЧБ 2010571 781142</v>
          </cell>
          <cell r="F1095">
            <v>1323.5</v>
          </cell>
          <cell r="G1095">
            <v>1121.96</v>
          </cell>
          <cell r="H1095">
            <v>1034.5</v>
          </cell>
        </row>
        <row r="1096">
          <cell r="E1096" t="str">
            <v>АС 2010039 843962</v>
          </cell>
          <cell r="F1096">
            <v>1220.3</v>
          </cell>
          <cell r="G1096">
            <v>1034.5</v>
          </cell>
          <cell r="H1096">
            <v>0</v>
          </cell>
        </row>
        <row r="1097">
          <cell r="C1097" t="str">
            <v>Татевосян Арсен Георгиевич</v>
          </cell>
          <cell r="D1097" t="str">
            <v>электрогазосварщик, занятый на резке и ручной сварке</v>
          </cell>
          <cell r="E1097" t="str">
            <v>АК 2010033 053159</v>
          </cell>
          <cell r="F1097">
            <v>1846.4</v>
          </cell>
          <cell r="G1097">
            <v>1565.1</v>
          </cell>
          <cell r="H1097">
            <v>1491.2</v>
          </cell>
        </row>
        <row r="1098">
          <cell r="E1098" t="str">
            <v>С 2007014 119693</v>
          </cell>
          <cell r="F1098">
            <v>1759.2</v>
          </cell>
          <cell r="G1098">
            <v>1491.2</v>
          </cell>
          <cell r="H1098">
            <v>0</v>
          </cell>
        </row>
        <row r="1099">
          <cell r="C1099" t="str">
            <v>Тилов Мухажир Камалович</v>
          </cell>
          <cell r="D1099" t="str">
            <v>электросварщик ручной сварки</v>
          </cell>
          <cell r="E1099" t="str">
            <v>ВЛ 2010086 295065</v>
          </cell>
          <cell r="F1099">
            <v>1933.4</v>
          </cell>
          <cell r="G1099">
            <v>1638.82</v>
          </cell>
          <cell r="H1099">
            <v>0</v>
          </cell>
        </row>
        <row r="1100">
          <cell r="C1100" t="str">
            <v>Толиченко Максим Станиславович</v>
          </cell>
          <cell r="D1100" t="str">
            <v>электрогазосварщик, занятый на резке и ручной сварке</v>
          </cell>
          <cell r="E1100" t="str">
            <v>ЮМ 2010684 510642</v>
          </cell>
          <cell r="F1100">
            <v>1497.7</v>
          </cell>
          <cell r="G1100">
            <v>1269.5899999999999</v>
          </cell>
          <cell r="H1100">
            <v>0</v>
          </cell>
        </row>
        <row r="1101">
          <cell r="C1101" t="str">
            <v>Улецкий Геннадий Гаврилович</v>
          </cell>
          <cell r="D1101" t="str">
            <v>электросварщик ручной сварки</v>
          </cell>
          <cell r="E1101" t="str">
            <v>ЮЭ 2010697 045483</v>
          </cell>
          <cell r="F1101">
            <v>1567.4</v>
          </cell>
          <cell r="G1101">
            <v>1328.65</v>
          </cell>
          <cell r="H1101">
            <v>1101.96</v>
          </cell>
        </row>
        <row r="1102">
          <cell r="E1102" t="str">
            <v>ЮЭ 2010697 045484</v>
          </cell>
          <cell r="F1102">
            <v>1299.9000000000001</v>
          </cell>
          <cell r="G1102">
            <v>1101.96</v>
          </cell>
          <cell r="H1102">
            <v>0</v>
          </cell>
        </row>
        <row r="1103">
          <cell r="C1103" t="str">
            <v>Федоров Алексей Алексеевич</v>
          </cell>
          <cell r="D1103" t="str">
            <v>электрослесарь дежурный и по ремонту оборудования</v>
          </cell>
          <cell r="E1103" t="str">
            <v>АК 2010033 140912</v>
          </cell>
          <cell r="F1103">
            <v>3240.4</v>
          </cell>
          <cell r="G1103">
            <v>2746.45</v>
          </cell>
          <cell r="H1103">
            <v>2192.73</v>
          </cell>
        </row>
        <row r="1104">
          <cell r="E1104" t="str">
            <v>С 2007014 105740</v>
          </cell>
          <cell r="F1104">
            <v>2587</v>
          </cell>
          <cell r="G1104">
            <v>2192.73</v>
          </cell>
          <cell r="H1104">
            <v>0</v>
          </cell>
        </row>
        <row r="1105">
          <cell r="C1105" t="str">
            <v>Федоров Александр Иванович</v>
          </cell>
          <cell r="D1105" t="str">
            <v>электрослесарь дежурный и по ремонту оборудования</v>
          </cell>
          <cell r="E1105" t="str">
            <v>БЭ 2010074 704263</v>
          </cell>
          <cell r="F1105">
            <v>813.5</v>
          </cell>
          <cell r="G1105">
            <v>689.41</v>
          </cell>
          <cell r="H1105">
            <v>0</v>
          </cell>
        </row>
        <row r="1106">
          <cell r="C1106" t="str">
            <v>Федоров Игорь Александрович</v>
          </cell>
          <cell r="D1106" t="str">
            <v>проходчик на поверхностных работах</v>
          </cell>
          <cell r="E1106" t="str">
            <v>ЮЭ 2010697 948644</v>
          </cell>
          <cell r="F1106">
            <v>1323.5</v>
          </cell>
          <cell r="G1106">
            <v>1121.96</v>
          </cell>
          <cell r="H1106">
            <v>0</v>
          </cell>
        </row>
        <row r="1107">
          <cell r="C1107" t="str">
            <v>Фефилов Валерий Леонидович</v>
          </cell>
          <cell r="D1107" t="str">
            <v>электрослесарь дежурный и по ремонту оборудования</v>
          </cell>
          <cell r="E1107" t="str">
            <v>ЮМ 2010684 418322</v>
          </cell>
          <cell r="F1107">
            <v>1323.5</v>
          </cell>
          <cell r="G1107">
            <v>1121.96</v>
          </cell>
          <cell r="H1107">
            <v>0</v>
          </cell>
        </row>
        <row r="1108">
          <cell r="C1108" t="str">
            <v>Фомин Алексей Николаевич</v>
          </cell>
          <cell r="D1108" t="str">
            <v>проходчик на поверхностных работах</v>
          </cell>
          <cell r="E1108" t="str">
            <v>ЮМ 2010684 419532</v>
          </cell>
          <cell r="F1108">
            <v>1567.4</v>
          </cell>
          <cell r="G1108">
            <v>1328.65</v>
          </cell>
          <cell r="H1108">
            <v>0</v>
          </cell>
        </row>
        <row r="1109">
          <cell r="C1109" t="str">
            <v>Харлампьев Валентин Юрьевич</v>
          </cell>
          <cell r="D1109" t="str">
            <v>проходчик на поверхностных работах</v>
          </cell>
          <cell r="E1109" t="str">
            <v>ГВ 2010105 485201</v>
          </cell>
          <cell r="F1109">
            <v>3397.3</v>
          </cell>
          <cell r="G1109">
            <v>2879.42</v>
          </cell>
          <cell r="H1109">
            <v>2414.16</v>
          </cell>
        </row>
        <row r="1110">
          <cell r="E1110" t="str">
            <v>АС 2010039 809462</v>
          </cell>
          <cell r="F1110">
            <v>2848.3</v>
          </cell>
          <cell r="G1110">
            <v>2414.16</v>
          </cell>
          <cell r="H1110">
            <v>0</v>
          </cell>
        </row>
        <row r="1111">
          <cell r="C1111" t="str">
            <v>Чайко Александр Тимофеевич</v>
          </cell>
          <cell r="D1111" t="str">
            <v>элекрогазосварщик занятый на резке и ручной сварке о/г.р.</v>
          </cell>
          <cell r="E1111" t="str">
            <v>ЕВ 2010156 993604</v>
          </cell>
          <cell r="F1111">
            <v>1846.4</v>
          </cell>
          <cell r="G1111">
            <v>1565.1</v>
          </cell>
          <cell r="H1111">
            <v>1565.1</v>
          </cell>
        </row>
        <row r="1112">
          <cell r="E1112" t="str">
            <v>С 2007014 802783</v>
          </cell>
          <cell r="F1112">
            <v>1846.4</v>
          </cell>
          <cell r="G1112">
            <v>1565.1</v>
          </cell>
          <cell r="H1112">
            <v>0</v>
          </cell>
        </row>
        <row r="1113">
          <cell r="C1113" t="str">
            <v>Черновол Анатолий Алексеевич</v>
          </cell>
          <cell r="D1113" t="str">
            <v>электрослесарь (слесарь) дежурный и по ремонту оборудования</v>
          </cell>
          <cell r="E1113" t="str">
            <v>АИ 2010032 771696</v>
          </cell>
          <cell r="F1113">
            <v>2299.4</v>
          </cell>
          <cell r="G1113">
            <v>1948.99</v>
          </cell>
          <cell r="H1113">
            <v>1638.82</v>
          </cell>
        </row>
        <row r="1114">
          <cell r="E1114" t="str">
            <v>АП 2010037 952686</v>
          </cell>
          <cell r="F1114">
            <v>1933.4</v>
          </cell>
          <cell r="G1114">
            <v>1638.82</v>
          </cell>
          <cell r="H1114">
            <v>0</v>
          </cell>
        </row>
        <row r="1115">
          <cell r="C1115" t="str">
            <v>Чмиль Денис Сергеевич</v>
          </cell>
          <cell r="D1115" t="str">
            <v>проходчик на поверхностных работах</v>
          </cell>
          <cell r="E1115" t="str">
            <v>Р 2007013 712363</v>
          </cell>
          <cell r="F1115">
            <v>1323.5</v>
          </cell>
          <cell r="G1115">
            <v>1121.96</v>
          </cell>
          <cell r="H1115">
            <v>1034.5</v>
          </cell>
        </row>
        <row r="1116">
          <cell r="E1116" t="str">
            <v>С 2007014 118553</v>
          </cell>
          <cell r="F1116">
            <v>1220.3</v>
          </cell>
          <cell r="G1116">
            <v>1034.5</v>
          </cell>
          <cell r="H1116">
            <v>0</v>
          </cell>
        </row>
        <row r="1117">
          <cell r="C1117" t="str">
            <v>Чужиков Алексей Сергеевич</v>
          </cell>
          <cell r="D1117" t="str">
            <v>элекрогазосварщик занятый на резке и ручной сварке о/г.р.</v>
          </cell>
          <cell r="E1117" t="str">
            <v>ЯИ 2010707 811698</v>
          </cell>
          <cell r="F1117">
            <v>2982.3</v>
          </cell>
          <cell r="G1117">
            <v>2527.7199999999998</v>
          </cell>
          <cell r="H1117">
            <v>2303.4899999999998</v>
          </cell>
        </row>
        <row r="1118">
          <cell r="E1118" t="str">
            <v>АП 2010037  963935</v>
          </cell>
          <cell r="F1118">
            <v>2717.7</v>
          </cell>
          <cell r="G1118">
            <v>2303.4899999999998</v>
          </cell>
          <cell r="H1118">
            <v>0</v>
          </cell>
        </row>
        <row r="1119">
          <cell r="C1119" t="str">
            <v>Шакуров Дмитрий Алексеевич</v>
          </cell>
          <cell r="D1119" t="str">
            <v>элекрогазосварщик занятый на резке и ручной сварке о/г.р.</v>
          </cell>
          <cell r="E1119" t="str">
            <v>АЕ 2010030 521256</v>
          </cell>
          <cell r="F1119">
            <v>3083.7</v>
          </cell>
          <cell r="G1119">
            <v>2613.65</v>
          </cell>
          <cell r="H1119">
            <v>2192.73</v>
          </cell>
        </row>
        <row r="1120">
          <cell r="E1120" t="str">
            <v>АК 2010033 140713</v>
          </cell>
          <cell r="F1120">
            <v>2587</v>
          </cell>
          <cell r="G1120">
            <v>2192.73</v>
          </cell>
          <cell r="H1120">
            <v>0</v>
          </cell>
        </row>
        <row r="1121">
          <cell r="C1121" t="str">
            <v>Шарапова Оксана Михайловна</v>
          </cell>
          <cell r="D1121" t="str">
            <v>горнорабочий на маркшейдерских работах</v>
          </cell>
          <cell r="E1121" t="str">
            <v>ЭТ 2010663 842492</v>
          </cell>
          <cell r="F1121">
            <v>2674.6</v>
          </cell>
          <cell r="G1121">
            <v>2266.96</v>
          </cell>
          <cell r="H1121">
            <v>0</v>
          </cell>
        </row>
        <row r="1122">
          <cell r="C1122" t="str">
            <v>Шауэрман Валерий Валерьевич</v>
          </cell>
          <cell r="D1122" t="str">
            <v>проходчик на поверхностных работах</v>
          </cell>
          <cell r="E1122" t="str">
            <v>ЧБ 2010571 562825</v>
          </cell>
          <cell r="F1122">
            <v>3083.7</v>
          </cell>
          <cell r="G1122">
            <v>2613.65</v>
          </cell>
          <cell r="H1122">
            <v>0</v>
          </cell>
        </row>
        <row r="1123">
          <cell r="C1123" t="str">
            <v>Шеин Валерий Сергеевич</v>
          </cell>
          <cell r="D1123" t="str">
            <v>машинист компрессорных установок</v>
          </cell>
          <cell r="E1123" t="str">
            <v>ВЛ 2010086 293104</v>
          </cell>
          <cell r="F1123">
            <v>2299.4</v>
          </cell>
          <cell r="G1123">
            <v>1948.99</v>
          </cell>
          <cell r="H1123">
            <v>1638.82</v>
          </cell>
        </row>
        <row r="1124">
          <cell r="E1124" t="str">
            <v>АК 2010033 075550</v>
          </cell>
          <cell r="F1124">
            <v>1933.4</v>
          </cell>
          <cell r="G1124">
            <v>1638.82</v>
          </cell>
          <cell r="H1124">
            <v>1638.82</v>
          </cell>
        </row>
        <row r="1125">
          <cell r="E1125" t="str">
            <v>ВЛ 2010086 293472</v>
          </cell>
          <cell r="F1125">
            <v>1933.4</v>
          </cell>
          <cell r="G1125">
            <v>1638.82</v>
          </cell>
          <cell r="H1125">
            <v>0</v>
          </cell>
        </row>
        <row r="1126">
          <cell r="C1126" t="str">
            <v>Шеин Павел Валерьевич</v>
          </cell>
          <cell r="D1126" t="str">
            <v>проходчик на поверхностных работах</v>
          </cell>
          <cell r="E1126" t="str">
            <v>ЮМ 2010684 594874</v>
          </cell>
          <cell r="F1126">
            <v>1753.7</v>
          </cell>
          <cell r="G1126">
            <v>1561.39</v>
          </cell>
          <cell r="H1126">
            <v>0</v>
          </cell>
        </row>
        <row r="1127">
          <cell r="C1127" t="str">
            <v>Шиян Игорь Анатольевич</v>
          </cell>
          <cell r="D1127" t="str">
            <v>электрослесарь (слесарь) дежурный и по ремонту оборудования</v>
          </cell>
          <cell r="E1127" t="str">
            <v>ЧБ 2010571 781264</v>
          </cell>
          <cell r="F1127">
            <v>1323.5</v>
          </cell>
          <cell r="G1127">
            <v>1121.96</v>
          </cell>
          <cell r="H1127">
            <v>0</v>
          </cell>
        </row>
        <row r="1128">
          <cell r="C1128" t="str">
            <v>Шквира Славик Тамазович</v>
          </cell>
          <cell r="D1128" t="str">
            <v>электрогазосварщик, занятый на резке и ручной сварке</v>
          </cell>
          <cell r="E1128" t="str">
            <v>АК 2010033 140721</v>
          </cell>
          <cell r="F1128">
            <v>3083.7</v>
          </cell>
          <cell r="G1128">
            <v>2613.65</v>
          </cell>
          <cell r="H1128">
            <v>0</v>
          </cell>
        </row>
        <row r="1129">
          <cell r="C1129" t="str">
            <v>Юрьев Михаил Васильевич</v>
          </cell>
          <cell r="D1129" t="str">
            <v xml:space="preserve">горнорабочий </v>
          </cell>
          <cell r="E1129" t="str">
            <v>АИ 2010032 743707</v>
          </cell>
          <cell r="F1129">
            <v>2299.4</v>
          </cell>
          <cell r="G1129">
            <v>1948.99</v>
          </cell>
          <cell r="H1129">
            <v>0</v>
          </cell>
        </row>
        <row r="1130">
          <cell r="C1130" t="str">
            <v>Янченко Владимир Дмитриевич</v>
          </cell>
          <cell r="D1130" t="str">
            <v>электрогазосварщик, занятый на резке и ручной сварке</v>
          </cell>
          <cell r="E1130" t="str">
            <v>АК 2010033 140911</v>
          </cell>
          <cell r="F1130">
            <v>3240.4</v>
          </cell>
          <cell r="G1130">
            <v>2746.45</v>
          </cell>
          <cell r="H1130">
            <v>2192.73</v>
          </cell>
        </row>
        <row r="1131">
          <cell r="E1131" t="str">
            <v>С 2007014 105741</v>
          </cell>
          <cell r="F1131">
            <v>2587</v>
          </cell>
          <cell r="G1131">
            <v>2192.73</v>
          </cell>
          <cell r="H1131">
            <v>0</v>
          </cell>
        </row>
        <row r="1132">
          <cell r="H1132">
            <v>0</v>
          </cell>
        </row>
        <row r="1133">
          <cell r="C1133" t="str">
            <v>Пряников Евгений Александрович</v>
          </cell>
          <cell r="D1133" t="str">
            <v>Мастер РБУ</v>
          </cell>
          <cell r="E1133" t="str">
            <v>ГБ2010104 257434</v>
          </cell>
          <cell r="F1133">
            <v>2144.9</v>
          </cell>
          <cell r="G1133">
            <v>1895.02</v>
          </cell>
          <cell r="H1133">
            <v>0</v>
          </cell>
        </row>
        <row r="1134">
          <cell r="H1134">
            <v>0</v>
          </cell>
        </row>
        <row r="1135">
          <cell r="C1135" t="str">
            <v>Богомолов Николай Игоревич</v>
          </cell>
          <cell r="D1135" t="str">
            <v>Слесарь</v>
          </cell>
          <cell r="E1135" t="str">
            <v>ЮЭ2010697 681729</v>
          </cell>
          <cell r="F1135">
            <v>1618.3</v>
          </cell>
          <cell r="G1135">
            <v>1371.79</v>
          </cell>
          <cell r="H1135">
            <v>1491.2</v>
          </cell>
        </row>
        <row r="1136">
          <cell r="E1136" t="str">
            <v>БЭ2010074 130119</v>
          </cell>
          <cell r="F1136">
            <v>1759.2</v>
          </cell>
          <cell r="G1136">
            <v>1491.2</v>
          </cell>
          <cell r="H1136">
            <v>0</v>
          </cell>
        </row>
        <row r="1137">
          <cell r="C1137" t="str">
            <v>Буняк Андрей Владимирович</v>
          </cell>
          <cell r="D1137" t="str">
            <v>Электрогазосварщик, занятый на резке и ручной сварке</v>
          </cell>
          <cell r="E1137" t="str">
            <v>ГЕ2010108 885447</v>
          </cell>
          <cell r="F1137">
            <v>2717.7</v>
          </cell>
          <cell r="G1137">
            <v>2303.4899999999998</v>
          </cell>
          <cell r="H1137">
            <v>0</v>
          </cell>
        </row>
        <row r="1138">
          <cell r="C1138" t="str">
            <v>Ерохин Виктор Владимирович</v>
          </cell>
          <cell r="D1138" t="str">
            <v>Слесарь по КИП и автоматике</v>
          </cell>
          <cell r="E1138" t="str">
            <v>ВЛ2010086 539969</v>
          </cell>
          <cell r="F1138">
            <v>2587</v>
          </cell>
          <cell r="G1138">
            <v>2192.73</v>
          </cell>
          <cell r="H1138">
            <v>0</v>
          </cell>
        </row>
        <row r="1139">
          <cell r="C1139" t="str">
            <v>Сычевой Сергей Викторович</v>
          </cell>
          <cell r="D1139" t="str">
            <v>Моторист бетоносмесительных установок</v>
          </cell>
          <cell r="E1139" t="str">
            <v>ГЕ2010108 885446</v>
          </cell>
          <cell r="F1139">
            <v>2717.7</v>
          </cell>
          <cell r="G1139">
            <v>2303.4899999999998</v>
          </cell>
          <cell r="H1139">
            <v>0</v>
          </cell>
        </row>
        <row r="1140">
          <cell r="H1140">
            <v>0</v>
          </cell>
        </row>
        <row r="1141">
          <cell r="H1141">
            <v>0</v>
          </cell>
        </row>
        <row r="1142">
          <cell r="C1142" t="str">
            <v>Дьяковский Владимир Иванович</v>
          </cell>
          <cell r="D1142" t="str">
            <v>Машинист крана автомобильного</v>
          </cell>
          <cell r="E1142" t="str">
            <v>ВЛ2010086 243268</v>
          </cell>
          <cell r="F1142">
            <v>2259.1999999999998</v>
          </cell>
          <cell r="G1142">
            <v>1991.44</v>
          </cell>
          <cell r="H1142">
            <v>0</v>
          </cell>
        </row>
        <row r="1143">
          <cell r="C1143" t="str">
            <v>Зайцев Тимофей Иванович</v>
          </cell>
          <cell r="D1143" t="str">
            <v>Машинист крана автомобильного</v>
          </cell>
          <cell r="E1143" t="str">
            <v>ГЕ2010108 885343</v>
          </cell>
          <cell r="F1143">
            <v>2848.3</v>
          </cell>
          <cell r="G1143">
            <v>2414.16</v>
          </cell>
          <cell r="H1143">
            <v>0</v>
          </cell>
        </row>
        <row r="1144">
          <cell r="C1144" t="str">
            <v>Рыков Сергей Николаевич</v>
          </cell>
          <cell r="D1144" t="str">
            <v>Машинист крана автомобильного</v>
          </cell>
          <cell r="E1144" t="str">
            <v>ГБ2010104 551018</v>
          </cell>
          <cell r="F1144">
            <v>1140.5</v>
          </cell>
          <cell r="G1144">
            <v>966.87</v>
          </cell>
          <cell r="H1144">
            <v>0</v>
          </cell>
        </row>
        <row r="1145">
          <cell r="C1145" t="str">
            <v>Свининников Василий Александрович</v>
          </cell>
          <cell r="D1145" t="str">
            <v xml:space="preserve">Водитель погрузчиков,занятые погрузкой горной массы  </v>
          </cell>
          <cell r="E1145" t="str">
            <v>ЦН2010555 977570</v>
          </cell>
          <cell r="F1145">
            <v>2717.7</v>
          </cell>
          <cell r="G1145">
            <v>2304.4899999999998</v>
          </cell>
          <cell r="H1145">
            <v>0</v>
          </cell>
        </row>
        <row r="1146">
          <cell r="C1146" t="str">
            <v>Фильченко Сергей Михайлович</v>
          </cell>
          <cell r="D1146" t="str">
            <v xml:space="preserve">Водитель погрузчиков,занятые погрузкой горной массы  </v>
          </cell>
          <cell r="E1146" t="str">
            <v>ВЛ2010086 553693</v>
          </cell>
          <cell r="F1146">
            <v>2717.7</v>
          </cell>
          <cell r="G1146">
            <v>2303.4899999999998</v>
          </cell>
          <cell r="H1146">
            <v>0</v>
          </cell>
        </row>
        <row r="1147">
          <cell r="H1147">
            <v>0</v>
          </cell>
        </row>
        <row r="1148">
          <cell r="C1148" t="str">
            <v>Агафонов Андрей Андреевич</v>
          </cell>
          <cell r="D1148" t="str">
            <v>Водитель автомобиля</v>
          </cell>
          <cell r="E1148" t="str">
            <v>ГЕ2010108 884945</v>
          </cell>
          <cell r="F1148">
            <v>2717.7</v>
          </cell>
          <cell r="G1148">
            <v>2303.4899999999998</v>
          </cell>
          <cell r="H1148">
            <v>0</v>
          </cell>
        </row>
        <row r="1149">
          <cell r="C1149" t="str">
            <v>Жердев Руслан Геннадьевич</v>
          </cell>
          <cell r="D1149" t="str">
            <v>Водитель автомобиля</v>
          </cell>
          <cell r="E1149" t="str">
            <v>АЕ2010030 526812</v>
          </cell>
          <cell r="F1149">
            <v>2717.7</v>
          </cell>
          <cell r="G1149">
            <v>2303.4899999999998</v>
          </cell>
          <cell r="H1149">
            <v>0</v>
          </cell>
        </row>
        <row r="1150">
          <cell r="C1150" t="str">
            <v>Малухов Роман Сергеевич</v>
          </cell>
          <cell r="D1150" t="str">
            <v>Водитель автомобиля</v>
          </cell>
          <cell r="E1150" t="str">
            <v>ВЛ2010086 583836</v>
          </cell>
          <cell r="F1150">
            <v>1933.4</v>
          </cell>
          <cell r="G1150">
            <v>1638.82</v>
          </cell>
          <cell r="H1150">
            <v>0</v>
          </cell>
        </row>
        <row r="1151">
          <cell r="C1151" t="str">
            <v>Скрыпаль Андрей Викторович</v>
          </cell>
          <cell r="D1151" t="str">
            <v>Водитель автомобиля</v>
          </cell>
          <cell r="E1151" t="str">
            <v>ВЛ2010086 246519</v>
          </cell>
          <cell r="F1151">
            <v>2717.7</v>
          </cell>
          <cell r="G1151">
            <v>2303.4899999999998</v>
          </cell>
          <cell r="H1151">
            <v>0</v>
          </cell>
        </row>
        <row r="1152">
          <cell r="C1152" t="str">
            <v>Фищенко Александр Михайлович</v>
          </cell>
          <cell r="D1152" t="str">
            <v>Водитель автомобиля</v>
          </cell>
          <cell r="E1152" t="str">
            <v>ГЕ2010108 885331</v>
          </cell>
          <cell r="F1152">
            <v>1933.4</v>
          </cell>
          <cell r="G1152">
            <v>1638.82</v>
          </cell>
          <cell r="H1152">
            <v>0</v>
          </cell>
        </row>
        <row r="1153">
          <cell r="C1153" t="str">
            <v>Яньшин Александр Егорович</v>
          </cell>
          <cell r="D1153" t="str">
            <v>Водитель автомобиля</v>
          </cell>
          <cell r="E1153" t="str">
            <v>ВЛ2010086 248934</v>
          </cell>
          <cell r="F1153">
            <v>2848.3</v>
          </cell>
          <cell r="G1153">
            <v>2414.16</v>
          </cell>
          <cell r="H1153">
            <v>0</v>
          </cell>
        </row>
        <row r="1154">
          <cell r="H1154">
            <v>0</v>
          </cell>
        </row>
        <row r="1155">
          <cell r="C1155" t="str">
            <v>Рожновский Владимир Николаевич</v>
          </cell>
          <cell r="D1155" t="str">
            <v>Водитель автомобиля</v>
          </cell>
          <cell r="E1155" t="str">
            <v>АЕ2010030 526938</v>
          </cell>
          <cell r="F1155">
            <v>2717.7</v>
          </cell>
          <cell r="G1155">
            <v>2303.4899999999998</v>
          </cell>
          <cell r="H1155">
            <v>0</v>
          </cell>
        </row>
        <row r="1156">
          <cell r="H1156">
            <v>0</v>
          </cell>
        </row>
        <row r="1157">
          <cell r="C1157" t="str">
            <v>Костин Валерий Павлович</v>
          </cell>
          <cell r="D1157" t="str">
            <v>Водитель автобуса</v>
          </cell>
          <cell r="E1157" t="str">
            <v>ГБ2010104 622585</v>
          </cell>
          <cell r="F1157">
            <v>1410.4</v>
          </cell>
          <cell r="G1157">
            <v>1195.5999999999999</v>
          </cell>
          <cell r="H1157">
            <v>0</v>
          </cell>
        </row>
        <row r="1158">
          <cell r="H1158">
            <v>0</v>
          </cell>
        </row>
        <row r="1159">
          <cell r="H1159">
            <v>0</v>
          </cell>
        </row>
        <row r="1160">
          <cell r="C1160" t="str">
            <v>Мажугин Александр Петрович</v>
          </cell>
          <cell r="D1160" t="str">
            <v>Механик автомобильной колонны</v>
          </cell>
          <cell r="E1160" t="str">
            <v>ВЛ2010086 032678</v>
          </cell>
          <cell r="F1160">
            <v>2587</v>
          </cell>
          <cell r="G1160">
            <v>2193.5300000000002</v>
          </cell>
          <cell r="H1160">
            <v>0</v>
          </cell>
        </row>
        <row r="1161">
          <cell r="H1161">
            <v>0</v>
          </cell>
        </row>
        <row r="1162">
          <cell r="C1162" t="str">
            <v>Головченко Сергей Евгеньевич</v>
          </cell>
          <cell r="D1162" t="str">
            <v>Слесарь по ремонту автомобилей</v>
          </cell>
          <cell r="E1162" t="str">
            <v>ЦН2010555 973048</v>
          </cell>
          <cell r="F1162">
            <v>2717.7</v>
          </cell>
          <cell r="G1162">
            <v>2303.4899999999998</v>
          </cell>
          <cell r="H1162">
            <v>0</v>
          </cell>
        </row>
        <row r="1163">
          <cell r="C1163" t="str">
            <v>Усанов Михаил Юрьевич</v>
          </cell>
          <cell r="D1163" t="str">
            <v>Слесарь по ремонту автомобилей</v>
          </cell>
          <cell r="E1163" t="str">
            <v>ВЛ2010086 552290</v>
          </cell>
          <cell r="F1163">
            <v>1759.2</v>
          </cell>
          <cell r="G1163">
            <v>1491.2</v>
          </cell>
          <cell r="H1163">
            <v>0</v>
          </cell>
        </row>
        <row r="1164">
          <cell r="H1164">
            <v>0</v>
          </cell>
        </row>
        <row r="1165">
          <cell r="C1165" t="str">
            <v>Горохова Алена Николаевна</v>
          </cell>
          <cell r="D1165" t="str">
            <v>Инженер-лаборант</v>
          </cell>
          <cell r="E1165" t="str">
            <v>ЕВ2010156 957659</v>
          </cell>
          <cell r="F1165">
            <v>2848.3</v>
          </cell>
          <cell r="G1165">
            <v>2414.16</v>
          </cell>
          <cell r="H1165">
            <v>2879.42</v>
          </cell>
        </row>
        <row r="1166">
          <cell r="E1166" t="str">
            <v>ЕВ2010156 957658</v>
          </cell>
          <cell r="F1166">
            <v>3397.3</v>
          </cell>
          <cell r="G1166">
            <v>2879.42</v>
          </cell>
          <cell r="H1166">
            <v>0</v>
          </cell>
        </row>
        <row r="1167">
          <cell r="C1167" t="str">
            <v>Карпенко Любовь Валентиновна</v>
          </cell>
          <cell r="D1167" t="str">
            <v>Инженер II категории</v>
          </cell>
          <cell r="E1167" t="str">
            <v>5556126 354551</v>
          </cell>
          <cell r="F1167">
            <v>2616.3000000000002</v>
          </cell>
          <cell r="G1167">
            <v>2217.1999999999998</v>
          </cell>
          <cell r="H1167">
            <v>2217.1999999999998</v>
          </cell>
        </row>
        <row r="1168">
          <cell r="E1168" t="str">
            <v>823612 505401</v>
          </cell>
          <cell r="F1168">
            <v>2616.3000000000002</v>
          </cell>
          <cell r="G1168">
            <v>2217.1999999999998</v>
          </cell>
          <cell r="H1168">
            <v>0</v>
          </cell>
        </row>
        <row r="1175">
          <cell r="H1175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ах(б)"/>
      <sheetName val="эл т"/>
      <sheetName val="вах(т)"/>
      <sheetName val="#ССЫЛКА"/>
      <sheetName val="июнь ТО-45"/>
      <sheetName val="C.с  (2)"/>
      <sheetName val="инд. 2кв. 09г. ДОП 1"/>
    </sheetNames>
    <sheetDataSet>
      <sheetData sheetId="0" refreshError="1">
        <row r="37">
          <cell r="E37">
            <v>15856.866666666667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роги"/>
      <sheetName val="Сети"/>
      <sheetName val="Площадки"/>
      <sheetName val="база"/>
      <sheetName val="Коэффициенты"/>
    </sheetNames>
    <sheetDataSet>
      <sheetData sheetId="0" refreshError="1"/>
      <sheetData sheetId="1"/>
      <sheetData sheetId="2" refreshError="1"/>
      <sheetData sheetId="3">
        <row r="1">
          <cell r="A1" t="str">
            <v xml:space="preserve"> </v>
          </cell>
          <cell r="E1" t="str">
            <v xml:space="preserve"> </v>
          </cell>
        </row>
        <row r="2">
          <cell r="A2" t="str">
            <v>ООО "Институт Каналстройпроект"</v>
          </cell>
          <cell r="E2" t="str">
            <v>Моськин В.А.</v>
          </cell>
          <cell r="G2" t="str">
            <v>Исполнительная смета № 1</v>
          </cell>
          <cell r="J2" t="str">
            <v>стадия П</v>
          </cell>
        </row>
        <row r="3">
          <cell r="A3" t="str">
            <v>ЗАО "Капстройпроект"</v>
          </cell>
          <cell r="E3" t="str">
            <v>Лысов А.Е.</v>
          </cell>
          <cell r="G3" t="str">
            <v>Cмета № 1</v>
          </cell>
          <cell r="J3" t="str">
            <v>стадия РД</v>
          </cell>
        </row>
        <row r="4">
          <cell r="A4" t="str">
            <v>ООО "Каналсетьпроект"</v>
          </cell>
          <cell r="E4" t="str">
            <v>Четыркина Г.В.</v>
          </cell>
          <cell r="G4" t="str">
            <v>Исполнительная смета № 2</v>
          </cell>
        </row>
        <row r="5">
          <cell r="A5" t="str">
            <v>ЗАО "Гендирекция Центр"</v>
          </cell>
          <cell r="E5" t="str">
            <v>Шлячков Д.</v>
          </cell>
          <cell r="G5" t="str">
            <v>Cмета № 2</v>
          </cell>
        </row>
        <row r="6">
          <cell r="A6" t="str">
            <v>ЗАО "ТУКС - 4"</v>
          </cell>
          <cell r="E6" t="str">
            <v>Шувалов Д.Ю.</v>
          </cell>
          <cell r="G6" t="str">
            <v>Исполнительная смета № 3</v>
          </cell>
        </row>
        <row r="7">
          <cell r="A7" t="str">
            <v>ЗАО "ТУКС - 2"</v>
          </cell>
          <cell r="E7" t="str">
            <v>Сагаев Р.Б.</v>
          </cell>
          <cell r="G7" t="str">
            <v>Cмета № 3</v>
          </cell>
        </row>
        <row r="8">
          <cell r="A8" t="str">
            <v>ЗАО "ТУКС - 1"</v>
          </cell>
        </row>
        <row r="9">
          <cell r="A9" t="str">
            <v>ЗАО "ТУКС - 3"</v>
          </cell>
        </row>
        <row r="10">
          <cell r="A10" t="str">
            <v>ЗАО "ТУКС № 7 ЮВ"</v>
          </cell>
        </row>
        <row r="11">
          <cell r="A11" t="str">
            <v>ГУП "Моссвет"</v>
          </cell>
        </row>
        <row r="12">
          <cell r="A12" t="str">
            <v>ЗАО "Альстрой"</v>
          </cell>
        </row>
        <row r="13">
          <cell r="A13" t="str">
            <v>ООО "Архинж"</v>
          </cell>
        </row>
        <row r="14">
          <cell r="A14" t="str">
            <v>МГУП "Мосводоканал УКС ГТС"</v>
          </cell>
        </row>
        <row r="15">
          <cell r="A15" t="str">
            <v>ПУНС МГП "Мосводоканал"</v>
          </cell>
        </row>
        <row r="16">
          <cell r="A16" t="str">
            <v>ЗАО "УКС"</v>
          </cell>
        </row>
        <row r="17">
          <cell r="A17" t="str">
            <v>ЗАО "УКС объектов здравоохранения"</v>
          </cell>
        </row>
        <row r="18">
          <cell r="A18" t="str">
            <v>ООО "Зеленоградкапстрой"</v>
          </cell>
        </row>
        <row r="19">
          <cell r="A19" t="str">
            <v>ГУП МНИИП "Моспроект-4"</v>
          </cell>
        </row>
        <row r="20">
          <cell r="A20" t="str">
            <v>ЗАО "Дон-строй"</v>
          </cell>
        </row>
        <row r="21">
          <cell r="A21" t="str">
            <v>ООО "Региональная финансово-строительная компания"</v>
          </cell>
        </row>
        <row r="22">
          <cell r="A22" t="str">
            <v>ООО "ПИК Инвест"</v>
          </cell>
        </row>
        <row r="23">
          <cell r="A23" t="str">
            <v>ЗАО "Инвестстрой"</v>
          </cell>
        </row>
        <row r="24">
          <cell r="A24" t="str">
            <v>ООО  ОКС "СУ-155"</v>
          </cell>
        </row>
        <row r="25">
          <cell r="A25" t="str">
            <v>ООО "Фирма Вершина"</v>
          </cell>
        </row>
        <row r="26">
          <cell r="A26" t="str">
            <v>ООО "АПЦ "Проспроект"</v>
          </cell>
        </row>
        <row r="27">
          <cell r="A27" t="str">
            <v>ОАО "Метрогипротранс"</v>
          </cell>
        </row>
        <row r="28">
          <cell r="A28" t="str">
            <v>ООО ПСФ "КРОСТ"</v>
          </cell>
        </row>
        <row r="29">
          <cell r="A29" t="str">
            <v>УКС ГУП "Мосгаз"</v>
          </cell>
        </row>
        <row r="30">
          <cell r="A30" t="str">
            <v>ООО "Межрегиональный союз строителей"</v>
          </cell>
        </row>
        <row r="31">
          <cell r="A31" t="str">
            <v>ООО "Жилкапстрой"</v>
          </cell>
        </row>
        <row r="32">
          <cell r="A32" t="str">
            <v>ЗАО "УКС ИКС и Д"</v>
          </cell>
        </row>
        <row r="33">
          <cell r="A33" t="str">
            <v>ГУП "Мосинжпроект"</v>
          </cell>
        </row>
        <row r="34">
          <cell r="A34" t="str">
            <v>ООО "Жилкапстрой"</v>
          </cell>
        </row>
        <row r="35">
          <cell r="A35" t="str">
            <v>ООО "СветоСервиС"</v>
          </cell>
        </row>
        <row r="36">
          <cell r="A36" t="str">
            <v>ООО "МНПП СВЭН"</v>
          </cell>
        </row>
        <row r="37">
          <cell r="A37" t="str">
            <v>ЗАО "СОРВиК"</v>
          </cell>
        </row>
        <row r="38">
          <cell r="A38" t="str">
            <v>ЗАО "ИНЖПРОЕКТСЕРВИС"</v>
          </cell>
        </row>
        <row r="39">
          <cell r="A39" t="str">
            <v>ЗАО "ИНСТИТУТ ПРОМОС"</v>
          </cell>
        </row>
        <row r="40">
          <cell r="A40" t="str">
            <v>ЗАО "УКС КБН"</v>
          </cell>
        </row>
        <row r="41">
          <cell r="A41" t="str">
            <v>ЗАО "ГЕОТОК"</v>
          </cell>
        </row>
        <row r="42">
          <cell r="A42" t="str">
            <v>ЗАО "ММА + Фицрой Робинсон Интернэшенл"</v>
          </cell>
        </row>
        <row r="43">
          <cell r="A43" t="str">
            <v>ЗАО "МОСПРОМСТРОЙ" ФИРМА "АРС"</v>
          </cell>
        </row>
        <row r="44">
          <cell r="A44" t="str">
            <v>Архитектурно-проектная мастерская ООО "Малая Студия"</v>
          </cell>
        </row>
        <row r="45">
          <cell r="A45" t="str">
            <v>ООО "ТУКС МОСПРОМСТРОЙ"</v>
          </cell>
        </row>
        <row r="46">
          <cell r="A46" t="str">
            <v>ГУП "МНИИТЭП"</v>
          </cell>
        </row>
        <row r="47">
          <cell r="A47" t="str">
            <v>НПО "КОСМОС"</v>
          </cell>
        </row>
        <row r="48">
          <cell r="A48" t="str">
            <v>ООО "ПРОК - энерго 2001"</v>
          </cell>
        </row>
        <row r="49">
          <cell r="A49" t="str">
            <v>ОАО "УКС НАУКА"</v>
          </cell>
        </row>
        <row r="50">
          <cell r="A50" t="str">
            <v>ГУП "МосводоканалНИИпроект"</v>
          </cell>
        </row>
        <row r="51">
          <cell r="A51" t="str">
            <v>ФГУП «Институт общественных зданий»</v>
          </cell>
        </row>
        <row r="52">
          <cell r="A52" t="str">
            <v>ОАО "СТРОЙПРОЕКТ"</v>
          </cell>
        </row>
        <row r="53">
          <cell r="A53" t="str">
            <v>ЗАО "ИНВЕСТСТРОЙ"</v>
          </cell>
        </row>
        <row r="54">
          <cell r="A54" t="str">
            <v>ЗАО "СТРОЙИНДУСТРИЯ"</v>
          </cell>
        </row>
      </sheetData>
      <sheetData sheetId="4">
        <row r="1">
          <cell r="A1" t="str">
            <v xml:space="preserve"> </v>
          </cell>
        </row>
        <row r="2">
          <cell r="A2" t="str">
            <v>1,1</v>
          </cell>
        </row>
        <row r="3">
          <cell r="A3" t="str">
            <v>1,25</v>
          </cell>
        </row>
        <row r="4">
          <cell r="A4" t="str">
            <v>1,43</v>
          </cell>
        </row>
        <row r="5">
          <cell r="A5" t="str">
            <v>1,67</v>
          </cell>
        </row>
        <row r="6">
          <cell r="A6" t="str">
            <v>2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"/>
      <sheetName val="ПИР"/>
      <sheetName val="ПИР т"/>
      <sheetName val="П.з. л. c"/>
      <sheetName val="зим"/>
      <sheetName val="C.с "/>
      <sheetName val="Сод.р.в."/>
      <sheetName val="П.з.р.в."/>
      <sheetName val="сод"/>
      <sheetName val="Лист1"/>
      <sheetName val="Обстановка дороги"/>
      <sheetName val="Автопавильон"/>
      <sheetName val="Дорожная одежда"/>
      <sheetName val="Вертик.планировка"/>
      <sheetName val=" Подготовительные работы"/>
      <sheetName val="Врем.здания"/>
      <sheetName val="Земляное полотно"/>
      <sheetName val="Зима"/>
      <sheetName val="Объездные дороги"/>
      <sheetName val="Озеленение"/>
      <sheetName val="Пересечения и примыкания"/>
      <sheetName val="Рекультивация"/>
      <sheetName val="Искусственные сооружения"/>
      <sheetName val="К.С.М. (ПУТ)"/>
      <sheetName val="цены_азот"/>
    </sheetNames>
    <sheetDataSet>
      <sheetData sheetId="0" refreshError="1"/>
      <sheetData sheetId="1"/>
      <sheetData sheetId="2">
        <row r="33">
          <cell r="P33">
            <v>77.190000000000012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"/>
      <sheetName val="зим"/>
      <sheetName val="эл"/>
      <sheetName val="вах"/>
      <sheetName val="П.з. л. c"/>
      <sheetName val="П.з.р.в."/>
      <sheetName val="ПИРб"/>
      <sheetName val="ПИРт"/>
      <sheetName val="Сод р.в."/>
      <sheetName val="Сод.л.см"/>
      <sheetName val="вах(б)"/>
      <sheetName val="Расчет"/>
      <sheetName val="C.с"/>
    </sheetNames>
    <sheetDataSet>
      <sheetData sheetId="0"/>
      <sheetData sheetId="1"/>
      <sheetData sheetId="2"/>
      <sheetData sheetId="3">
        <row r="18">
          <cell r="H18">
            <v>11.68</v>
          </cell>
        </row>
      </sheetData>
      <sheetData sheetId="4"/>
      <sheetData sheetId="5">
        <row r="33">
          <cell r="C33">
            <v>249.96</v>
          </cell>
        </row>
        <row r="48">
          <cell r="H48">
            <v>24.19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3"/>
      <sheetName val="Инструкция"/>
      <sheetName val="Бланк"/>
      <sheetName val="Данные"/>
    </sheetNames>
    <sheetDataSet>
      <sheetData sheetId="0">
        <row r="1">
          <cell r="J1" t="str">
            <v>18</v>
          </cell>
        </row>
        <row r="3">
          <cell r="M3" t="str">
            <v>Апрель 2014</v>
          </cell>
          <cell r="N3" t="str">
            <v>Силовое электрооборудование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"/>
      <sheetName val="Сводка ТКЛ"/>
      <sheetName val="КС-3дек"/>
      <sheetName val="Лист3"/>
      <sheetName val="143 (на сентябрь)"/>
      <sheetName val="126"/>
    </sheetNames>
    <sheetDataSet>
      <sheetData sheetId="0" refreshError="1">
        <row r="1">
          <cell r="G1" t="str">
            <v>1759и-3-59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(дор.+мост)"/>
      <sheetName val="Тр.(дор.)"/>
      <sheetName val="Тр.  (мост)"/>
      <sheetName val="Сод.л.см"/>
      <sheetName val="Сод.р.в."/>
      <sheetName val="П.з.р.в"/>
      <sheetName val="П.з.л.см"/>
      <sheetName val="C.с"/>
      <sheetName val="В.ст.дор"/>
      <sheetName val="В.ст.мост"/>
      <sheetName val="Вр"/>
      <sheetName val="зим"/>
      <sheetName val="эл"/>
      <sheetName val="ПИРб"/>
      <sheetName val="ПИРт"/>
      <sheetName val="2012(КСЛ) (2)"/>
      <sheetName val="12"/>
      <sheetName val="C.с "/>
      <sheetName val="К.С.М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9">
          <cell r="D39">
            <v>6.12</v>
          </cell>
        </row>
        <row r="92">
          <cell r="D92">
            <v>10.24</v>
          </cell>
        </row>
        <row r="123">
          <cell r="D123">
            <v>56.15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Н1_БНС"/>
      <sheetName val="ЭН2_БНС"/>
      <sheetName val="ЭН14_БНС"/>
      <sheetName val="1-1-4"/>
      <sheetName val="8-4_времен.дорога А-В"/>
      <sheetName val="2-4-9_дорога 3"/>
      <sheetName val="1-1-11_Зем.работы площадки"/>
      <sheetName val="1-1-8_островки"/>
      <sheetName val="9 навМОСТОВИК"/>
      <sheetName val="Эл.энергия без 100 кВт"/>
      <sheetName val="М2_БНС"/>
      <sheetName val="ЭН14_Ростверк"/>
      <sheetName val="ЭН14_СВСиУ"/>
      <sheetName val="ЭН15_БНС"/>
      <sheetName val="ЭН13_БНС"/>
      <sheetName val="ЭН13_СВСиУ"/>
      <sheetName val="ЭН3_БНС"/>
      <sheetName val="ЭН16_БНС"/>
      <sheetName val="Ф-2 надбавка ДВ%"/>
      <sheetName val="Ф-2 вах.метод"/>
      <sheetName val="перебазировка"/>
      <sheetName val="Аренда флота"/>
      <sheetName val="КС-3"/>
      <sheetName val="КС-3_ноябрь полная"/>
      <sheetName val="КС-3_ноябрь"/>
      <sheetName val="Реестр акто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токол ДЦ"/>
      <sheetName val="СВОД"/>
      <sheetName val="Расчет стоимости"/>
      <sheetName val="Лист1"/>
      <sheetName val="Расшифровка гр.3"/>
      <sheetName val="Разбивка ОиС работ"/>
      <sheetName val="Календарный план"/>
      <sheetName val="Расшифровка смет.стоим_сл"/>
      <sheetName val="Для КС-3"/>
      <sheetName val="Распределение_служебная"/>
      <sheetName val="КС-2 ИЮНЬ 2014"/>
      <sheetName val="КС-3 (июнь) 14"/>
      <sheetName val="КС-3 &lt;- &gt;КС-3"/>
      <sheetName val="Реестр"/>
      <sheetName val="Тр.  (мост)"/>
    </sheetNames>
    <sheetDataSet>
      <sheetData sheetId="0">
        <row r="11">
          <cell r="E11">
            <v>1581306492.8099999</v>
          </cell>
        </row>
        <row r="22">
          <cell r="E22">
            <v>113307051.39000002</v>
          </cell>
        </row>
      </sheetData>
      <sheetData sheetId="1"/>
      <sheetData sheetId="2">
        <row r="910">
          <cell r="J910">
            <v>1353380760.0050001</v>
          </cell>
          <cell r="K910">
            <v>45276057.115599997</v>
          </cell>
          <cell r="L910">
            <v>6956477.450000003</v>
          </cell>
          <cell r="M910">
            <v>15433375.630000001</v>
          </cell>
          <cell r="N910">
            <v>28369350.390000008</v>
          </cell>
          <cell r="O910">
            <v>1449416020.5906</v>
          </cell>
        </row>
      </sheetData>
      <sheetData sheetId="3">
        <row r="138">
          <cell r="M138">
            <v>0.98439548548203604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6">
          <cell r="N26" t="str">
            <v>Компенсация с НДС</v>
          </cell>
        </row>
      </sheetData>
      <sheetData sheetId="13"/>
      <sheetData sheetId="1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.з.р.в."/>
      <sheetName val="К"/>
      <sheetName val="Ф"/>
      <sheetName val="К.С.М."/>
      <sheetName val="Тр."/>
      <sheetName val="Сод р.в."/>
      <sheetName val="Сод.л.см"/>
      <sheetName val="зим"/>
      <sheetName val="C.с "/>
      <sheetName val="вах"/>
      <sheetName val="ГИБДД"/>
      <sheetName val="П.з. л. c"/>
      <sheetName val="12"/>
      <sheetName val="C.с"/>
      <sheetName val="контрагенты"/>
    </sheetNames>
    <sheetDataSet>
      <sheetData sheetId="0"/>
      <sheetData sheetId="1"/>
      <sheetData sheetId="2">
        <row r="52">
          <cell r="H52">
            <v>58.765040000000006</v>
          </cell>
        </row>
      </sheetData>
      <sheetData sheetId="3"/>
      <sheetData sheetId="4">
        <row r="35">
          <cell r="H35">
            <v>9.33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"/>
      <sheetName val="зим"/>
      <sheetName val="эл"/>
      <sheetName val="вах"/>
      <sheetName val="П.з. л. c"/>
      <sheetName val="П.з.р.в."/>
      <sheetName val="ПИРб"/>
      <sheetName val="ПИРт"/>
      <sheetName val="Сод р.в."/>
      <sheetName val="Сод.л.см"/>
      <sheetName val="C.с"/>
    </sheetNames>
    <sheetDataSet>
      <sheetData sheetId="0"/>
      <sheetData sheetId="1"/>
      <sheetData sheetId="2"/>
      <sheetData sheetId="3" refreshError="1">
        <row r="18">
          <cell r="H18">
            <v>11.68</v>
          </cell>
        </row>
        <row r="21">
          <cell r="H21">
            <v>9.64</v>
          </cell>
        </row>
        <row r="27">
          <cell r="H27">
            <v>4.5599999999999996</v>
          </cell>
        </row>
        <row r="30">
          <cell r="H30">
            <v>2.04</v>
          </cell>
        </row>
        <row r="39">
          <cell r="H39">
            <v>1.97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Тр. (2)"/>
      <sheetName val="C.с "/>
      <sheetName val="C.с  (2)"/>
      <sheetName val="C.сбаз.и"/>
      <sheetName val="Р1 (2)"/>
      <sheetName val="Р1 (И)"/>
      <sheetName val="П.з "/>
      <sheetName val="сод"/>
      <sheetName val="сод (2)"/>
      <sheetName val="сод р.в."/>
      <sheetName val="П.з  (2)"/>
      <sheetName val="П.з  (3)"/>
      <sheetName val="C.сбаз.и (РД)"/>
      <sheetName val="Ер"/>
      <sheetName val="Р1"/>
      <sheetName val="ПИР"/>
      <sheetName val="C.с  (3)"/>
      <sheetName val="ок.ср."/>
      <sheetName val="#ССЫЛКА"/>
      <sheetName val="отгр ГОК"/>
    </sheetNames>
    <sheetDataSet>
      <sheetData sheetId="0" refreshError="1"/>
      <sheetData sheetId="1"/>
      <sheetData sheetId="2"/>
      <sheetData sheetId="3">
        <row r="31">
          <cell r="H31">
            <v>2.1999999999999997</v>
          </cell>
        </row>
      </sheetData>
      <sheetData sheetId="4">
        <row r="31">
          <cell r="H31">
            <v>2.1999999999999997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Е.р."/>
      <sheetName val="К"/>
      <sheetName val="Ф"/>
      <sheetName val="К.С.М."/>
      <sheetName val="Тр."/>
      <sheetName val="Р1"/>
      <sheetName val="Р2"/>
      <sheetName val="Р2 (2)"/>
      <sheetName val="Р3"/>
      <sheetName val="C.с"/>
      <sheetName val="C.с (2)"/>
      <sheetName val="C.с (3)"/>
      <sheetName val="Сод"/>
      <sheetName val="П.з"/>
      <sheetName val="ПИР"/>
      <sheetName val="Тр. (2)"/>
      <sheetName val="Консолидированный"/>
    </sheetNames>
    <sheetDataSet>
      <sheetData sheetId="0"/>
      <sheetData sheetId="1"/>
      <sheetData sheetId="2"/>
      <sheetData sheetId="3"/>
      <sheetData sheetId="4"/>
      <sheetData sheetId="5">
        <row r="27">
          <cell r="H27">
            <v>2.41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.С.М."/>
      <sheetName val="Тр."/>
      <sheetName val="сод"/>
      <sheetName val="ПИРБ"/>
      <sheetName val="C.с  Б"/>
      <sheetName val="врБ"/>
      <sheetName val="зимБ"/>
      <sheetName val="вах"/>
      <sheetName val="Тр.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р"/>
      <sheetName val="К"/>
      <sheetName val="Ф"/>
      <sheetName val="К.С.М."/>
      <sheetName val="Тр."/>
      <sheetName val="Тр. (2)"/>
      <sheetName val="C.с "/>
      <sheetName val="Р1"/>
      <sheetName val="Р1 (2)"/>
      <sheetName val="ПИР"/>
      <sheetName val="П.з "/>
      <sheetName val="C.с  (2)"/>
      <sheetName val="C.с  (3)"/>
      <sheetName val="ок.ср."/>
      <sheetName val="сод"/>
      <sheetName val="C.сбаз.и"/>
      <sheetName val="Р1 (И)"/>
      <sheetName val="сод (2)"/>
      <sheetName val="сод р.в."/>
      <sheetName val="П.з  (2)"/>
      <sheetName val="П.з  (3)"/>
      <sheetName val="#ССЫЛКА"/>
      <sheetName val="отгр ГОК"/>
    </sheetNames>
    <sheetDataSet>
      <sheetData sheetId="0"/>
      <sheetData sheetId="1"/>
      <sheetData sheetId="2"/>
      <sheetData sheetId="3"/>
      <sheetData sheetId="4">
        <row r="31">
          <cell r="H31">
            <v>2.1999999999999997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3"/>
      <sheetName val="Данные"/>
    </sheetNames>
    <sheetDataSet>
      <sheetData sheetId="0"/>
      <sheetData sheetId="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ource"/>
      <sheetName val="SmtRes"/>
      <sheetName val="ClcRes"/>
      <sheetName val="РЕЕСТР"/>
      <sheetName val="Тр."/>
      <sheetName val="К.С.М."/>
    </sheetNames>
    <sheetDataSet>
      <sheetData sheetId="0">
        <row r="414">
          <cell r="B414" t="str">
            <v>Всего</v>
          </cell>
          <cell r="J414">
            <v>1304025.2641999999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.см.дор"/>
      <sheetName val="зим Д"/>
      <sheetName val="об.см.пут"/>
      <sheetName val="зимП"/>
      <sheetName val="об.см.эл."/>
      <sheetName val="Сод. к ч.4"/>
      <sheetName val="Сод. к ч.3"/>
      <sheetName val="Сод. к ч.2"/>
      <sheetName val="Сод. к ч.1"/>
      <sheetName val="ПИРб"/>
      <sheetName val="ПИРт"/>
      <sheetName val="К"/>
      <sheetName val="Ф"/>
      <sheetName val="Тощ.бет."/>
      <sheetName val="К.С.М."/>
      <sheetName val="К.С.М. (ПУТ)"/>
      <sheetName val="Тр.(пут)"/>
      <sheetName val="Тр.(дорога)"/>
      <sheetName val="зим"/>
      <sheetName val="C.с"/>
      <sheetName val="П.з. л. c"/>
      <sheetName val="П.з.р.в."/>
      <sheetName val="Лист1"/>
      <sheetName val="Тр.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м"/>
      <sheetName val="К.С.М. (ПУТ)"/>
      <sheetName val="Тощ.бет."/>
      <sheetName val="К.С.М."/>
      <sheetName val="Тр.(дорога)"/>
      <sheetName val="Тр.(пут)"/>
      <sheetName val="ПИР"/>
      <sheetName val="зим"/>
      <sheetName val="C.с"/>
      <sheetName val="Сод.л.см"/>
      <sheetName val="П.з.л.см. "/>
      <sheetName val="П.з.р.в."/>
      <sheetName val="C.с  (2)"/>
    </sheetNames>
    <sheetDataSet>
      <sheetData sheetId="0"/>
      <sheetData sheetId="1">
        <row r="17">
          <cell r="H17">
            <v>16.07</v>
          </cell>
        </row>
        <row r="22">
          <cell r="H22">
            <v>335.33</v>
          </cell>
        </row>
        <row r="24">
          <cell r="H24">
            <v>72.89</v>
          </cell>
        </row>
        <row r="26">
          <cell r="H26">
            <v>14.31</v>
          </cell>
        </row>
        <row r="28">
          <cell r="H28">
            <v>38.82</v>
          </cell>
        </row>
        <row r="30">
          <cell r="H30">
            <v>45.74</v>
          </cell>
        </row>
        <row r="32">
          <cell r="H32">
            <v>42.26</v>
          </cell>
        </row>
        <row r="34">
          <cell r="H34">
            <v>48.3</v>
          </cell>
        </row>
        <row r="36">
          <cell r="H36">
            <v>72.239999999999995</v>
          </cell>
        </row>
        <row r="38">
          <cell r="H38">
            <v>75.37</v>
          </cell>
        </row>
        <row r="40">
          <cell r="H40">
            <v>55.67</v>
          </cell>
        </row>
        <row r="42">
          <cell r="H42">
            <v>44.14</v>
          </cell>
        </row>
      </sheetData>
      <sheetData sheetId="2">
        <row r="86">
          <cell r="P86">
            <v>29.44</v>
          </cell>
        </row>
        <row r="90">
          <cell r="P90">
            <v>32.39</v>
          </cell>
        </row>
        <row r="94">
          <cell r="P94">
            <v>38.200000000000003</v>
          </cell>
        </row>
        <row r="98">
          <cell r="P98">
            <v>34.200000000000003</v>
          </cell>
        </row>
        <row r="102">
          <cell r="P102">
            <v>37.200000000000003</v>
          </cell>
        </row>
        <row r="106">
          <cell r="P106">
            <v>10.64</v>
          </cell>
        </row>
        <row r="110">
          <cell r="P110">
            <v>10.39</v>
          </cell>
        </row>
        <row r="113">
          <cell r="P113">
            <v>12.18</v>
          </cell>
        </row>
      </sheetData>
      <sheetData sheetId="3"/>
      <sheetData sheetId="4"/>
      <sheetData sheetId="5"/>
      <sheetData sheetId="6">
        <row r="17">
          <cell r="P17">
            <v>3.08</v>
          </cell>
        </row>
        <row r="20">
          <cell r="P20">
            <v>2.61</v>
          </cell>
        </row>
        <row r="23">
          <cell r="P23">
            <v>3.21</v>
          </cell>
        </row>
        <row r="26">
          <cell r="P26">
            <v>5.14</v>
          </cell>
        </row>
        <row r="29">
          <cell r="P29">
            <v>8.34</v>
          </cell>
        </row>
        <row r="35">
          <cell r="P35">
            <v>10.36</v>
          </cell>
        </row>
        <row r="38">
          <cell r="P38">
            <v>5.0199999999999996</v>
          </cell>
        </row>
        <row r="41">
          <cell r="P41">
            <v>4.87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.С.М."/>
      <sheetName val="Ер"/>
      <sheetName val="К"/>
      <sheetName val="Ф"/>
      <sheetName val="Тр."/>
      <sheetName val="Тр. (2)"/>
      <sheetName val="а.б. 1 м"/>
      <sheetName val="битум"/>
      <sheetName val="Р1 "/>
      <sheetName val="ПИР"/>
      <sheetName val="Р2"/>
      <sheetName val="C.с "/>
      <sheetName val="C.с  (2)"/>
      <sheetName val="C.с  (4)"/>
      <sheetName val="П.з "/>
      <sheetName val="С.с зам"/>
      <sheetName val="зим.зам"/>
      <sheetName val="П.з  (2)"/>
      <sheetName val="Ведомость потр.рес."/>
      <sheetName val="Распределение"/>
      <sheetName val="К.С.М. (ПУТ)"/>
      <sheetName val="цены"/>
      <sheetName val="Лист1"/>
    </sheetNames>
    <sheetDataSet>
      <sheetData sheetId="0" refreshError="1">
        <row r="159">
          <cell r="P159">
            <v>12.82</v>
          </cell>
        </row>
        <row r="163">
          <cell r="P163">
            <v>7.339999999999999</v>
          </cell>
        </row>
        <row r="167">
          <cell r="P167">
            <v>17.14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"/>
      <sheetName val="ПИР"/>
      <sheetName val="ПИР т"/>
      <sheetName val="П.з. л. c"/>
      <sheetName val="зим"/>
      <sheetName val="C.с "/>
      <sheetName val="Сод.р.в."/>
      <sheetName val="П.з.р.в."/>
      <sheetName val="сод"/>
      <sheetName val="К.С.М. (ПУТ)"/>
      <sheetName val="цены_азот"/>
    </sheetNames>
    <sheetDataSet>
      <sheetData sheetId="0"/>
      <sheetData sheetId="1"/>
      <sheetData sheetId="2">
        <row r="33">
          <cell r="P33">
            <v>77.190000000000012</v>
          </cell>
        </row>
        <row r="64">
          <cell r="P64">
            <v>18.95</v>
          </cell>
        </row>
        <row r="68">
          <cell r="P68">
            <v>19.45</v>
          </cell>
        </row>
        <row r="83">
          <cell r="P83">
            <v>8.4</v>
          </cell>
        </row>
        <row r="87">
          <cell r="P87">
            <v>10.29</v>
          </cell>
        </row>
        <row r="91">
          <cell r="P91">
            <v>3.03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сод.л.см."/>
      <sheetName val="зим Б"/>
      <sheetName val="П.з"/>
      <sheetName val="ПИР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ч. щ. 1"/>
      <sheetName val="ч. щ. 2"/>
      <sheetName val="К.С.М."/>
      <sheetName val="Тр."/>
      <sheetName val="Тр.(ж.д.)"/>
      <sheetName val="зим."/>
      <sheetName val="вах"/>
      <sheetName val="окно"/>
      <sheetName val="вр"/>
      <sheetName val="C.с"/>
      <sheetName val="П.з.л.см"/>
      <sheetName val="П.з.р.в"/>
      <sheetName val="Сод.л.см"/>
      <sheetName val="Сод.р.в."/>
      <sheetName val="отгр ГОК"/>
    </sheetNames>
    <sheetDataSet>
      <sheetData sheetId="0" refreshError="1"/>
      <sheetData sheetId="1">
        <row r="57">
          <cell r="H57">
            <v>136.85</v>
          </cell>
        </row>
      </sheetData>
      <sheetData sheetId="2" refreshError="1"/>
      <sheetData sheetId="3" refreshError="1"/>
      <sheetData sheetId="4">
        <row r="319">
          <cell r="P319">
            <v>10.35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ж.д."/>
      <sheetName val="сод"/>
      <sheetName val="ПИРБ"/>
      <sheetName val="C.с  Б"/>
      <sheetName val="зимБ"/>
      <sheetName val="вах"/>
      <sheetName val="вр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ч. щ. 1"/>
      <sheetName val="ч. щ. 2"/>
      <sheetName val="К.С.М."/>
      <sheetName val="Тр."/>
      <sheetName val="Тр.(ж.д.)"/>
      <sheetName val="зим."/>
      <sheetName val="вах"/>
      <sheetName val="окно"/>
      <sheetName val="вр"/>
      <sheetName val="C.с"/>
      <sheetName val="П.з.л.см"/>
      <sheetName val="П.з.р.в"/>
      <sheetName val="Сод.л.см"/>
      <sheetName val="Сод.р.в."/>
      <sheetName val="коэф"/>
    </sheetNames>
    <sheetDataSet>
      <sheetData sheetId="0"/>
      <sheetData sheetId="1"/>
      <sheetData sheetId="2"/>
      <sheetData sheetId="3"/>
      <sheetData sheetId="4">
        <row r="354">
          <cell r="P354">
            <v>15.41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.з.р.в."/>
      <sheetName val="К"/>
      <sheetName val="Ф"/>
      <sheetName val="К.С.М."/>
      <sheetName val="Тр."/>
      <sheetName val="Сод р.в."/>
      <sheetName val="Сод.л.см"/>
      <sheetName val="зим"/>
      <sheetName val="C.с "/>
      <sheetName val="вах"/>
      <sheetName val="ГИБДД"/>
      <sheetName val="П.з. л. c"/>
    </sheetNames>
    <sheetDataSet>
      <sheetData sheetId="0"/>
      <sheetData sheetId="1"/>
      <sheetData sheetId="2"/>
      <sheetData sheetId="3">
        <row r="51">
          <cell r="P51">
            <v>8.94</v>
          </cell>
        </row>
        <row r="78">
          <cell r="P78">
            <v>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3"/>
      <sheetName val="зимтек"/>
      <sheetName val="C.с тек"/>
      <sheetName val="ф2"/>
      <sheetName val="ф8"/>
      <sheetName val="ф9"/>
      <sheetName val="ф10"/>
      <sheetName val="C.с тек ЭЛ"/>
      <sheetName val="К.С.М."/>
      <sheetName val="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Ф (177)"/>
      <sheetName val="К.С.М."/>
      <sheetName val="Тр"/>
      <sheetName val="зим"/>
      <sheetName val="C.с"/>
      <sheetName val="П.з. л. c"/>
      <sheetName val="П.з.р.в."/>
      <sheetName val="окно"/>
      <sheetName val="ПИРб"/>
      <sheetName val="ПИР т"/>
      <sheetName val="Сод р.в."/>
      <sheetName val="Сод.л.см"/>
      <sheetName val="ф9"/>
      <sheetName val="ф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Лист1"/>
      <sheetName val="Source"/>
      <sheetName val="SmtRes"/>
      <sheetName val="ClcRes"/>
      <sheetName val="ф9"/>
      <sheetName val="ф10"/>
      <sheetName val="К.С.М.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м"/>
      <sheetName val="К.С.М. (ПУТ)"/>
      <sheetName val="Тощ.бет."/>
      <sheetName val="К.С.М."/>
      <sheetName val="Тр.(дорога)"/>
      <sheetName val="Тр.(пут)"/>
      <sheetName val="ПИР"/>
      <sheetName val="зим"/>
      <sheetName val="C.с"/>
      <sheetName val="Сод.л.см"/>
      <sheetName val="П.з.л.см. "/>
      <sheetName val="П.з.р.в."/>
    </sheetNames>
    <sheetDataSet>
      <sheetData sheetId="0"/>
      <sheetData sheetId="1"/>
      <sheetData sheetId="2"/>
      <sheetData sheetId="3"/>
      <sheetData sheetId="4"/>
      <sheetData sheetId="5"/>
      <sheetData sheetId="6">
        <row r="32">
          <cell r="P32">
            <v>10.23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2 нов (2)"/>
      <sheetName val="сод.т.ц."/>
      <sheetName val="Изопласт"/>
      <sheetName val="C.с"/>
      <sheetName val="C.с (2)"/>
      <sheetName val="врБ"/>
      <sheetName val="врБ (2)"/>
      <sheetName val="врТ"/>
      <sheetName val="зимБ"/>
      <sheetName val="зимБ (2)"/>
      <sheetName val="зимТ"/>
      <sheetName val="Возврат"/>
      <sheetName val="экспертиза"/>
      <sheetName val="ПИР"/>
      <sheetName val="перБ"/>
      <sheetName val="перТ"/>
      <sheetName val="К.С.М."/>
      <sheetName val="Ф"/>
      <sheetName val="ф9"/>
      <sheetName val="ф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0">
          <cell r="F20">
            <v>145.58000000000001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ource"/>
      <sheetName val="SmtRes"/>
      <sheetName val="ClcRes"/>
      <sheetName val="К.С.М."/>
      <sheetName val="Ф"/>
    </sheetNames>
    <sheetDataSet>
      <sheetData sheetId="0">
        <row r="317">
          <cell r="B317" t="str">
            <v xml:space="preserve">Локальная смета </v>
          </cell>
          <cell r="C317" t="str">
            <v>Локальная смета 5 Укрепление откоса габионами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"/>
      <sheetName val="П.з.р.в."/>
      <sheetName val="ПИР"/>
      <sheetName val="П.з. л. c"/>
      <sheetName val="зимбаз"/>
      <sheetName val="C.с баз"/>
      <sheetName val="Зима тек"/>
      <sheetName val="C.с тек"/>
      <sheetName val="содбаз"/>
      <sheetName val="содтек"/>
      <sheetName val="ф2"/>
      <sheetName val="ф8"/>
      <sheetName val="ф9 "/>
      <sheetName val="ф10"/>
      <sheetName val="Лист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зим Б"/>
      <sheetName val="П.з"/>
      <sheetName val="ПИР"/>
      <sheetName val="сод.л.см."/>
      <sheetName val="Лист1"/>
      <sheetName val="C.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ource"/>
      <sheetName val="SmtRes"/>
      <sheetName val="ClcRes"/>
      <sheetName val="Ф"/>
      <sheetName val="ПИ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9 "/>
      <sheetName val="ф8"/>
      <sheetName val="ф2"/>
      <sheetName val="ф10"/>
      <sheetName val="Ф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2"/>
      <sheetName val="сод.т.ц."/>
      <sheetName val="Возврат"/>
      <sheetName val="зим "/>
      <sheetName val="C.с "/>
      <sheetName val="ПИР"/>
      <sheetName val="эл т "/>
      <sheetName val="Лист1"/>
      <sheetName val="ф10"/>
      <sheetName val="списки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6">
          <cell r="H86">
            <v>7289.42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x_abc4"/>
      <sheetName val="hx_abc4 (2)"/>
      <sheetName val="ф10"/>
      <sheetName val="C.с "/>
      <sheetName val="Лист1"/>
    </sheetNames>
    <sheetDataSet>
      <sheetData sheetId="0">
        <row r="20">
          <cell r="L20" t="str">
            <v>на един.</v>
          </cell>
          <cell r="M20" t="str">
            <v>всего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x_abc4"/>
      <sheetName val="C.с "/>
    </sheetNames>
    <sheetDataSet>
      <sheetData sheetId="0"/>
      <sheetData sheetId="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x_abc4"/>
      <sheetName val="C.с "/>
    </sheetNames>
    <sheetDataSet>
      <sheetData sheetId="0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 м"/>
      <sheetName val="ТрМ. "/>
      <sheetName val="вск1"/>
      <sheetName val="вск1 (2)"/>
      <sheetName val="сод"/>
      <sheetName val="П.з "/>
      <sheetName val="C.с"/>
      <sheetName val="C.сМ"/>
      <sheetName val="C.сП"/>
      <sheetName val="C.с (3)"/>
      <sheetName val="зим"/>
      <sheetName val="вр"/>
      <sheetName val="Тр.(пут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 refreshError="1">
        <row r="12">
          <cell r="G12" t="str">
            <v>12-4017-Л-Р-8.3.1-ВК-СМ1 Инженерные системы. Тонельный водопровод и водоотвод</v>
          </cell>
        </row>
        <row r="15">
          <cell r="CP15"/>
          <cell r="CQ15"/>
          <cell r="CT15"/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11.1"/>
      <sheetName val="Source"/>
      <sheetName val="SourceObSm"/>
      <sheetName val="SmtRes"/>
      <sheetName val="EtalonRes"/>
    </sheetNames>
    <sheetDataSet>
      <sheetData sheetId="0"/>
      <sheetData sheetId="1">
        <row r="1">
          <cell r="B1" t="str">
            <v>Smeta.RU  (495) 974-1589</v>
          </cell>
        </row>
        <row r="55">
          <cell r="E55" t="str">
            <v>12</v>
          </cell>
          <cell r="H55" t="str">
            <v>1 т фасонных частей</v>
          </cell>
          <cell r="I55">
            <v>2.5919999999999999E-2</v>
          </cell>
          <cell r="P55">
            <v>81.239999999999995</v>
          </cell>
          <cell r="Q55">
            <v>37.409999999999997</v>
          </cell>
          <cell r="R55">
            <v>26.17</v>
          </cell>
          <cell r="S55">
            <v>624.89</v>
          </cell>
          <cell r="U55">
            <v>1.3302843839999998</v>
          </cell>
          <cell r="X55">
            <v>624.89</v>
          </cell>
          <cell r="Y55">
            <v>281.2</v>
          </cell>
          <cell r="AC55">
            <v>681.49</v>
          </cell>
          <cell r="AE55">
            <v>39.178199999999997</v>
          </cell>
          <cell r="AF55">
            <v>932.59479999999996</v>
          </cell>
          <cell r="AL55">
            <v>681.49</v>
          </cell>
          <cell r="AM55">
            <v>97.03</v>
          </cell>
          <cell r="AN55">
            <v>23.46</v>
          </cell>
          <cell r="AO55">
            <v>558.44000000000005</v>
          </cell>
          <cell r="AQ55">
            <v>48.1</v>
          </cell>
          <cell r="AV55">
            <v>1.0669999999999999</v>
          </cell>
          <cell r="AW55">
            <v>1</v>
          </cell>
          <cell r="BA55">
            <v>24.23</v>
          </cell>
          <cell r="BB55">
            <v>10.07</v>
          </cell>
          <cell r="BC55">
            <v>4.5999999999999996</v>
          </cell>
          <cell r="BI55">
            <v>1</v>
          </cell>
          <cell r="BS55">
            <v>24.23</v>
          </cell>
          <cell r="BZ55">
            <v>100</v>
          </cell>
          <cell r="CA55">
            <v>45</v>
          </cell>
          <cell r="DD55">
            <v>0</v>
          </cell>
          <cell r="DE55">
            <v>0</v>
          </cell>
          <cell r="DG55" t="str">
            <v>*1,67</v>
          </cell>
          <cell r="DI55">
            <v>0</v>
          </cell>
          <cell r="DN55">
            <v>125</v>
          </cell>
          <cell r="DO55">
            <v>94</v>
          </cell>
          <cell r="ET55">
            <v>97.03</v>
          </cell>
          <cell r="EU55">
            <v>23.46</v>
          </cell>
        </row>
        <row r="57">
          <cell r="E57" t="str">
            <v>13</v>
          </cell>
          <cell r="F57" t="str">
            <v>МКЭ-33-1820/8-2 от 16.11.2018г.</v>
          </cell>
          <cell r="H57" t="str">
            <v>шт.</v>
          </cell>
          <cell r="I57">
            <v>32</v>
          </cell>
          <cell r="X57">
            <v>0</v>
          </cell>
          <cell r="Y57">
            <v>0</v>
          </cell>
          <cell r="AE57">
            <v>0</v>
          </cell>
          <cell r="AF57">
            <v>0</v>
          </cell>
          <cell r="AV57">
            <v>1</v>
          </cell>
          <cell r="BI57">
            <v>1</v>
          </cell>
          <cell r="BS57">
            <v>1</v>
          </cell>
          <cell r="DN57">
            <v>0</v>
          </cell>
          <cell r="DO57">
            <v>0</v>
          </cell>
        </row>
        <row r="59">
          <cell r="E59" t="str">
            <v>14</v>
          </cell>
          <cell r="H59" t="str">
            <v>шт.</v>
          </cell>
          <cell r="I59">
            <v>32</v>
          </cell>
          <cell r="P59">
            <v>4179.8599999999997</v>
          </cell>
          <cell r="X59">
            <v>0</v>
          </cell>
          <cell r="Y59">
            <v>0</v>
          </cell>
          <cell r="AC59">
            <v>17.82</v>
          </cell>
          <cell r="AE59">
            <v>0</v>
          </cell>
          <cell r="AF59">
            <v>0</v>
          </cell>
          <cell r="AL59">
            <v>17.82</v>
          </cell>
          <cell r="AV59">
            <v>1</v>
          </cell>
          <cell r="AW59">
            <v>1</v>
          </cell>
          <cell r="BC59">
            <v>7.33</v>
          </cell>
          <cell r="BI59">
            <v>1</v>
          </cell>
          <cell r="BS59">
            <v>1</v>
          </cell>
          <cell r="DD59">
            <v>0</v>
          </cell>
          <cell r="DN59">
            <v>0</v>
          </cell>
          <cell r="DO59">
            <v>0</v>
          </cell>
        </row>
        <row r="71">
          <cell r="E71" t="str">
            <v>19</v>
          </cell>
          <cell r="H71" t="str">
            <v>1 т фасонных частей</v>
          </cell>
          <cell r="I71">
            <v>1.5599999999999999E-2</v>
          </cell>
          <cell r="P71">
            <v>48.9</v>
          </cell>
          <cell r="Q71">
            <v>22.61</v>
          </cell>
          <cell r="R71">
            <v>15.75</v>
          </cell>
          <cell r="S71">
            <v>376.05</v>
          </cell>
          <cell r="U71">
            <v>0.80063411999999989</v>
          </cell>
          <cell r="X71">
            <v>376.05</v>
          </cell>
          <cell r="Y71">
            <v>169.22</v>
          </cell>
          <cell r="AC71">
            <v>681.49</v>
          </cell>
          <cell r="AE71">
            <v>39.178199999999997</v>
          </cell>
          <cell r="AF71">
            <v>932.59479999999996</v>
          </cell>
          <cell r="AL71">
            <v>681.49</v>
          </cell>
          <cell r="AM71">
            <v>97.03</v>
          </cell>
          <cell r="AN71">
            <v>23.46</v>
          </cell>
          <cell r="AO71">
            <v>558.44000000000005</v>
          </cell>
          <cell r="AQ71">
            <v>48.1</v>
          </cell>
          <cell r="AV71">
            <v>1.0669999999999999</v>
          </cell>
          <cell r="AW71">
            <v>1</v>
          </cell>
          <cell r="BA71">
            <v>24.23</v>
          </cell>
          <cell r="BB71">
            <v>10.07</v>
          </cell>
          <cell r="BC71">
            <v>4.5999999999999996</v>
          </cell>
          <cell r="BI71">
            <v>1</v>
          </cell>
          <cell r="BS71">
            <v>24.23</v>
          </cell>
          <cell r="BZ71">
            <v>100</v>
          </cell>
          <cell r="CA71">
            <v>45</v>
          </cell>
          <cell r="DD71">
            <v>0</v>
          </cell>
          <cell r="DE71">
            <v>0</v>
          </cell>
          <cell r="DG71" t="str">
            <v>*1,67</v>
          </cell>
          <cell r="DI71">
            <v>0</v>
          </cell>
          <cell r="DN71">
            <v>125</v>
          </cell>
          <cell r="DO71">
            <v>94</v>
          </cell>
          <cell r="ET71">
            <v>97.03</v>
          </cell>
          <cell r="EU71">
            <v>23.46</v>
          </cell>
        </row>
        <row r="73">
          <cell r="E73" t="str">
            <v>20</v>
          </cell>
          <cell r="F73" t="str">
            <v>МКЭ-33-168/8-5 от 14.09.2018г.</v>
          </cell>
          <cell r="H73" t="str">
            <v>шт.</v>
          </cell>
          <cell r="I73">
            <v>96</v>
          </cell>
          <cell r="X73">
            <v>0</v>
          </cell>
          <cell r="Y73">
            <v>0</v>
          </cell>
          <cell r="AE73">
            <v>0</v>
          </cell>
          <cell r="AF73">
            <v>0</v>
          </cell>
          <cell r="AV73">
            <v>1</v>
          </cell>
          <cell r="BI73">
            <v>1</v>
          </cell>
          <cell r="BS73">
            <v>1</v>
          </cell>
          <cell r="DN73">
            <v>0</v>
          </cell>
          <cell r="DO73">
            <v>0</v>
          </cell>
        </row>
        <row r="75">
          <cell r="E75" t="str">
            <v>21</v>
          </cell>
          <cell r="H75" t="str">
            <v>шт.</v>
          </cell>
          <cell r="I75">
            <v>96</v>
          </cell>
          <cell r="P75">
            <v>12539.58</v>
          </cell>
          <cell r="X75">
            <v>0</v>
          </cell>
          <cell r="Y75">
            <v>0</v>
          </cell>
          <cell r="AC75">
            <v>17.82</v>
          </cell>
          <cell r="AE75">
            <v>0</v>
          </cell>
          <cell r="AF75">
            <v>0</v>
          </cell>
          <cell r="AL75">
            <v>17.82</v>
          </cell>
          <cell r="AV75">
            <v>1</v>
          </cell>
          <cell r="AW75">
            <v>1</v>
          </cell>
          <cell r="BC75">
            <v>7.33</v>
          </cell>
          <cell r="BI75">
            <v>1</v>
          </cell>
          <cell r="BS75">
            <v>1</v>
          </cell>
          <cell r="DD75">
            <v>0</v>
          </cell>
          <cell r="DN75">
            <v>0</v>
          </cell>
          <cell r="DO75">
            <v>0</v>
          </cell>
        </row>
        <row r="83">
          <cell r="E83" t="str">
            <v>24</v>
          </cell>
          <cell r="H83" t="str">
            <v>м</v>
          </cell>
          <cell r="I83">
            <v>1.2</v>
          </cell>
          <cell r="P83">
            <v>1847.98</v>
          </cell>
          <cell r="X83">
            <v>0</v>
          </cell>
          <cell r="Y83">
            <v>0</v>
          </cell>
          <cell r="AC83">
            <v>451.61</v>
          </cell>
          <cell r="AE83">
            <v>0</v>
          </cell>
          <cell r="AF83">
            <v>0</v>
          </cell>
          <cell r="AL83">
            <v>451.61</v>
          </cell>
          <cell r="AV83">
            <v>1</v>
          </cell>
          <cell r="AW83">
            <v>1</v>
          </cell>
          <cell r="BC83">
            <v>3.41</v>
          </cell>
          <cell r="BI83">
            <v>1</v>
          </cell>
          <cell r="BS83">
            <v>1</v>
          </cell>
          <cell r="DD83">
            <v>0</v>
          </cell>
          <cell r="DN83">
            <v>0</v>
          </cell>
          <cell r="DO83">
            <v>0</v>
          </cell>
        </row>
        <row r="91">
          <cell r="E91" t="str">
            <v>28</v>
          </cell>
          <cell r="H91" t="str">
            <v>шт.</v>
          </cell>
          <cell r="I91">
            <v>20</v>
          </cell>
          <cell r="P91">
            <v>2612.41</v>
          </cell>
          <cell r="X91">
            <v>0</v>
          </cell>
          <cell r="Y91">
            <v>0</v>
          </cell>
          <cell r="AC91">
            <v>17.82</v>
          </cell>
          <cell r="AE91">
            <v>0</v>
          </cell>
          <cell r="AF91">
            <v>0</v>
          </cell>
          <cell r="AL91">
            <v>17.82</v>
          </cell>
          <cell r="AV91">
            <v>1</v>
          </cell>
          <cell r="AW91">
            <v>1</v>
          </cell>
          <cell r="BC91">
            <v>7.33</v>
          </cell>
          <cell r="BI91">
            <v>1</v>
          </cell>
          <cell r="BS91">
            <v>1</v>
          </cell>
          <cell r="DD91">
            <v>0</v>
          </cell>
          <cell r="DN91">
            <v>0</v>
          </cell>
          <cell r="DO91">
            <v>0</v>
          </cell>
        </row>
        <row r="93">
          <cell r="E93" t="str">
            <v>29</v>
          </cell>
          <cell r="F93" t="str">
            <v>МКЭ-33-1982/7-1 от 09.11.2017г.</v>
          </cell>
          <cell r="H93" t="str">
            <v>шт.</v>
          </cell>
          <cell r="I93">
            <v>12</v>
          </cell>
          <cell r="X93">
            <v>0</v>
          </cell>
          <cell r="Y93">
            <v>0</v>
          </cell>
          <cell r="AE93">
            <v>0</v>
          </cell>
          <cell r="AF93">
            <v>0</v>
          </cell>
          <cell r="AV93">
            <v>1</v>
          </cell>
          <cell r="BI93">
            <v>1</v>
          </cell>
          <cell r="BS93">
            <v>1</v>
          </cell>
          <cell r="DN93">
            <v>0</v>
          </cell>
          <cell r="DO93">
            <v>0</v>
          </cell>
        </row>
        <row r="181">
          <cell r="G181" t="str">
            <v>Перегон от ст. "Мичуренский проспект" до ст. "Аминьевское шоссе". Хозяйственно-питьевой, производственный и противопожарный тонельный водопровод В1Т</v>
          </cell>
        </row>
        <row r="338">
          <cell r="G338" t="str">
            <v>Инженерные системы. Тонельный водопровод и водоотвод.</v>
          </cell>
        </row>
        <row r="344">
          <cell r="H344" t="str">
            <v>Стоимость материалов (всего)</v>
          </cell>
        </row>
        <row r="352">
          <cell r="H352" t="str">
            <v>ЗП машинистов</v>
          </cell>
        </row>
        <row r="353">
          <cell r="H353" t="str">
            <v>Основная ЗП рабочих</v>
          </cell>
        </row>
        <row r="363">
          <cell r="H363" t="str">
            <v>Накладные расходы</v>
          </cell>
        </row>
        <row r="364">
          <cell r="H364" t="str">
            <v>Сметная прибыль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11.3"/>
      <sheetName val="Source"/>
      <sheetName val="SourceObSm"/>
      <sheetName val="SmtRes"/>
      <sheetName val="EtalonRes"/>
    </sheetNames>
    <sheetDataSet>
      <sheetData sheetId="0"/>
      <sheetData sheetId="1">
        <row r="1">
          <cell r="B1" t="str">
            <v>Smeta.RU  (495) 974-1589</v>
          </cell>
        </row>
        <row r="1404">
          <cell r="G1404" t="str">
            <v>Водоотвод напорный (К2Н)</v>
          </cell>
        </row>
        <row r="1439">
          <cell r="E1439" t="str">
            <v>388</v>
          </cell>
          <cell r="F1439" t="str">
            <v>3.16-9-7</v>
          </cell>
          <cell r="H1439" t="str">
            <v>100 м трубопровода</v>
          </cell>
          <cell r="I1439">
            <v>1.98</v>
          </cell>
          <cell r="P1439">
            <v>44554.99</v>
          </cell>
          <cell r="Q1439">
            <v>9349.58</v>
          </cell>
          <cell r="R1439">
            <v>5483.25</v>
          </cell>
          <cell r="S1439">
            <v>174972.83</v>
          </cell>
          <cell r="U1439">
            <v>350.70155999999997</v>
          </cell>
          <cell r="X1439">
            <v>174972.83</v>
          </cell>
          <cell r="Y1439">
            <v>78737.77</v>
          </cell>
          <cell r="AC1439">
            <v>5583.75</v>
          </cell>
          <cell r="AE1439">
            <v>107.1138</v>
          </cell>
          <cell r="AF1439">
            <v>3418.1226000000001</v>
          </cell>
          <cell r="AL1439">
            <v>5583.75</v>
          </cell>
          <cell r="AM1439">
            <v>393.06</v>
          </cell>
          <cell r="AN1439">
            <v>64.14</v>
          </cell>
          <cell r="AO1439">
            <v>2046.78</v>
          </cell>
          <cell r="AQ1439">
            <v>166</v>
          </cell>
          <cell r="AV1439">
            <v>1.0669999999999999</v>
          </cell>
          <cell r="AW1439">
            <v>1</v>
          </cell>
          <cell r="BA1439">
            <v>24.23</v>
          </cell>
          <cell r="BB1439">
            <v>8.61</v>
          </cell>
          <cell r="BC1439">
            <v>4.03</v>
          </cell>
          <cell r="BI1439">
            <v>1</v>
          </cell>
          <cell r="BS1439">
            <v>24.23</v>
          </cell>
          <cell r="BZ1439">
            <v>100</v>
          </cell>
          <cell r="CA1439">
            <v>45</v>
          </cell>
          <cell r="DD1439">
            <v>0</v>
          </cell>
          <cell r="DE1439">
            <v>0</v>
          </cell>
          <cell r="DG1439" t="str">
            <v>*1,67</v>
          </cell>
          <cell r="DI1439">
            <v>0</v>
          </cell>
          <cell r="DN1439">
            <v>125</v>
          </cell>
          <cell r="DO1439">
            <v>94</v>
          </cell>
          <cell r="ET1439">
            <v>393.06</v>
          </cell>
          <cell r="EU1439">
            <v>64.14</v>
          </cell>
        </row>
        <row r="1441">
          <cell r="E1441" t="str">
            <v>388,1</v>
          </cell>
          <cell r="F1441" t="str">
            <v>1.12-6-206</v>
          </cell>
          <cell r="H1441" t="str">
            <v>м</v>
          </cell>
          <cell r="I1441">
            <v>184.29</v>
          </cell>
          <cell r="O1441">
            <v>216843.51999999999</v>
          </cell>
          <cell r="X1441">
            <v>0</v>
          </cell>
          <cell r="Y1441">
            <v>0</v>
          </cell>
          <cell r="AC1441">
            <v>139.91</v>
          </cell>
          <cell r="AE1441">
            <v>0</v>
          </cell>
          <cell r="AF1441">
            <v>0</v>
          </cell>
          <cell r="AK1441">
            <v>139.91</v>
          </cell>
          <cell r="AV1441">
            <v>1</v>
          </cell>
          <cell r="AW1441">
            <v>1</v>
          </cell>
          <cell r="BC1441">
            <v>8.41</v>
          </cell>
          <cell r="BI1441">
            <v>1</v>
          </cell>
          <cell r="BS1441">
            <v>1</v>
          </cell>
          <cell r="DN1441">
            <v>125</v>
          </cell>
          <cell r="DO1441">
            <v>94</v>
          </cell>
          <cell r="ET1441">
            <v>0</v>
          </cell>
          <cell r="EU1441">
            <v>0</v>
          </cell>
        </row>
        <row r="1451">
          <cell r="E1451" t="str">
            <v>393</v>
          </cell>
          <cell r="F1451" t="str">
            <v>1.12-11-9</v>
          </cell>
          <cell r="H1451" t="str">
            <v>шт.</v>
          </cell>
          <cell r="I1451">
            <v>15</v>
          </cell>
          <cell r="P1451">
            <v>9135</v>
          </cell>
          <cell r="X1451">
            <v>0</v>
          </cell>
          <cell r="Y1451">
            <v>0</v>
          </cell>
          <cell r="AC1451">
            <v>174</v>
          </cell>
          <cell r="AE1451">
            <v>0</v>
          </cell>
          <cell r="AF1451">
            <v>0</v>
          </cell>
          <cell r="AL1451">
            <v>174</v>
          </cell>
          <cell r="AV1451">
            <v>1</v>
          </cell>
          <cell r="AW1451">
            <v>1</v>
          </cell>
          <cell r="BC1451">
            <v>3.5</v>
          </cell>
          <cell r="BI1451">
            <v>1</v>
          </cell>
          <cell r="BS1451">
            <v>1</v>
          </cell>
          <cell r="DD1451">
            <v>0</v>
          </cell>
          <cell r="DN1451">
            <v>0</v>
          </cell>
          <cell r="DO1451">
            <v>0</v>
          </cell>
        </row>
        <row r="1453">
          <cell r="E1453" t="str">
            <v>394</v>
          </cell>
          <cell r="F1453" t="str">
            <v>1.12-11-9</v>
          </cell>
          <cell r="H1453" t="str">
            <v>шт.</v>
          </cell>
          <cell r="I1453">
            <v>18</v>
          </cell>
          <cell r="P1453">
            <v>10962</v>
          </cell>
          <cell r="X1453">
            <v>0</v>
          </cell>
          <cell r="Y1453">
            <v>0</v>
          </cell>
          <cell r="AC1453">
            <v>174</v>
          </cell>
          <cell r="AE1453">
            <v>0</v>
          </cell>
          <cell r="AF1453">
            <v>0</v>
          </cell>
          <cell r="AL1453">
            <v>174</v>
          </cell>
          <cell r="AV1453">
            <v>1</v>
          </cell>
          <cell r="AW1453">
            <v>1</v>
          </cell>
          <cell r="BC1453">
            <v>3.5</v>
          </cell>
          <cell r="BI1453">
            <v>1</v>
          </cell>
          <cell r="BS1453">
            <v>1</v>
          </cell>
          <cell r="DD1453">
            <v>0</v>
          </cell>
          <cell r="DN1453">
            <v>0</v>
          </cell>
          <cell r="DO1453">
            <v>0</v>
          </cell>
        </row>
        <row r="1455">
          <cell r="E1455" t="str">
            <v>395</v>
          </cell>
          <cell r="F1455" t="str">
            <v>1.6-1-379</v>
          </cell>
          <cell r="H1455" t="str">
            <v>т</v>
          </cell>
          <cell r="I1455">
            <v>0.11</v>
          </cell>
          <cell r="P1455">
            <v>14192.4</v>
          </cell>
          <cell r="X1455">
            <v>0</v>
          </cell>
          <cell r="Y1455">
            <v>0</v>
          </cell>
          <cell r="AC1455">
            <v>27687.1</v>
          </cell>
          <cell r="AE1455">
            <v>0</v>
          </cell>
          <cell r="AF1455">
            <v>0</v>
          </cell>
          <cell r="AL1455">
            <v>27687.1</v>
          </cell>
          <cell r="AV1455">
            <v>1</v>
          </cell>
          <cell r="AW1455">
            <v>1</v>
          </cell>
          <cell r="BC1455">
            <v>4.66</v>
          </cell>
          <cell r="BI1455">
            <v>1</v>
          </cell>
          <cell r="BS1455">
            <v>1</v>
          </cell>
          <cell r="DD1455">
            <v>0</v>
          </cell>
          <cell r="DN1455">
            <v>0</v>
          </cell>
          <cell r="DO1455">
            <v>0</v>
          </cell>
        </row>
        <row r="1465">
          <cell r="E1465" t="str">
            <v>398</v>
          </cell>
          <cell r="F1465" t="str">
            <v>1.6-1-269</v>
          </cell>
          <cell r="H1465" t="str">
            <v>т</v>
          </cell>
          <cell r="I1465">
            <v>6.7900000000000002E-2</v>
          </cell>
          <cell r="P1465">
            <v>5648.44</v>
          </cell>
          <cell r="X1465">
            <v>0</v>
          </cell>
          <cell r="Y1465">
            <v>0</v>
          </cell>
          <cell r="AC1465">
            <v>12416.1</v>
          </cell>
          <cell r="AE1465">
            <v>0</v>
          </cell>
          <cell r="AF1465">
            <v>0</v>
          </cell>
          <cell r="AL1465">
            <v>12416.1</v>
          </cell>
          <cell r="AV1465">
            <v>1</v>
          </cell>
          <cell r="AW1465">
            <v>1</v>
          </cell>
          <cell r="BC1465">
            <v>6.7</v>
          </cell>
          <cell r="BI1465">
            <v>1</v>
          </cell>
          <cell r="BS1465">
            <v>1</v>
          </cell>
          <cell r="DD1465">
            <v>0</v>
          </cell>
          <cell r="DN1465">
            <v>0</v>
          </cell>
          <cell r="DO1465">
            <v>0</v>
          </cell>
        </row>
        <row r="1467">
          <cell r="E1467" t="str">
            <v>399</v>
          </cell>
          <cell r="F1467" t="str">
            <v>1.7-5-155</v>
          </cell>
          <cell r="H1467" t="str">
            <v>шт.</v>
          </cell>
          <cell r="I1467">
            <v>48</v>
          </cell>
          <cell r="P1467">
            <v>6918.13</v>
          </cell>
          <cell r="X1467">
            <v>0</v>
          </cell>
          <cell r="Y1467">
            <v>0</v>
          </cell>
          <cell r="AC1467">
            <v>25.33</v>
          </cell>
          <cell r="AE1467">
            <v>0</v>
          </cell>
          <cell r="AF1467">
            <v>0</v>
          </cell>
          <cell r="AL1467">
            <v>25.33</v>
          </cell>
          <cell r="AV1467">
            <v>1</v>
          </cell>
          <cell r="AW1467">
            <v>1</v>
          </cell>
          <cell r="BC1467">
            <v>5.69</v>
          </cell>
          <cell r="BI1467">
            <v>1</v>
          </cell>
          <cell r="BS1467">
            <v>1</v>
          </cell>
          <cell r="DD1467">
            <v>0</v>
          </cell>
          <cell r="DN1467">
            <v>0</v>
          </cell>
          <cell r="DO1467">
            <v>0</v>
          </cell>
        </row>
        <row r="1471">
          <cell r="E1471" t="str">
            <v>401</v>
          </cell>
          <cell r="F1471" t="str">
            <v>1.6-1-269</v>
          </cell>
          <cell r="H1471" t="str">
            <v>т</v>
          </cell>
          <cell r="I1471">
            <v>1.728E-2</v>
          </cell>
          <cell r="P1471">
            <v>1437.49</v>
          </cell>
          <cell r="X1471">
            <v>0</v>
          </cell>
          <cell r="Y1471">
            <v>0</v>
          </cell>
          <cell r="AC1471">
            <v>12416.1</v>
          </cell>
          <cell r="AE1471">
            <v>0</v>
          </cell>
          <cell r="AF1471">
            <v>0</v>
          </cell>
          <cell r="AL1471">
            <v>12416.1</v>
          </cell>
          <cell r="AV1471">
            <v>1</v>
          </cell>
          <cell r="AW1471">
            <v>1</v>
          </cell>
          <cell r="BC1471">
            <v>6.7</v>
          </cell>
          <cell r="BI1471">
            <v>1</v>
          </cell>
          <cell r="BS1471">
            <v>1</v>
          </cell>
          <cell r="DD1471">
            <v>0</v>
          </cell>
          <cell r="DN1471">
            <v>0</v>
          </cell>
          <cell r="DO1471">
            <v>0</v>
          </cell>
        </row>
        <row r="1473">
          <cell r="E1473" t="str">
            <v>402</v>
          </cell>
          <cell r="F1473" t="str">
            <v>1.1-1-2585</v>
          </cell>
          <cell r="H1473" t="str">
            <v>кг</v>
          </cell>
          <cell r="I1473">
            <v>7.56</v>
          </cell>
          <cell r="P1473">
            <v>447.7</v>
          </cell>
          <cell r="X1473">
            <v>0</v>
          </cell>
          <cell r="Y1473">
            <v>0</v>
          </cell>
          <cell r="AC1473">
            <v>15.03</v>
          </cell>
          <cell r="AE1473">
            <v>0</v>
          </cell>
          <cell r="AF1473">
            <v>0</v>
          </cell>
          <cell r="AL1473">
            <v>15.03</v>
          </cell>
          <cell r="AV1473">
            <v>1</v>
          </cell>
          <cell r="AW1473">
            <v>1</v>
          </cell>
          <cell r="BC1473">
            <v>3.94</v>
          </cell>
          <cell r="BI1473">
            <v>1</v>
          </cell>
          <cell r="BS1473">
            <v>1</v>
          </cell>
          <cell r="DD1473">
            <v>0</v>
          </cell>
          <cell r="DN1473">
            <v>0</v>
          </cell>
          <cell r="DO1473">
            <v>0</v>
          </cell>
        </row>
        <row r="1475">
          <cell r="E1475" t="str">
            <v>403</v>
          </cell>
          <cell r="F1475" t="str">
            <v>1.1-1-3732</v>
          </cell>
          <cell r="H1475" t="str">
            <v>100 шт.</v>
          </cell>
          <cell r="I1475">
            <v>0.72</v>
          </cell>
          <cell r="P1475">
            <v>592.34</v>
          </cell>
          <cell r="X1475">
            <v>0</v>
          </cell>
          <cell r="Y1475">
            <v>0</v>
          </cell>
          <cell r="AC1475">
            <v>679.91</v>
          </cell>
          <cell r="AE1475">
            <v>0</v>
          </cell>
          <cell r="AF1475">
            <v>0</v>
          </cell>
          <cell r="AL1475">
            <v>679.91</v>
          </cell>
          <cell r="AV1475">
            <v>1</v>
          </cell>
          <cell r="AW1475">
            <v>1</v>
          </cell>
          <cell r="BC1475">
            <v>1.21</v>
          </cell>
          <cell r="BI1475">
            <v>1</v>
          </cell>
          <cell r="BS1475">
            <v>1</v>
          </cell>
          <cell r="DD1475">
            <v>0</v>
          </cell>
          <cell r="DN1475">
            <v>0</v>
          </cell>
          <cell r="DO1475">
            <v>0</v>
          </cell>
        </row>
        <row r="1477">
          <cell r="E1477" t="str">
            <v>404</v>
          </cell>
          <cell r="F1477" t="str">
            <v>1.1-1-3733</v>
          </cell>
          <cell r="H1477" t="str">
            <v>100 шт.</v>
          </cell>
          <cell r="I1477">
            <v>0.72</v>
          </cell>
          <cell r="P1477">
            <v>138.63</v>
          </cell>
          <cell r="X1477">
            <v>0</v>
          </cell>
          <cell r="Y1477">
            <v>0</v>
          </cell>
          <cell r="AC1477">
            <v>98.74</v>
          </cell>
          <cell r="AE1477">
            <v>0</v>
          </cell>
          <cell r="AF1477">
            <v>0</v>
          </cell>
          <cell r="AL1477">
            <v>98.74</v>
          </cell>
          <cell r="AV1477">
            <v>1</v>
          </cell>
          <cell r="AW1477">
            <v>1</v>
          </cell>
          <cell r="BC1477">
            <v>1.95</v>
          </cell>
          <cell r="BI1477">
            <v>1</v>
          </cell>
          <cell r="BS1477">
            <v>1</v>
          </cell>
          <cell r="DD1477">
            <v>0</v>
          </cell>
          <cell r="DN1477">
            <v>0</v>
          </cell>
          <cell r="DO1477">
            <v>0</v>
          </cell>
        </row>
        <row r="1487">
          <cell r="G1487" t="str">
            <v>Водоотвод напорный (К2Н)</v>
          </cell>
        </row>
        <row r="2514">
          <cell r="G2514" t="str">
            <v>Платформенная часть. Внутренние инженерные системы. Водоснабжение и водоотведение</v>
          </cell>
        </row>
        <row r="2520">
          <cell r="H2520" t="str">
            <v>Стоимость материалов (всего)</v>
          </cell>
        </row>
        <row r="2528">
          <cell r="H2528" t="str">
            <v>ЗП машинистов</v>
          </cell>
        </row>
        <row r="2529">
          <cell r="H2529" t="str">
            <v>Основная ЗП рабочих</v>
          </cell>
        </row>
        <row r="2539">
          <cell r="H2539" t="str">
            <v>Накладные расходы</v>
          </cell>
        </row>
        <row r="2540">
          <cell r="H2540" t="str">
            <v>Сметная прибыль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11.4"/>
      <sheetName val="Source"/>
      <sheetName val="SourceObSm"/>
      <sheetName val="SmtRes"/>
      <sheetName val="EtalonRes"/>
    </sheetNames>
    <sheetDataSet>
      <sheetData sheetId="0"/>
      <sheetData sheetId="1">
        <row r="1">
          <cell r="B1" t="str">
            <v>Smeta.RU  (495) 974-1589</v>
          </cell>
        </row>
        <row r="2201">
          <cell r="E2201" t="str">
            <v>616</v>
          </cell>
          <cell r="F2201" t="str">
            <v>3.16-16-4</v>
          </cell>
          <cell r="H2201" t="str">
            <v>1  ШТ.</v>
          </cell>
          <cell r="I2201">
            <v>4</v>
          </cell>
          <cell r="P2201">
            <v>1560.53</v>
          </cell>
          <cell r="Q2201">
            <v>621.24</v>
          </cell>
          <cell r="R2201">
            <v>438.56</v>
          </cell>
          <cell r="S2201">
            <v>8379.4599999999991</v>
          </cell>
          <cell r="U2201">
            <v>18.053640000000001</v>
          </cell>
          <cell r="X2201">
            <v>8379.4599999999991</v>
          </cell>
          <cell r="Y2201">
            <v>3770.76</v>
          </cell>
          <cell r="AC2201">
            <v>90.94</v>
          </cell>
          <cell r="AE2201">
            <v>4.2417999999999996</v>
          </cell>
          <cell r="AF2201">
            <v>81.028400000000005</v>
          </cell>
          <cell r="AL2201">
            <v>90.94</v>
          </cell>
          <cell r="AM2201">
            <v>10.23</v>
          </cell>
          <cell r="AN2201">
            <v>2.54</v>
          </cell>
          <cell r="AO2201">
            <v>48.52</v>
          </cell>
          <cell r="AQ2201">
            <v>4.2300000000000004</v>
          </cell>
          <cell r="AV2201">
            <v>1.0669999999999999</v>
          </cell>
          <cell r="AW2201">
            <v>1</v>
          </cell>
          <cell r="BA2201">
            <v>24.23</v>
          </cell>
          <cell r="BB2201">
            <v>10.199999999999999</v>
          </cell>
          <cell r="BC2201">
            <v>4.29</v>
          </cell>
          <cell r="BI2201">
            <v>1</v>
          </cell>
          <cell r="BS2201">
            <v>24.23</v>
          </cell>
          <cell r="BZ2201">
            <v>100</v>
          </cell>
          <cell r="CA2201">
            <v>45</v>
          </cell>
          <cell r="DD2201">
            <v>0</v>
          </cell>
          <cell r="DE2201">
            <v>0</v>
          </cell>
          <cell r="DG2201" t="str">
            <v>*1,67</v>
          </cell>
          <cell r="DI2201">
            <v>0</v>
          </cell>
          <cell r="DN2201">
            <v>125</v>
          </cell>
          <cell r="DO2201">
            <v>94</v>
          </cell>
          <cell r="ET2201">
            <v>10.23</v>
          </cell>
          <cell r="EU2201">
            <v>2.54</v>
          </cell>
        </row>
        <row r="2203">
          <cell r="E2203" t="str">
            <v>617</v>
          </cell>
          <cell r="F2203" t="str">
            <v>1.12-9-9</v>
          </cell>
          <cell r="H2203" t="str">
            <v>шт.</v>
          </cell>
          <cell r="I2203">
            <v>8</v>
          </cell>
          <cell r="P2203">
            <v>5589.71</v>
          </cell>
          <cell r="X2203">
            <v>0</v>
          </cell>
          <cell r="Y2203">
            <v>0</v>
          </cell>
          <cell r="AC2203">
            <v>229.84</v>
          </cell>
          <cell r="AE2203">
            <v>0</v>
          </cell>
          <cell r="AF2203">
            <v>0</v>
          </cell>
          <cell r="AL2203">
            <v>229.84</v>
          </cell>
          <cell r="AV2203">
            <v>1</v>
          </cell>
          <cell r="AW2203">
            <v>1</v>
          </cell>
          <cell r="BC2203">
            <v>3.04</v>
          </cell>
          <cell r="BI2203">
            <v>1</v>
          </cell>
          <cell r="BS2203">
            <v>1</v>
          </cell>
          <cell r="DD2203">
            <v>0</v>
          </cell>
          <cell r="DN2203">
            <v>0</v>
          </cell>
          <cell r="DO2203">
            <v>0</v>
          </cell>
        </row>
        <row r="2387">
          <cell r="G2387" t="str">
            <v>ОБОРУДОВАНИЕ</v>
          </cell>
        </row>
        <row r="2392">
          <cell r="E2392" t="str">
            <v>698</v>
          </cell>
          <cell r="F2392" t="str">
            <v>МКЭ-832/6-1 от 07.04.2016</v>
          </cell>
          <cell r="H2392" t="str">
            <v>шт.</v>
          </cell>
          <cell r="I2392">
            <v>4</v>
          </cell>
          <cell r="X2392">
            <v>0</v>
          </cell>
          <cell r="Y2392">
            <v>0</v>
          </cell>
          <cell r="AE2392">
            <v>0</v>
          </cell>
          <cell r="AF2392">
            <v>0</v>
          </cell>
          <cell r="AV2392">
            <v>1</v>
          </cell>
          <cell r="BI2392">
            <v>1</v>
          </cell>
          <cell r="BS2392">
            <v>1</v>
          </cell>
          <cell r="DN2392">
            <v>0</v>
          </cell>
          <cell r="DO2392">
            <v>0</v>
          </cell>
        </row>
        <row r="2398">
          <cell r="G2398" t="str">
            <v>ОБОРУДОВАНИЕ</v>
          </cell>
        </row>
        <row r="2427">
          <cell r="G2427" t="str">
            <v>Местная водоотливная установка МВУ (пом.4.26). Водоотвод напорный К2Н</v>
          </cell>
        </row>
        <row r="2514">
          <cell r="G2514" t="str">
            <v>Платформенная часть. Внутренние инженерные системы. Водоснабжение и водоотведение</v>
          </cell>
        </row>
        <row r="2520">
          <cell r="H2520" t="str">
            <v>Стоимость материалов (всего)</v>
          </cell>
          <cell r="P2520">
            <v>65100.1</v>
          </cell>
        </row>
        <row r="2528">
          <cell r="H2528" t="str">
            <v>ЗП машинистов</v>
          </cell>
          <cell r="P2528">
            <v>438.56</v>
          </cell>
        </row>
        <row r="2529">
          <cell r="H2529" t="str">
            <v>Основная ЗП рабочих</v>
          </cell>
          <cell r="P2529">
            <v>8379.4599999999991</v>
          </cell>
        </row>
        <row r="2539">
          <cell r="H2539" t="str">
            <v>Накладные расходы</v>
          </cell>
          <cell r="P2539">
            <v>8379.4599999999991</v>
          </cell>
        </row>
        <row r="2540">
          <cell r="H2540" t="str">
            <v>Сметная прибыль</v>
          </cell>
          <cell r="P2540">
            <v>3770.76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_11.5"/>
      <sheetName val="Source"/>
      <sheetName val="SourceObSm"/>
      <sheetName val="SmtRes"/>
      <sheetName val="EtalonRes"/>
    </sheetNames>
    <sheetDataSet>
      <sheetData sheetId="0"/>
      <sheetData sheetId="1">
        <row r="1">
          <cell r="B1" t="str">
            <v>Smeta.RU  (495) 974-1589</v>
          </cell>
        </row>
        <row r="24">
          <cell r="G24" t="str">
            <v>Хозяйственно-питьевой, производственный и противопожарный водопровод (В1)</v>
          </cell>
        </row>
        <row r="89">
          <cell r="E89" t="str">
            <v>23</v>
          </cell>
          <cell r="H89" t="str">
            <v>100 м трубопровода</v>
          </cell>
          <cell r="I89">
            <v>1.75559</v>
          </cell>
          <cell r="P89">
            <v>505.39</v>
          </cell>
          <cell r="Q89">
            <v>4302.5</v>
          </cell>
          <cell r="R89">
            <v>2352.0100000000002</v>
          </cell>
          <cell r="S89">
            <v>69351.33</v>
          </cell>
          <cell r="U89">
            <v>135.808053425</v>
          </cell>
          <cell r="X89">
            <v>69351.33</v>
          </cell>
          <cell r="Y89">
            <v>31208.1</v>
          </cell>
          <cell r="AC89">
            <v>51.59</v>
          </cell>
          <cell r="AE89">
            <v>51.820099999999996</v>
          </cell>
          <cell r="AF89">
            <v>1527.9665</v>
          </cell>
          <cell r="AL89">
            <v>51.59</v>
          </cell>
          <cell r="AM89">
            <v>218.14</v>
          </cell>
          <cell r="AN89">
            <v>31.03</v>
          </cell>
          <cell r="AO89">
            <v>914.95</v>
          </cell>
          <cell r="AQ89">
            <v>72.5</v>
          </cell>
          <cell r="AV89">
            <v>1.0669999999999999</v>
          </cell>
          <cell r="AW89">
            <v>1</v>
          </cell>
          <cell r="BA89">
            <v>24.23</v>
          </cell>
          <cell r="BB89">
            <v>8.2200000000000006</v>
          </cell>
          <cell r="BC89">
            <v>5.58</v>
          </cell>
          <cell r="BI89">
            <v>1</v>
          </cell>
          <cell r="BS89">
            <v>24.23</v>
          </cell>
          <cell r="BZ89">
            <v>100</v>
          </cell>
          <cell r="CA89">
            <v>45</v>
          </cell>
          <cell r="CS89">
            <v>1339.7262915409999</v>
          </cell>
          <cell r="DD89">
            <v>0</v>
          </cell>
          <cell r="DE89">
            <v>0</v>
          </cell>
          <cell r="DG89" t="str">
            <v>)*1,67</v>
          </cell>
          <cell r="DI89">
            <v>0</v>
          </cell>
          <cell r="DN89">
            <v>125</v>
          </cell>
          <cell r="DO89">
            <v>94</v>
          </cell>
          <cell r="ET89">
            <v>218.14</v>
          </cell>
          <cell r="EU89">
            <v>31.03</v>
          </cell>
        </row>
        <row r="91">
          <cell r="E91" t="str">
            <v>23,1</v>
          </cell>
          <cell r="F91" t="str">
            <v>1.12-7-128</v>
          </cell>
          <cell r="H91" t="str">
            <v>м</v>
          </cell>
          <cell r="I91">
            <v>175.559</v>
          </cell>
          <cell r="O91">
            <v>349815.25</v>
          </cell>
          <cell r="X91">
            <v>0</v>
          </cell>
          <cell r="Y91">
            <v>0</v>
          </cell>
          <cell r="AC91">
            <v>575.89</v>
          </cell>
          <cell r="AE91">
            <v>0</v>
          </cell>
          <cell r="AF91">
            <v>0</v>
          </cell>
          <cell r="AK91">
            <v>575.89</v>
          </cell>
          <cell r="AV91">
            <v>1</v>
          </cell>
          <cell r="AW91">
            <v>1</v>
          </cell>
          <cell r="BC91">
            <v>3.46</v>
          </cell>
          <cell r="BI91">
            <v>1</v>
          </cell>
          <cell r="CS91">
            <v>0</v>
          </cell>
          <cell r="DN91">
            <v>125</v>
          </cell>
          <cell r="DO91">
            <v>94</v>
          </cell>
          <cell r="ET91">
            <v>0</v>
          </cell>
          <cell r="EU91">
            <v>0</v>
          </cell>
        </row>
        <row r="123">
          <cell r="E123" t="str">
            <v>35</v>
          </cell>
          <cell r="H123" t="str">
            <v>100 м трубопровода</v>
          </cell>
          <cell r="I123">
            <v>2.1999999999999999E-2</v>
          </cell>
          <cell r="P123">
            <v>5.14</v>
          </cell>
          <cell r="Q123">
            <v>35.200000000000003</v>
          </cell>
          <cell r="R123">
            <v>18.55</v>
          </cell>
          <cell r="S123">
            <v>785.16</v>
          </cell>
          <cell r="U123">
            <v>1.5375469999999998</v>
          </cell>
          <cell r="X123">
            <v>785.16</v>
          </cell>
          <cell r="Y123">
            <v>353.32</v>
          </cell>
          <cell r="AC123">
            <v>41.86</v>
          </cell>
          <cell r="AE123">
            <v>32.615099999999998</v>
          </cell>
          <cell r="AF123">
            <v>1380.4386999999999</v>
          </cell>
          <cell r="AL123">
            <v>41.86</v>
          </cell>
          <cell r="AM123">
            <v>147.1</v>
          </cell>
          <cell r="AN123">
            <v>19.53</v>
          </cell>
          <cell r="AO123">
            <v>826.61</v>
          </cell>
          <cell r="AQ123">
            <v>65.5</v>
          </cell>
          <cell r="AV123">
            <v>1.0669999999999999</v>
          </cell>
          <cell r="AW123">
            <v>1</v>
          </cell>
          <cell r="BA123">
            <v>24.23</v>
          </cell>
          <cell r="BB123">
            <v>8.0399999999999991</v>
          </cell>
          <cell r="BC123">
            <v>5.58</v>
          </cell>
          <cell r="BI123">
            <v>1</v>
          </cell>
          <cell r="BS123">
            <v>24.23</v>
          </cell>
          <cell r="BZ123">
            <v>100</v>
          </cell>
          <cell r="CA123">
            <v>45</v>
          </cell>
          <cell r="CS123">
            <v>843.21155249099991</v>
          </cell>
          <cell r="DD123">
            <v>0</v>
          </cell>
          <cell r="DE123">
            <v>0</v>
          </cell>
          <cell r="DG123" t="str">
            <v>)*1,67</v>
          </cell>
          <cell r="DI123">
            <v>0</v>
          </cell>
          <cell r="DN123">
            <v>125</v>
          </cell>
          <cell r="DO123">
            <v>94</v>
          </cell>
          <cell r="ET123">
            <v>147.1</v>
          </cell>
          <cell r="EU123">
            <v>19.53</v>
          </cell>
        </row>
        <row r="125">
          <cell r="E125" t="str">
            <v>36</v>
          </cell>
          <cell r="F125" t="str">
            <v>1.12-7-98</v>
          </cell>
          <cell r="H125" t="str">
            <v>м</v>
          </cell>
          <cell r="I125">
            <v>2.2000000000000002</v>
          </cell>
          <cell r="P125">
            <v>3387.98</v>
          </cell>
          <cell r="X125">
            <v>0</v>
          </cell>
          <cell r="Y125">
            <v>0</v>
          </cell>
          <cell r="AC125">
            <v>451.61</v>
          </cell>
          <cell r="AE125">
            <v>0</v>
          </cell>
          <cell r="AF125">
            <v>0</v>
          </cell>
          <cell r="AL125">
            <v>451.61</v>
          </cell>
          <cell r="AV125">
            <v>1</v>
          </cell>
          <cell r="AW125">
            <v>1</v>
          </cell>
          <cell r="BC125">
            <v>3.41</v>
          </cell>
          <cell r="BI125">
            <v>1</v>
          </cell>
          <cell r="CS125">
            <v>0</v>
          </cell>
          <cell r="DD125">
            <v>0</v>
          </cell>
          <cell r="DN125">
            <v>0</v>
          </cell>
          <cell r="DO125">
            <v>0</v>
          </cell>
        </row>
        <row r="147">
          <cell r="E147" t="str">
            <v>44</v>
          </cell>
          <cell r="F147" t="str">
            <v>МКЭ-33-117/8-1 от 07.02.2018г.</v>
          </cell>
          <cell r="H147" t="str">
            <v>шт.</v>
          </cell>
          <cell r="I147">
            <v>10</v>
          </cell>
          <cell r="X147">
            <v>0</v>
          </cell>
          <cell r="Y147">
            <v>0</v>
          </cell>
          <cell r="AE147">
            <v>0</v>
          </cell>
          <cell r="AF147">
            <v>0</v>
          </cell>
          <cell r="AV147">
            <v>1</v>
          </cell>
          <cell r="BI147">
            <v>1</v>
          </cell>
          <cell r="CS147">
            <v>0</v>
          </cell>
          <cell r="DN147">
            <v>0</v>
          </cell>
          <cell r="DO147">
            <v>0</v>
          </cell>
        </row>
        <row r="151">
          <cell r="E151" t="str">
            <v>46</v>
          </cell>
          <cell r="F151" t="str">
            <v>МКЭ-33-1949/7-1 от 25.10.2017г.</v>
          </cell>
          <cell r="H151" t="str">
            <v>шт.</v>
          </cell>
          <cell r="I151">
            <v>16</v>
          </cell>
          <cell r="X151">
            <v>0</v>
          </cell>
          <cell r="Y151">
            <v>0</v>
          </cell>
          <cell r="AE151">
            <v>0</v>
          </cell>
          <cell r="AF151">
            <v>0</v>
          </cell>
          <cell r="AV151">
            <v>1</v>
          </cell>
          <cell r="BI151">
            <v>1</v>
          </cell>
          <cell r="CS151">
            <v>0</v>
          </cell>
          <cell r="DN151">
            <v>0</v>
          </cell>
          <cell r="DO151">
            <v>0</v>
          </cell>
        </row>
        <row r="155">
          <cell r="E155" t="str">
            <v>48</v>
          </cell>
          <cell r="F155" t="str">
            <v>МКЭ-33-699/7-1 от 25.10.2017г.</v>
          </cell>
          <cell r="H155" t="str">
            <v>шт.</v>
          </cell>
          <cell r="I155">
            <v>36</v>
          </cell>
          <cell r="X155">
            <v>0</v>
          </cell>
          <cell r="Y155">
            <v>0</v>
          </cell>
          <cell r="AE155">
            <v>0</v>
          </cell>
          <cell r="AF155">
            <v>0</v>
          </cell>
          <cell r="AV155">
            <v>1</v>
          </cell>
          <cell r="BI155">
            <v>1</v>
          </cell>
          <cell r="CS155">
            <v>0</v>
          </cell>
          <cell r="DN155">
            <v>0</v>
          </cell>
          <cell r="DO155">
            <v>0</v>
          </cell>
        </row>
        <row r="159">
          <cell r="E159" t="str">
            <v>50</v>
          </cell>
          <cell r="F159" t="str">
            <v>МКЭ-33-2289/6-9 от 08.12.2016г.</v>
          </cell>
          <cell r="H159" t="str">
            <v>шт.</v>
          </cell>
          <cell r="I159">
            <v>4</v>
          </cell>
          <cell r="X159">
            <v>0</v>
          </cell>
          <cell r="Y159">
            <v>0</v>
          </cell>
          <cell r="AE159">
            <v>0</v>
          </cell>
          <cell r="AF159">
            <v>0</v>
          </cell>
          <cell r="AV159">
            <v>1</v>
          </cell>
          <cell r="BI159">
            <v>1</v>
          </cell>
          <cell r="CS159">
            <v>0</v>
          </cell>
          <cell r="DN159">
            <v>0</v>
          </cell>
          <cell r="DO159">
            <v>0</v>
          </cell>
        </row>
        <row r="193">
          <cell r="E193" t="str">
            <v>67</v>
          </cell>
          <cell r="H193" t="str">
            <v>100 м2</v>
          </cell>
          <cell r="I193">
            <v>8.3400000000000002E-2</v>
          </cell>
          <cell r="P193">
            <v>26.43</v>
          </cell>
          <cell r="Q193">
            <v>31.39</v>
          </cell>
          <cell r="R193">
            <v>15.69</v>
          </cell>
          <cell r="S193">
            <v>213.62</v>
          </cell>
          <cell r="U193">
            <v>0.443584584</v>
          </cell>
          <cell r="X193">
            <v>181.58</v>
          </cell>
          <cell r="Y193">
            <v>87.58</v>
          </cell>
          <cell r="AC193">
            <v>40.32</v>
          </cell>
          <cell r="AE193">
            <v>7.4147999999999996</v>
          </cell>
          <cell r="AF193">
            <v>100.9682</v>
          </cell>
          <cell r="AL193">
            <v>20.16</v>
          </cell>
          <cell r="AM193">
            <v>22.38</v>
          </cell>
          <cell r="AN193">
            <v>2.2200000000000002</v>
          </cell>
          <cell r="AO193">
            <v>30.23</v>
          </cell>
          <cell r="AQ193">
            <v>2.54</v>
          </cell>
          <cell r="AV193">
            <v>1.0469999999999999</v>
          </cell>
          <cell r="AW193">
            <v>1</v>
          </cell>
          <cell r="BA193">
            <v>24.23</v>
          </cell>
          <cell r="BB193">
            <v>6.42</v>
          </cell>
          <cell r="BC193">
            <v>7.86</v>
          </cell>
          <cell r="BI193">
            <v>1</v>
          </cell>
          <cell r="BS193">
            <v>24.23</v>
          </cell>
          <cell r="BZ193">
            <v>85</v>
          </cell>
          <cell r="CA193">
            <v>41</v>
          </cell>
          <cell r="CS193">
            <v>188.10465238800001</v>
          </cell>
          <cell r="DD193" t="str">
            <v>)*2</v>
          </cell>
          <cell r="DE193" t="str">
            <v>)*2</v>
          </cell>
          <cell r="DG193" t="str">
            <v>)*2)*1,67</v>
          </cell>
          <cell r="DI193" t="str">
            <v>)*2</v>
          </cell>
          <cell r="DN193">
            <v>105</v>
          </cell>
          <cell r="DO193">
            <v>77</v>
          </cell>
          <cell r="ET193">
            <v>22.38</v>
          </cell>
          <cell r="EU193">
            <v>2.2200000000000002</v>
          </cell>
        </row>
        <row r="195">
          <cell r="E195" t="str">
            <v>67,1</v>
          </cell>
          <cell r="F195" t="str">
            <v>1.1-1-413</v>
          </cell>
          <cell r="H195" t="str">
            <v>кг</v>
          </cell>
          <cell r="I195">
            <v>3.0024000000000002</v>
          </cell>
          <cell r="O195">
            <v>382.55</v>
          </cell>
          <cell r="X195">
            <v>0</v>
          </cell>
          <cell r="Y195">
            <v>0</v>
          </cell>
          <cell r="AC195">
            <v>47.9</v>
          </cell>
          <cell r="AE195">
            <v>0</v>
          </cell>
          <cell r="AF195">
            <v>0</v>
          </cell>
          <cell r="AK195">
            <v>47.9</v>
          </cell>
          <cell r="AV195">
            <v>1</v>
          </cell>
          <cell r="AW195">
            <v>1</v>
          </cell>
          <cell r="BC195">
            <v>2.66</v>
          </cell>
          <cell r="BI195">
            <v>1</v>
          </cell>
          <cell r="CS195">
            <v>0</v>
          </cell>
          <cell r="DN195">
            <v>105</v>
          </cell>
          <cell r="DO195">
            <v>77</v>
          </cell>
          <cell r="ET195">
            <v>0</v>
          </cell>
          <cell r="EU195">
            <v>0</v>
          </cell>
        </row>
        <row r="197">
          <cell r="E197" t="str">
            <v>68</v>
          </cell>
          <cell r="F197" t="str">
            <v>1.6-1-295</v>
          </cell>
          <cell r="H197" t="str">
            <v>т</v>
          </cell>
          <cell r="I197">
            <v>0.34</v>
          </cell>
          <cell r="P197">
            <v>21606.73</v>
          </cell>
          <cell r="X197">
            <v>0</v>
          </cell>
          <cell r="Y197">
            <v>0</v>
          </cell>
          <cell r="AC197">
            <v>15808.26</v>
          </cell>
          <cell r="AE197">
            <v>0</v>
          </cell>
          <cell r="AF197">
            <v>0</v>
          </cell>
          <cell r="AL197">
            <v>15808.26</v>
          </cell>
          <cell r="AV197">
            <v>1</v>
          </cell>
          <cell r="AW197">
            <v>1</v>
          </cell>
          <cell r="BC197">
            <v>4.0199999999999996</v>
          </cell>
          <cell r="BI197">
            <v>1</v>
          </cell>
          <cell r="CS197">
            <v>0</v>
          </cell>
          <cell r="DD197">
            <v>0</v>
          </cell>
          <cell r="DN197">
            <v>0</v>
          </cell>
          <cell r="DO197">
            <v>0</v>
          </cell>
        </row>
        <row r="199">
          <cell r="E199" t="str">
            <v>69</v>
          </cell>
          <cell r="F199" t="str">
            <v>1.6-1-269</v>
          </cell>
          <cell r="H199" t="str">
            <v>т</v>
          </cell>
          <cell r="I199">
            <v>0.19</v>
          </cell>
          <cell r="P199">
            <v>15805.7</v>
          </cell>
          <cell r="X199">
            <v>0</v>
          </cell>
          <cell r="Y199">
            <v>0</v>
          </cell>
          <cell r="AC199">
            <v>12416.1</v>
          </cell>
          <cell r="AE199">
            <v>0</v>
          </cell>
          <cell r="AF199">
            <v>0</v>
          </cell>
          <cell r="AL199">
            <v>12416.1</v>
          </cell>
          <cell r="AV199">
            <v>1</v>
          </cell>
          <cell r="AW199">
            <v>1</v>
          </cell>
          <cell r="BC199">
            <v>6.7</v>
          </cell>
          <cell r="BI199">
            <v>1</v>
          </cell>
          <cell r="CS199">
            <v>0</v>
          </cell>
          <cell r="DD199">
            <v>0</v>
          </cell>
          <cell r="DN199">
            <v>0</v>
          </cell>
          <cell r="DO199">
            <v>0</v>
          </cell>
        </row>
        <row r="201">
          <cell r="E201" t="str">
            <v>70</v>
          </cell>
          <cell r="H201" t="str">
            <v>100 шт.</v>
          </cell>
          <cell r="I201">
            <v>3.3</v>
          </cell>
          <cell r="Q201">
            <v>13.5</v>
          </cell>
          <cell r="R201">
            <v>8.7100000000000009</v>
          </cell>
          <cell r="S201">
            <v>28273.53</v>
          </cell>
          <cell r="U201">
            <v>48.067139999999995</v>
          </cell>
          <cell r="X201">
            <v>19791.47</v>
          </cell>
          <cell r="Y201">
            <v>14136.77</v>
          </cell>
          <cell r="AE201">
            <v>0.1002</v>
          </cell>
          <cell r="AF201">
            <v>325.29930000000002</v>
          </cell>
          <cell r="AM201">
            <v>0.3</v>
          </cell>
          <cell r="AN201">
            <v>0.06</v>
          </cell>
          <cell r="AO201">
            <v>194.79</v>
          </cell>
          <cell r="AQ201">
            <v>13.4</v>
          </cell>
          <cell r="AV201">
            <v>1.087</v>
          </cell>
          <cell r="BA201">
            <v>24.23</v>
          </cell>
          <cell r="BB201">
            <v>9.3000000000000007</v>
          </cell>
          <cell r="BI201">
            <v>1</v>
          </cell>
          <cell r="BS201">
            <v>24.23</v>
          </cell>
          <cell r="BZ201">
            <v>70</v>
          </cell>
          <cell r="CA201">
            <v>50</v>
          </cell>
          <cell r="CS201">
            <v>2.639068602</v>
          </cell>
          <cell r="DE201">
            <v>0</v>
          </cell>
          <cell r="DG201" t="str">
            <v>)*1,67</v>
          </cell>
          <cell r="DI201">
            <v>0</v>
          </cell>
          <cell r="DN201">
            <v>87</v>
          </cell>
          <cell r="DO201">
            <v>105</v>
          </cell>
          <cell r="ET201">
            <v>0.3</v>
          </cell>
          <cell r="EU201">
            <v>0.06</v>
          </cell>
        </row>
        <row r="203">
          <cell r="E203" t="str">
            <v>70,1</v>
          </cell>
          <cell r="F203" t="str">
            <v>1.7-5-155</v>
          </cell>
          <cell r="H203" t="str">
            <v>шт.</v>
          </cell>
          <cell r="I203">
            <v>79</v>
          </cell>
          <cell r="O203">
            <v>11386.09</v>
          </cell>
          <cell r="X203">
            <v>0</v>
          </cell>
          <cell r="Y203">
            <v>0</v>
          </cell>
          <cell r="AC203">
            <v>25.33</v>
          </cell>
          <cell r="AE203">
            <v>0</v>
          </cell>
          <cell r="AF203">
            <v>0</v>
          </cell>
          <cell r="AK203">
            <v>25.33</v>
          </cell>
          <cell r="AV203">
            <v>1</v>
          </cell>
          <cell r="AW203">
            <v>1</v>
          </cell>
          <cell r="BC203">
            <v>5.69</v>
          </cell>
          <cell r="BI203">
            <v>1</v>
          </cell>
          <cell r="CS203">
            <v>0</v>
          </cell>
          <cell r="DN203">
            <v>87</v>
          </cell>
          <cell r="DO203">
            <v>105</v>
          </cell>
          <cell r="ET203">
            <v>0</v>
          </cell>
          <cell r="EU203">
            <v>0</v>
          </cell>
        </row>
        <row r="205">
          <cell r="E205" t="str">
            <v>71</v>
          </cell>
          <cell r="F205" t="str">
            <v>1.7-5-240</v>
          </cell>
          <cell r="H205" t="str">
            <v>100 шт.</v>
          </cell>
          <cell r="I205">
            <v>2.5099999999999998</v>
          </cell>
          <cell r="P205">
            <v>11491.88</v>
          </cell>
          <cell r="X205">
            <v>0</v>
          </cell>
          <cell r="Y205">
            <v>0</v>
          </cell>
          <cell r="AC205">
            <v>617.04</v>
          </cell>
          <cell r="AE205">
            <v>0</v>
          </cell>
          <cell r="AF205">
            <v>0</v>
          </cell>
          <cell r="AL205">
            <v>617.04</v>
          </cell>
          <cell r="AV205">
            <v>1</v>
          </cell>
          <cell r="AW205">
            <v>1</v>
          </cell>
          <cell r="BC205">
            <v>7.42</v>
          </cell>
          <cell r="BI205">
            <v>1</v>
          </cell>
          <cell r="CS205">
            <v>0</v>
          </cell>
          <cell r="DD205">
            <v>0</v>
          </cell>
          <cell r="DN205">
            <v>0</v>
          </cell>
          <cell r="DO205">
            <v>0</v>
          </cell>
        </row>
        <row r="207">
          <cell r="G207" t="str">
            <v>Хозяйственно-питьевой, производственный и противопожарный водопровод (В1)</v>
          </cell>
        </row>
        <row r="874">
          <cell r="G874" t="str">
            <v>Вестибюль №2. Внутренние инженерные системы. Водоснабжение и водоотведение</v>
          </cell>
        </row>
        <row r="880">
          <cell r="H880" t="str">
            <v>Стоимость материалов (всего)</v>
          </cell>
          <cell r="P880">
            <v>470519.37</v>
          </cell>
        </row>
        <row r="888">
          <cell r="H888" t="str">
            <v>ЗП машинистов</v>
          </cell>
          <cell r="P888">
            <v>2394.96</v>
          </cell>
        </row>
        <row r="889">
          <cell r="H889" t="str">
            <v>Основная ЗП рабочих</v>
          </cell>
          <cell r="P889">
            <v>98623.64</v>
          </cell>
        </row>
        <row r="899">
          <cell r="H899" t="str">
            <v>Накладные расходы</v>
          </cell>
          <cell r="P899">
            <v>90109.54</v>
          </cell>
        </row>
        <row r="900">
          <cell r="H900" t="str">
            <v>Сметная прибыль</v>
          </cell>
          <cell r="P900">
            <v>45785.77</v>
          </cell>
        </row>
        <row r="903">
          <cell r="G903" t="str">
            <v>12-4017-Л-Р-11.4.3.2-ВК-СМ1 Вестибюль №2. Внутренние инженерные системы. Водоснабжение и водоотведение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15">
          <cell r="AN15" t="str">
            <v>ООО "СТРОЙ-МОНТАЖ 2002"</v>
          </cell>
        </row>
        <row r="156">
          <cell r="AW156">
            <v>1</v>
          </cell>
          <cell r="BC156">
            <v>5.58</v>
          </cell>
        </row>
        <row r="158">
          <cell r="AW158">
            <v>1</v>
          </cell>
        </row>
      </sheetData>
      <sheetData sheetId="2"/>
      <sheetData sheetId="3"/>
      <sheetData sheetId="4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_11.21"/>
      <sheetName val="Source"/>
      <sheetName val="SourceObSm"/>
      <sheetName val="SmtRes"/>
      <sheetName val="EtalonRes"/>
    </sheetNames>
    <sheetDataSet>
      <sheetData sheetId="0"/>
      <sheetData sheetId="1">
        <row r="1">
          <cell r="B1" t="str">
            <v>Smeta.RU  (495) 974-1589</v>
          </cell>
        </row>
        <row r="26">
          <cell r="G26" t="str">
            <v>ТОННЕЛИ ЗА СТ. "АМИНЬЕВСКОЕ ШОССЕ". ХОЗЯЙСТВЕННО-ПИТЬЕВОЙ, ПРОИЗВОДСТВЕННЫЙ И ПРОТИВОПОЖАРНЫЙ ТОННЕЛЬНЫЙ ВОДОПРОВОД В1Т</v>
          </cell>
        </row>
        <row r="109">
          <cell r="E109" t="str">
            <v>35</v>
          </cell>
          <cell r="H109" t="str">
            <v>100 м трубопровода</v>
          </cell>
          <cell r="I109">
            <v>1.69</v>
          </cell>
          <cell r="U109">
            <v>130.73417499999999</v>
          </cell>
          <cell r="X109">
            <v>66072.3</v>
          </cell>
          <cell r="Y109">
            <v>29732.54</v>
          </cell>
          <cell r="AC109">
            <v>51.59</v>
          </cell>
          <cell r="AE109">
            <v>51.820099999999996</v>
          </cell>
          <cell r="AF109">
            <v>1512.2184</v>
          </cell>
          <cell r="AL109">
            <v>51.59</v>
          </cell>
          <cell r="AM109">
            <v>218.14</v>
          </cell>
          <cell r="AN109">
            <v>31.03</v>
          </cell>
          <cell r="AO109">
            <v>905.52</v>
          </cell>
          <cell r="AQ109">
            <v>72.5</v>
          </cell>
          <cell r="AV109">
            <v>1.0669999999999999</v>
          </cell>
          <cell r="AW109">
            <v>1</v>
          </cell>
          <cell r="BA109">
            <v>24.23</v>
          </cell>
          <cell r="BB109">
            <v>8.2200000000000006</v>
          </cell>
          <cell r="BC109">
            <v>5.58</v>
          </cell>
          <cell r="BI109">
            <v>1</v>
          </cell>
          <cell r="BS109">
            <v>24.23</v>
          </cell>
          <cell r="BZ109">
            <v>100</v>
          </cell>
          <cell r="CA109">
            <v>45</v>
          </cell>
          <cell r="DG109" t="str">
            <v>)*1,67</v>
          </cell>
          <cell r="DN109">
            <v>125</v>
          </cell>
          <cell r="DO109">
            <v>94</v>
          </cell>
          <cell r="ET109">
            <v>218.14</v>
          </cell>
          <cell r="EU109">
            <v>31.03</v>
          </cell>
        </row>
        <row r="111">
          <cell r="E111" t="str">
            <v>36</v>
          </cell>
          <cell r="F111" t="str">
            <v>1.12-7-138</v>
          </cell>
          <cell r="H111" t="str">
            <v>м</v>
          </cell>
          <cell r="I111">
            <v>169</v>
          </cell>
          <cell r="P111">
            <v>719694.39</v>
          </cell>
          <cell r="X111">
            <v>0</v>
          </cell>
          <cell r="Y111">
            <v>0</v>
          </cell>
          <cell r="AC111">
            <v>1286.57</v>
          </cell>
          <cell r="AE111">
            <v>0</v>
          </cell>
          <cell r="AF111">
            <v>0</v>
          </cell>
          <cell r="AL111">
            <v>1286.57</v>
          </cell>
          <cell r="AV111">
            <v>1</v>
          </cell>
          <cell r="AW111">
            <v>1</v>
          </cell>
          <cell r="BC111">
            <v>3.31</v>
          </cell>
          <cell r="BI111">
            <v>1</v>
          </cell>
          <cell r="BS111">
            <v>1</v>
          </cell>
          <cell r="DN111">
            <v>0</v>
          </cell>
          <cell r="DO111">
            <v>0</v>
          </cell>
        </row>
        <row r="151">
          <cell r="F151" t="str">
            <v>1.1-1-1002</v>
          </cell>
          <cell r="H151" t="str">
            <v>кг</v>
          </cell>
          <cell r="I151">
            <v>9.64</v>
          </cell>
          <cell r="P151">
            <v>2523.29</v>
          </cell>
          <cell r="X151">
            <v>0</v>
          </cell>
          <cell r="Y151">
            <v>0</v>
          </cell>
          <cell r="AC151">
            <v>20.89</v>
          </cell>
          <cell r="AE151">
            <v>0</v>
          </cell>
          <cell r="AF151">
            <v>0</v>
          </cell>
          <cell r="AL151">
            <v>20.89</v>
          </cell>
          <cell r="AV151">
            <v>1</v>
          </cell>
          <cell r="AW151">
            <v>1</v>
          </cell>
          <cell r="BC151">
            <v>12.53</v>
          </cell>
          <cell r="BI151">
            <v>1</v>
          </cell>
          <cell r="BS151">
            <v>1</v>
          </cell>
          <cell r="DN151">
            <v>87</v>
          </cell>
          <cell r="DO151">
            <v>105</v>
          </cell>
        </row>
        <row r="153">
          <cell r="F153" t="str">
            <v>1.1-1-3732</v>
          </cell>
          <cell r="H153" t="str">
            <v>100 шт.</v>
          </cell>
          <cell r="I153">
            <v>2.8239999999999998</v>
          </cell>
          <cell r="P153">
            <v>2323.2800000000002</v>
          </cell>
          <cell r="X153">
            <v>0</v>
          </cell>
          <cell r="Y153">
            <v>0</v>
          </cell>
          <cell r="AC153">
            <v>679.91</v>
          </cell>
          <cell r="AE153">
            <v>0</v>
          </cell>
          <cell r="AF153">
            <v>0</v>
          </cell>
          <cell r="AL153">
            <v>679.91</v>
          </cell>
          <cell r="AV153">
            <v>1</v>
          </cell>
          <cell r="AW153">
            <v>1</v>
          </cell>
          <cell r="BC153">
            <v>1.21</v>
          </cell>
          <cell r="BI153">
            <v>1</v>
          </cell>
          <cell r="BS153">
            <v>1</v>
          </cell>
          <cell r="DN153">
            <v>87</v>
          </cell>
          <cell r="DO153">
            <v>105</v>
          </cell>
        </row>
        <row r="155">
          <cell r="F155" t="str">
            <v>1.1-1-3733</v>
          </cell>
          <cell r="H155" t="str">
            <v>100 шт.</v>
          </cell>
          <cell r="I155">
            <v>1.3759999999999999</v>
          </cell>
          <cell r="X155">
            <v>0</v>
          </cell>
          <cell r="Y155">
            <v>0</v>
          </cell>
          <cell r="AC155">
            <v>98.74</v>
          </cell>
          <cell r="AE155">
            <v>0</v>
          </cell>
          <cell r="AF155">
            <v>0</v>
          </cell>
          <cell r="AL155">
            <v>98.74</v>
          </cell>
          <cell r="AV155">
            <v>1</v>
          </cell>
          <cell r="AW155">
            <v>1</v>
          </cell>
          <cell r="BC155">
            <v>1.95</v>
          </cell>
          <cell r="BI155">
            <v>1</v>
          </cell>
          <cell r="BS155">
            <v>1</v>
          </cell>
          <cell r="DN155">
            <v>0</v>
          </cell>
          <cell r="DO155">
            <v>0</v>
          </cell>
        </row>
        <row r="175">
          <cell r="F175" t="str">
            <v>1.1-1-1002</v>
          </cell>
          <cell r="H175" t="str">
            <v>кг</v>
          </cell>
          <cell r="I175">
            <v>20.239999999999998</v>
          </cell>
          <cell r="X175">
            <v>0</v>
          </cell>
          <cell r="Y175">
            <v>0</v>
          </cell>
          <cell r="AC175">
            <v>20.89</v>
          </cell>
          <cell r="AE175">
            <v>0</v>
          </cell>
          <cell r="AF175">
            <v>0</v>
          </cell>
          <cell r="AL175">
            <v>20.89</v>
          </cell>
          <cell r="AV175">
            <v>1</v>
          </cell>
          <cell r="AW175">
            <v>1</v>
          </cell>
          <cell r="BC175">
            <v>12.53</v>
          </cell>
          <cell r="BI175">
            <v>1</v>
          </cell>
          <cell r="BS175">
            <v>1</v>
          </cell>
          <cell r="DN175">
            <v>87</v>
          </cell>
          <cell r="DO175">
            <v>105</v>
          </cell>
        </row>
        <row r="177">
          <cell r="F177" t="str">
            <v>1.1-1-3732</v>
          </cell>
          <cell r="H177" t="str">
            <v>100 шт.</v>
          </cell>
          <cell r="I177">
            <v>7.36</v>
          </cell>
          <cell r="P177">
            <v>6055.01</v>
          </cell>
          <cell r="X177">
            <v>0</v>
          </cell>
          <cell r="Y177">
            <v>0</v>
          </cell>
          <cell r="AC177">
            <v>679.91</v>
          </cell>
          <cell r="AE177">
            <v>0</v>
          </cell>
          <cell r="AF177">
            <v>0</v>
          </cell>
          <cell r="AL177">
            <v>679.91</v>
          </cell>
          <cell r="AV177">
            <v>1</v>
          </cell>
          <cell r="AW177">
            <v>1</v>
          </cell>
          <cell r="BC177">
            <v>1.21</v>
          </cell>
          <cell r="BI177">
            <v>1</v>
          </cell>
          <cell r="BS177">
            <v>1</v>
          </cell>
          <cell r="DN177">
            <v>87</v>
          </cell>
          <cell r="DO177">
            <v>105</v>
          </cell>
        </row>
        <row r="179">
          <cell r="F179" t="str">
            <v>1.1-1-3733</v>
          </cell>
          <cell r="H179" t="str">
            <v>100 шт.</v>
          </cell>
          <cell r="I179">
            <v>3.68</v>
          </cell>
          <cell r="X179">
            <v>0</v>
          </cell>
          <cell r="Y179">
            <v>0</v>
          </cell>
          <cell r="AC179">
            <v>98.74</v>
          </cell>
          <cell r="AE179">
            <v>0</v>
          </cell>
          <cell r="AF179">
            <v>0</v>
          </cell>
          <cell r="AL179">
            <v>98.74</v>
          </cell>
          <cell r="AV179">
            <v>1</v>
          </cell>
          <cell r="AW179">
            <v>1</v>
          </cell>
          <cell r="BC179">
            <v>1.95</v>
          </cell>
          <cell r="BI179">
            <v>1</v>
          </cell>
          <cell r="BS179">
            <v>1</v>
          </cell>
          <cell r="DN179">
            <v>0</v>
          </cell>
          <cell r="DO179">
            <v>0</v>
          </cell>
        </row>
        <row r="231">
          <cell r="G231" t="str">
            <v>ТОННЕЛИ ЗА СТ. "АМИНЬЕВСКОЕ ШОССЕ". ХОЗЯЙСТВЕННО-ПИТЬЕВОЙ, ПРОИЗВОДСТВЕННЫЙ И ПРОТИВОПОЖАРНЫЙ ТОННЕЛЬНЫЙ ВОДОПРОВОД В1Т</v>
          </cell>
        </row>
        <row r="260">
          <cell r="G260" t="str">
            <v>ТУПИК ЗА СТ."АМИНЬЕВСКОЕ ШОССЕ". ХОЗЯЙСТВЕННО-ПИТЬЕВОЙ, ПРОИЗВОДСТВЕННЫЙ И ПРОТИВОПОЖАРНЫЙ ТОННЕЛЬНЫЙ ВОДОПРОВОД В1Т</v>
          </cell>
        </row>
        <row r="277">
          <cell r="F277" t="str">
            <v>1.12-7-98</v>
          </cell>
          <cell r="H277" t="str">
            <v>м</v>
          </cell>
          <cell r="I277">
            <v>1</v>
          </cell>
          <cell r="P277">
            <v>1539.99</v>
          </cell>
          <cell r="X277">
            <v>0</v>
          </cell>
          <cell r="Y277">
            <v>0</v>
          </cell>
          <cell r="AC277">
            <v>451.61</v>
          </cell>
          <cell r="AE277">
            <v>0</v>
          </cell>
          <cell r="AF277">
            <v>0</v>
          </cell>
          <cell r="AL277">
            <v>451.61</v>
          </cell>
          <cell r="AV277">
            <v>1</v>
          </cell>
          <cell r="AW277">
            <v>1</v>
          </cell>
          <cell r="BC277">
            <v>3.41</v>
          </cell>
          <cell r="BI277">
            <v>1</v>
          </cell>
          <cell r="BS277">
            <v>1</v>
          </cell>
          <cell r="DN277">
            <v>0</v>
          </cell>
          <cell r="DO277">
            <v>0</v>
          </cell>
        </row>
        <row r="295">
          <cell r="F295" t="str">
            <v>1.12-7-62</v>
          </cell>
          <cell r="H295" t="str">
            <v>м</v>
          </cell>
          <cell r="I295">
            <v>1</v>
          </cell>
          <cell r="P295">
            <v>529</v>
          </cell>
          <cell r="X295">
            <v>0</v>
          </cell>
          <cell r="Y295">
            <v>0</v>
          </cell>
          <cell r="AC295">
            <v>153.78</v>
          </cell>
          <cell r="AE295">
            <v>0</v>
          </cell>
          <cell r="AF295">
            <v>0</v>
          </cell>
          <cell r="AL295">
            <v>153.78</v>
          </cell>
          <cell r="AV295">
            <v>1</v>
          </cell>
          <cell r="AW295">
            <v>1</v>
          </cell>
          <cell r="BC295">
            <v>3.44</v>
          </cell>
          <cell r="BI295">
            <v>1</v>
          </cell>
          <cell r="BS295">
            <v>1</v>
          </cell>
          <cell r="DN295">
            <v>0</v>
          </cell>
          <cell r="DO295">
            <v>0</v>
          </cell>
        </row>
        <row r="309">
          <cell r="F309" t="str">
            <v>1.12-7-98</v>
          </cell>
          <cell r="H309" t="str">
            <v>м</v>
          </cell>
          <cell r="I309">
            <v>0.2</v>
          </cell>
          <cell r="X309">
            <v>0</v>
          </cell>
          <cell r="Y309">
            <v>0</v>
          </cell>
          <cell r="AC309">
            <v>451.61</v>
          </cell>
          <cell r="AE309">
            <v>0</v>
          </cell>
          <cell r="AF309">
            <v>0</v>
          </cell>
          <cell r="AL309">
            <v>451.61</v>
          </cell>
          <cell r="AV309">
            <v>1</v>
          </cell>
          <cell r="AW309">
            <v>1</v>
          </cell>
          <cell r="BC309">
            <v>3.41</v>
          </cell>
          <cell r="BI309">
            <v>1</v>
          </cell>
          <cell r="BS309">
            <v>1</v>
          </cell>
          <cell r="DN309">
            <v>0</v>
          </cell>
          <cell r="DO309">
            <v>0</v>
          </cell>
        </row>
        <row r="329">
          <cell r="H329" t="str">
            <v>100 м трубопровода</v>
          </cell>
          <cell r="I329">
            <v>2.39</v>
          </cell>
          <cell r="U329">
            <v>184.88442500000002</v>
          </cell>
          <cell r="X329">
            <v>93439.360000000001</v>
          </cell>
          <cell r="Y329">
            <v>42047.71</v>
          </cell>
          <cell r="AC329">
            <v>51.59</v>
          </cell>
          <cell r="AE329">
            <v>51.820099999999996</v>
          </cell>
          <cell r="AF329">
            <v>1512.2184</v>
          </cell>
          <cell r="AL329">
            <v>51.59</v>
          </cell>
          <cell r="AM329">
            <v>218.14</v>
          </cell>
          <cell r="AN329">
            <v>31.03</v>
          </cell>
          <cell r="AO329">
            <v>905.52</v>
          </cell>
          <cell r="AQ329">
            <v>72.5</v>
          </cell>
          <cell r="AV329">
            <v>1.0669999999999999</v>
          </cell>
          <cell r="AW329">
            <v>1</v>
          </cell>
          <cell r="BA329">
            <v>24.23</v>
          </cell>
          <cell r="BB329">
            <v>8.2200000000000006</v>
          </cell>
          <cell r="BC329">
            <v>5.58</v>
          </cell>
          <cell r="BI329">
            <v>1</v>
          </cell>
          <cell r="BS329">
            <v>24.23</v>
          </cell>
          <cell r="BZ329">
            <v>100</v>
          </cell>
          <cell r="CA329">
            <v>45</v>
          </cell>
          <cell r="DG329" t="str">
            <v>)*1,67</v>
          </cell>
          <cell r="DN329">
            <v>125</v>
          </cell>
          <cell r="DO329">
            <v>94</v>
          </cell>
          <cell r="ET329">
            <v>218.14</v>
          </cell>
          <cell r="EU329">
            <v>31.03</v>
          </cell>
        </row>
        <row r="331">
          <cell r="F331" t="str">
            <v>1.12-7-138</v>
          </cell>
          <cell r="H331" t="str">
            <v>м</v>
          </cell>
          <cell r="I331">
            <v>239</v>
          </cell>
          <cell r="P331">
            <v>1017792.66</v>
          </cell>
          <cell r="X331">
            <v>0</v>
          </cell>
          <cell r="Y331">
            <v>0</v>
          </cell>
          <cell r="AC331">
            <v>1286.57</v>
          </cell>
          <cell r="AE331">
            <v>0</v>
          </cell>
          <cell r="AF331">
            <v>0</v>
          </cell>
          <cell r="AL331">
            <v>1286.57</v>
          </cell>
          <cell r="AV331">
            <v>1</v>
          </cell>
          <cell r="AW331">
            <v>1</v>
          </cell>
          <cell r="BC331">
            <v>3.31</v>
          </cell>
          <cell r="BI331">
            <v>1</v>
          </cell>
          <cell r="BS331">
            <v>1</v>
          </cell>
          <cell r="DN331">
            <v>0</v>
          </cell>
          <cell r="DO331">
            <v>0</v>
          </cell>
        </row>
        <row r="355">
          <cell r="H355" t="str">
            <v>100 м2</v>
          </cell>
          <cell r="I355">
            <v>0.10299999999999999</v>
          </cell>
          <cell r="U355">
            <v>0.54783227999999995</v>
          </cell>
          <cell r="X355">
            <v>224.28</v>
          </cell>
          <cell r="Y355">
            <v>108.18</v>
          </cell>
          <cell r="AC355">
            <v>40.32</v>
          </cell>
          <cell r="AE355">
            <v>7.4147999999999996</v>
          </cell>
          <cell r="AF355">
            <v>100.9682</v>
          </cell>
          <cell r="AL355">
            <v>20.16</v>
          </cell>
          <cell r="AM355">
            <v>22.38</v>
          </cell>
          <cell r="AN355">
            <v>2.2200000000000002</v>
          </cell>
          <cell r="AO355">
            <v>30.23</v>
          </cell>
          <cell r="AQ355">
            <v>2.54</v>
          </cell>
          <cell r="AV355">
            <v>1.0469999999999999</v>
          </cell>
          <cell r="AW355">
            <v>1</v>
          </cell>
          <cell r="BA355">
            <v>24.23</v>
          </cell>
          <cell r="BB355">
            <v>6.42</v>
          </cell>
          <cell r="BC355">
            <v>7.86</v>
          </cell>
          <cell r="BI355">
            <v>1</v>
          </cell>
          <cell r="BS355">
            <v>24.23</v>
          </cell>
          <cell r="BZ355">
            <v>85</v>
          </cell>
          <cell r="CA355">
            <v>41</v>
          </cell>
          <cell r="DD355" t="str">
            <v>)*2</v>
          </cell>
          <cell r="DE355" t="str">
            <v>)*2</v>
          </cell>
          <cell r="DG355" t="str">
            <v>)*1,67)*2</v>
          </cell>
          <cell r="DI355" t="str">
            <v>)*2</v>
          </cell>
          <cell r="DN355">
            <v>105</v>
          </cell>
          <cell r="DO355">
            <v>77</v>
          </cell>
          <cell r="ET355">
            <v>22.38</v>
          </cell>
          <cell r="EU355">
            <v>2.2200000000000002</v>
          </cell>
        </row>
        <row r="357">
          <cell r="H357" t="str">
            <v>кг</v>
          </cell>
          <cell r="I357">
            <v>3.7080000000000006</v>
          </cell>
          <cell r="X357">
            <v>0</v>
          </cell>
          <cell r="Y357">
            <v>0</v>
          </cell>
          <cell r="AC357">
            <v>47.9</v>
          </cell>
          <cell r="AE357">
            <v>0</v>
          </cell>
          <cell r="AF357">
            <v>0</v>
          </cell>
          <cell r="AK357">
            <v>47.9</v>
          </cell>
          <cell r="AV357">
            <v>1</v>
          </cell>
          <cell r="AW357">
            <v>1</v>
          </cell>
          <cell r="BC357">
            <v>2.66</v>
          </cell>
          <cell r="BI357">
            <v>1</v>
          </cell>
          <cell r="BS357">
            <v>1</v>
          </cell>
          <cell r="DN357">
            <v>105</v>
          </cell>
          <cell r="DO357">
            <v>77</v>
          </cell>
          <cell r="ET357">
            <v>0</v>
          </cell>
          <cell r="EU357">
            <v>0</v>
          </cell>
        </row>
        <row r="361">
          <cell r="F361" t="str">
            <v>1.6-1-269</v>
          </cell>
          <cell r="H361" t="str">
            <v>т</v>
          </cell>
          <cell r="I361">
            <v>0.42848999999999998</v>
          </cell>
          <cell r="X361">
            <v>0</v>
          </cell>
          <cell r="Y361">
            <v>0</v>
          </cell>
          <cell r="AC361">
            <v>12416.1</v>
          </cell>
          <cell r="AE361">
            <v>0</v>
          </cell>
          <cell r="AF361">
            <v>0</v>
          </cell>
          <cell r="AL361">
            <v>12416.1</v>
          </cell>
          <cell r="AV361">
            <v>1</v>
          </cell>
          <cell r="AW361">
            <v>1</v>
          </cell>
          <cell r="BC361">
            <v>6.7</v>
          </cell>
          <cell r="BI361">
            <v>1</v>
          </cell>
          <cell r="BS361">
            <v>1</v>
          </cell>
          <cell r="DN361">
            <v>87</v>
          </cell>
          <cell r="DO361">
            <v>105</v>
          </cell>
        </row>
        <row r="363">
          <cell r="F363" t="str">
            <v>1.1-1-1002</v>
          </cell>
          <cell r="H363" t="str">
            <v>кг</v>
          </cell>
          <cell r="I363">
            <v>21.87</v>
          </cell>
          <cell r="X363">
            <v>0</v>
          </cell>
          <cell r="Y363">
            <v>0</v>
          </cell>
          <cell r="AC363">
            <v>20.89</v>
          </cell>
          <cell r="AE363">
            <v>0</v>
          </cell>
          <cell r="AF363">
            <v>0</v>
          </cell>
          <cell r="AL363">
            <v>20.89</v>
          </cell>
          <cell r="AV363">
            <v>1</v>
          </cell>
          <cell r="AW363">
            <v>1</v>
          </cell>
          <cell r="BC363">
            <v>12.53</v>
          </cell>
          <cell r="BI363">
            <v>1</v>
          </cell>
          <cell r="BS363">
            <v>1</v>
          </cell>
          <cell r="DN363">
            <v>87</v>
          </cell>
          <cell r="DO363">
            <v>105</v>
          </cell>
        </row>
        <row r="365">
          <cell r="F365" t="str">
            <v>1.1-1-3732</v>
          </cell>
          <cell r="H365" t="str">
            <v>100 шт.</v>
          </cell>
          <cell r="I365">
            <v>6.48</v>
          </cell>
          <cell r="P365">
            <v>5331.04</v>
          </cell>
          <cell r="X365">
            <v>0</v>
          </cell>
          <cell r="Y365">
            <v>0</v>
          </cell>
          <cell r="AC365">
            <v>679.91</v>
          </cell>
          <cell r="AE365">
            <v>0</v>
          </cell>
          <cell r="AF365">
            <v>0</v>
          </cell>
          <cell r="AL365">
            <v>679.91</v>
          </cell>
          <cell r="AV365">
            <v>1</v>
          </cell>
          <cell r="AW365">
            <v>1</v>
          </cell>
          <cell r="BC365">
            <v>1.21</v>
          </cell>
          <cell r="BI365">
            <v>1</v>
          </cell>
          <cell r="BS365">
            <v>1</v>
          </cell>
          <cell r="DN365">
            <v>87</v>
          </cell>
          <cell r="DO365">
            <v>105</v>
          </cell>
        </row>
        <row r="367">
          <cell r="F367" t="str">
            <v>1.1-1-3733</v>
          </cell>
          <cell r="H367" t="str">
            <v>100 шт.</v>
          </cell>
          <cell r="I367">
            <v>1.62</v>
          </cell>
          <cell r="P367">
            <v>311.92</v>
          </cell>
          <cell r="X367">
            <v>0</v>
          </cell>
          <cell r="Y367">
            <v>0</v>
          </cell>
          <cell r="AC367">
            <v>98.74</v>
          </cell>
          <cell r="AE367">
            <v>0</v>
          </cell>
          <cell r="AF367">
            <v>0</v>
          </cell>
          <cell r="AL367">
            <v>98.74</v>
          </cell>
          <cell r="AV367">
            <v>1</v>
          </cell>
          <cell r="AW367">
            <v>1</v>
          </cell>
          <cell r="BC367">
            <v>1.95</v>
          </cell>
          <cell r="BI367">
            <v>1</v>
          </cell>
          <cell r="BS367">
            <v>1</v>
          </cell>
          <cell r="DN367">
            <v>0</v>
          </cell>
          <cell r="DO367">
            <v>0</v>
          </cell>
        </row>
        <row r="369">
          <cell r="H369" t="str">
            <v>100 шт.</v>
          </cell>
          <cell r="I369">
            <v>1.62</v>
          </cell>
          <cell r="Q369">
            <v>6.63</v>
          </cell>
          <cell r="R369">
            <v>4.3600000000000003</v>
          </cell>
          <cell r="S369">
            <v>13879.67</v>
          </cell>
          <cell r="U369">
            <v>23.596596000000002</v>
          </cell>
          <cell r="X369">
            <v>9715.77</v>
          </cell>
          <cell r="Y369">
            <v>6939.84</v>
          </cell>
          <cell r="AE369">
            <v>0.1002</v>
          </cell>
          <cell r="AF369">
            <v>325.29930000000002</v>
          </cell>
          <cell r="AM369">
            <v>0.3</v>
          </cell>
          <cell r="AN369">
            <v>0.06</v>
          </cell>
          <cell r="AO369">
            <v>194.79</v>
          </cell>
          <cell r="AQ369">
            <v>13.4</v>
          </cell>
          <cell r="AV369">
            <v>1.087</v>
          </cell>
          <cell r="BA369">
            <v>24.23</v>
          </cell>
          <cell r="BB369">
            <v>9.3000000000000007</v>
          </cell>
          <cell r="BI369">
            <v>1</v>
          </cell>
          <cell r="BS369">
            <v>24.23</v>
          </cell>
          <cell r="BZ369">
            <v>70</v>
          </cell>
          <cell r="CA369">
            <v>50</v>
          </cell>
          <cell r="DG369" t="str">
            <v>)*1,67</v>
          </cell>
          <cell r="DN369">
            <v>87</v>
          </cell>
          <cell r="DO369">
            <v>105</v>
          </cell>
          <cell r="ET369">
            <v>0.3</v>
          </cell>
          <cell r="EU369">
            <v>0.06</v>
          </cell>
        </row>
        <row r="371">
          <cell r="F371" t="str">
            <v>1.7-5-237</v>
          </cell>
          <cell r="H371" t="str">
            <v>шт.</v>
          </cell>
          <cell r="I371">
            <v>162</v>
          </cell>
          <cell r="P371">
            <v>44514.23</v>
          </cell>
          <cell r="X371">
            <v>0</v>
          </cell>
          <cell r="Y371">
            <v>0</v>
          </cell>
          <cell r="AC371">
            <v>69.040000000000006</v>
          </cell>
          <cell r="AE371">
            <v>0</v>
          </cell>
          <cell r="AF371">
            <v>0</v>
          </cell>
          <cell r="AL371">
            <v>69.040000000000006</v>
          </cell>
          <cell r="AV371">
            <v>1</v>
          </cell>
          <cell r="AW371">
            <v>1</v>
          </cell>
          <cell r="BC371">
            <v>3.98</v>
          </cell>
          <cell r="BI371">
            <v>1</v>
          </cell>
          <cell r="BS371">
            <v>1</v>
          </cell>
          <cell r="DN371">
            <v>0</v>
          </cell>
          <cell r="DO371">
            <v>0</v>
          </cell>
        </row>
        <row r="385">
          <cell r="G385" t="str">
            <v>ТУПИК ЗА СТ."АМИНЬЕВСКОЕ ШОССЕ". ХОЗЯЙСТВЕННО-ПИТЬЕВОЙ, ПРОИЗВОДСТВЕННЫЙ И ПРОТИВОПОЖАРНЫЙ ТОННЕЛЬНЫЙ ВОДОПРОВОД В1Т</v>
          </cell>
        </row>
        <row r="414">
          <cell r="G414">
            <v>0</v>
          </cell>
        </row>
        <row r="420">
          <cell r="H420" t="str">
            <v>Стоимость материалов (всего)</v>
          </cell>
          <cell r="P420">
            <v>1850243.3</v>
          </cell>
        </row>
        <row r="428">
          <cell r="H428" t="str">
            <v>ЗП машинистов</v>
          </cell>
          <cell r="P428">
            <v>5489.78</v>
          </cell>
        </row>
        <row r="429">
          <cell r="H429" t="str">
            <v>Основная ЗП рабочих</v>
          </cell>
          <cell r="P429">
            <v>173655.19</v>
          </cell>
        </row>
        <row r="439">
          <cell r="H439" t="str">
            <v>Накладные расходы</v>
          </cell>
          <cell r="P439">
            <v>169451.71</v>
          </cell>
        </row>
        <row r="440">
          <cell r="H440" t="str">
            <v>Сметная прибыль</v>
          </cell>
          <cell r="P440">
            <v>78828.27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_11.22"/>
      <sheetName val="Source"/>
      <sheetName val="SourceObSm"/>
      <sheetName val="SmtRes"/>
      <sheetName val="EtalonRes"/>
    </sheetNames>
    <sheetDataSet>
      <sheetData sheetId="0"/>
      <sheetData sheetId="1">
        <row r="1">
          <cell r="B1" t="str">
            <v>Smeta.RU  (495) 974-1589</v>
          </cell>
        </row>
        <row r="26">
          <cell r="G26" t="str">
            <v>ТОННЕЛИ ЗА СТ. "АМИНЬЕВСКОЕ ШОССЕ". ХОЗЯЙСТВЕННО-ПИТЬЕВОЙ, ПРОИЗВОДСТВЕННЫЙ И ПРОТИВОПОЖАРНЫЙ ТОННЕЛЬНЫЙ ВОДОПРОВОД В1Т</v>
          </cell>
        </row>
        <row r="127">
          <cell r="H127" t="str">
            <v>1 т фасонных частей</v>
          </cell>
          <cell r="I127">
            <v>3.0000000000000001E-3</v>
          </cell>
          <cell r="U127">
            <v>1.0009527</v>
          </cell>
          <cell r="X127">
            <v>607.92999999999995</v>
          </cell>
          <cell r="Y127">
            <v>303.97000000000003</v>
          </cell>
          <cell r="AC127">
            <v>647.26</v>
          </cell>
          <cell r="AE127">
            <v>3867.6365000000001</v>
          </cell>
          <cell r="AF127">
            <v>7394.4760999999999</v>
          </cell>
          <cell r="AL127">
            <v>647.26</v>
          </cell>
          <cell r="AM127">
            <v>10124.379999999999</v>
          </cell>
          <cell r="AN127">
            <v>2315.9499999999998</v>
          </cell>
          <cell r="AO127">
            <v>4427.83</v>
          </cell>
          <cell r="AQ127">
            <v>312.7</v>
          </cell>
          <cell r="AV127">
            <v>1.0669999999999999</v>
          </cell>
          <cell r="AW127">
            <v>1.0029999999999999</v>
          </cell>
          <cell r="BA127">
            <v>24.23</v>
          </cell>
          <cell r="BB127">
            <v>9.15</v>
          </cell>
          <cell r="BC127">
            <v>12.21</v>
          </cell>
          <cell r="BI127">
            <v>1</v>
          </cell>
          <cell r="BS127">
            <v>24.23</v>
          </cell>
          <cell r="BZ127">
            <v>106</v>
          </cell>
          <cell r="CA127">
            <v>53</v>
          </cell>
          <cell r="DD127">
            <v>0</v>
          </cell>
          <cell r="DE127">
            <v>0</v>
          </cell>
          <cell r="DG127" t="str">
            <v>)*1,67</v>
          </cell>
          <cell r="DI127">
            <v>0</v>
          </cell>
          <cell r="DN127">
            <v>133</v>
          </cell>
          <cell r="DO127">
            <v>113</v>
          </cell>
          <cell r="ET127">
            <v>10124.379999999999</v>
          </cell>
          <cell r="EU127">
            <v>2315.9499999999998</v>
          </cell>
        </row>
        <row r="133">
          <cell r="F133" t="str">
            <v>МКЭ-33-1163/7-1 от 27.06.2017</v>
          </cell>
          <cell r="H133" t="str">
            <v>шт.</v>
          </cell>
          <cell r="I133">
            <v>2</v>
          </cell>
          <cell r="X133">
            <v>0</v>
          </cell>
          <cell r="Y133">
            <v>0</v>
          </cell>
          <cell r="AE133">
            <v>0</v>
          </cell>
          <cell r="AF133">
            <v>0</v>
          </cell>
          <cell r="AV133">
            <v>1</v>
          </cell>
          <cell r="BI133">
            <v>1</v>
          </cell>
          <cell r="BS133">
            <v>1</v>
          </cell>
          <cell r="DN133">
            <v>0</v>
          </cell>
          <cell r="DO133">
            <v>0</v>
          </cell>
        </row>
        <row r="231">
          <cell r="G231" t="str">
            <v>ТОННЕЛИ ЗА СТ. "АМИНЬЕВСКОЕ ШОССЕ". ХОЗЯЙСТВЕННО-ПИТЬЕВОЙ, ПРОИЗВОДСТВЕННЫЙ И ПРОТИВОПОЖАРНЫЙ ТОННЕЛЬНЫЙ ВОДОПРОВОД В1Т</v>
          </cell>
        </row>
        <row r="260">
          <cell r="G260" t="str">
            <v>ТУПИК ЗА СТ."АМИНЬЕВСКОЕ ШОССЕ". ХОЗЯЙСТВЕННО-ПИТЬЕВОЙ, ПРОИЗВОДСТВЕННЫЙ И ПРОТИВОПОЖАРНЫЙ ТОННЕЛЬНЫЙ ВОДОПРОВОД В1Т</v>
          </cell>
        </row>
        <row r="279">
          <cell r="F279" t="str">
            <v>1.12-10-23</v>
          </cell>
          <cell r="H279" t="str">
            <v>КОМПЛЕКТ</v>
          </cell>
          <cell r="I279">
            <v>10</v>
          </cell>
          <cell r="P279">
            <v>1730.74</v>
          </cell>
          <cell r="X279">
            <v>0</v>
          </cell>
          <cell r="Y279">
            <v>0</v>
          </cell>
          <cell r="AC279">
            <v>21.42</v>
          </cell>
          <cell r="AE279">
            <v>0</v>
          </cell>
          <cell r="AF279">
            <v>0</v>
          </cell>
          <cell r="AL279">
            <v>21.42</v>
          </cell>
          <cell r="AV279">
            <v>1</v>
          </cell>
          <cell r="AW279">
            <v>1</v>
          </cell>
          <cell r="BC279">
            <v>8.08</v>
          </cell>
          <cell r="BI279">
            <v>1</v>
          </cell>
          <cell r="BS279">
            <v>1</v>
          </cell>
          <cell r="DD279">
            <v>0</v>
          </cell>
          <cell r="DN279">
            <v>125</v>
          </cell>
          <cell r="DO279">
            <v>94</v>
          </cell>
        </row>
        <row r="281">
          <cell r="H281" t="str">
            <v>1 т фасонных частей</v>
          </cell>
          <cell r="I281">
            <v>9.3600000000000003E-3</v>
          </cell>
          <cell r="U281">
            <v>0.480380472</v>
          </cell>
          <cell r="X281">
            <v>225.58</v>
          </cell>
          <cell r="Y281">
            <v>101.51</v>
          </cell>
          <cell r="AC281">
            <v>681.49</v>
          </cell>
          <cell r="AE281">
            <v>39.178199999999997</v>
          </cell>
          <cell r="AF281">
            <v>932.59479999999996</v>
          </cell>
          <cell r="AL281">
            <v>681.49</v>
          </cell>
          <cell r="AM281">
            <v>97.03</v>
          </cell>
          <cell r="AN281">
            <v>23.46</v>
          </cell>
          <cell r="AO281">
            <v>558.44000000000005</v>
          </cell>
          <cell r="AQ281">
            <v>48.1</v>
          </cell>
          <cell r="AV281">
            <v>1.0669999999999999</v>
          </cell>
          <cell r="AW281">
            <v>1</v>
          </cell>
          <cell r="BA281">
            <v>24.23</v>
          </cell>
          <cell r="BB281">
            <v>10.07</v>
          </cell>
          <cell r="BC281">
            <v>4.5999999999999996</v>
          </cell>
          <cell r="BI281">
            <v>1</v>
          </cell>
          <cell r="BS281">
            <v>24.23</v>
          </cell>
          <cell r="BZ281">
            <v>100</v>
          </cell>
          <cell r="CA281">
            <v>45</v>
          </cell>
          <cell r="DD281">
            <v>0</v>
          </cell>
          <cell r="DE281">
            <v>0</v>
          </cell>
          <cell r="DG281" t="str">
            <v>)*1,67</v>
          </cell>
          <cell r="DI281">
            <v>0</v>
          </cell>
          <cell r="DN281">
            <v>125</v>
          </cell>
          <cell r="DO281">
            <v>94</v>
          </cell>
          <cell r="ET281">
            <v>97.03</v>
          </cell>
          <cell r="EU281">
            <v>23.46</v>
          </cell>
        </row>
        <row r="283">
          <cell r="F283" t="str">
            <v>МКЭ-33-1820/8-2 от 16.11.2018</v>
          </cell>
          <cell r="H283" t="str">
            <v>шт.</v>
          </cell>
          <cell r="I283">
            <v>13</v>
          </cell>
          <cell r="X283">
            <v>0</v>
          </cell>
          <cell r="Y283">
            <v>0</v>
          </cell>
          <cell r="AE283">
            <v>0</v>
          </cell>
          <cell r="AF283">
            <v>0</v>
          </cell>
          <cell r="AV283">
            <v>1</v>
          </cell>
          <cell r="BI283">
            <v>1</v>
          </cell>
          <cell r="BS283">
            <v>1</v>
          </cell>
          <cell r="DN283">
            <v>0</v>
          </cell>
          <cell r="DO283">
            <v>0</v>
          </cell>
        </row>
        <row r="299">
          <cell r="H299" t="str">
            <v>1 т фасонных частей</v>
          </cell>
          <cell r="I299">
            <v>1.9499999999999999E-3</v>
          </cell>
          <cell r="U299">
            <v>0.10007926499999999</v>
          </cell>
          <cell r="X299">
            <v>47.01</v>
          </cell>
          <cell r="Y299">
            <v>21.15</v>
          </cell>
          <cell r="AC299">
            <v>681.49</v>
          </cell>
          <cell r="AE299">
            <v>39.178199999999997</v>
          </cell>
          <cell r="AF299">
            <v>932.59479999999996</v>
          </cell>
          <cell r="AL299">
            <v>681.49</v>
          </cell>
          <cell r="AM299">
            <v>97.03</v>
          </cell>
          <cell r="AN299">
            <v>23.46</v>
          </cell>
          <cell r="AO299">
            <v>558.44000000000005</v>
          </cell>
          <cell r="AQ299">
            <v>48.1</v>
          </cell>
          <cell r="AV299">
            <v>1.0669999999999999</v>
          </cell>
          <cell r="AW299">
            <v>1</v>
          </cell>
          <cell r="BA299">
            <v>24.23</v>
          </cell>
          <cell r="BB299">
            <v>10.07</v>
          </cell>
          <cell r="BC299">
            <v>4.5999999999999996</v>
          </cell>
          <cell r="BI299">
            <v>1</v>
          </cell>
          <cell r="BS299">
            <v>24.23</v>
          </cell>
          <cell r="BZ299">
            <v>100</v>
          </cell>
          <cell r="CA299">
            <v>45</v>
          </cell>
          <cell r="DD299">
            <v>0</v>
          </cell>
          <cell r="DE299">
            <v>0</v>
          </cell>
          <cell r="DG299" t="str">
            <v>)*1,67</v>
          </cell>
          <cell r="DI299">
            <v>0</v>
          </cell>
          <cell r="DN299">
            <v>125</v>
          </cell>
          <cell r="DO299">
            <v>94</v>
          </cell>
          <cell r="ET299">
            <v>97.03</v>
          </cell>
          <cell r="EU299">
            <v>23.46</v>
          </cell>
        </row>
        <row r="301">
          <cell r="F301" t="str">
            <v>МКЭ-33-168/8-5 от 14.09.2018</v>
          </cell>
          <cell r="H301" t="str">
            <v>шт.</v>
          </cell>
          <cell r="I301">
            <v>13</v>
          </cell>
          <cell r="X301">
            <v>0</v>
          </cell>
          <cell r="Y301">
            <v>0</v>
          </cell>
          <cell r="AE301">
            <v>0</v>
          </cell>
          <cell r="AF301">
            <v>0</v>
          </cell>
          <cell r="AV301">
            <v>1</v>
          </cell>
          <cell r="BI301">
            <v>1</v>
          </cell>
          <cell r="BS301">
            <v>1</v>
          </cell>
          <cell r="DN301">
            <v>0</v>
          </cell>
          <cell r="DO301">
            <v>0</v>
          </cell>
        </row>
        <row r="311">
          <cell r="F311" t="str">
            <v>1.12-10-23</v>
          </cell>
          <cell r="H311" t="str">
            <v>КОМПЛЕКТ</v>
          </cell>
          <cell r="I311">
            <v>2</v>
          </cell>
          <cell r="P311">
            <v>346.15</v>
          </cell>
          <cell r="X311">
            <v>0</v>
          </cell>
          <cell r="Y311">
            <v>0</v>
          </cell>
          <cell r="AC311">
            <v>21.42</v>
          </cell>
          <cell r="AE311">
            <v>0</v>
          </cell>
          <cell r="AF311">
            <v>0</v>
          </cell>
          <cell r="AL311">
            <v>21.42</v>
          </cell>
          <cell r="AV311">
            <v>1</v>
          </cell>
          <cell r="AW311">
            <v>1</v>
          </cell>
          <cell r="BC311">
            <v>8.08</v>
          </cell>
          <cell r="BI311">
            <v>1</v>
          </cell>
          <cell r="BS311">
            <v>1</v>
          </cell>
          <cell r="DD311">
            <v>0</v>
          </cell>
          <cell r="DN311">
            <v>125</v>
          </cell>
          <cell r="DO311">
            <v>94</v>
          </cell>
        </row>
        <row r="385">
          <cell r="G385" t="str">
            <v>ТУПИК ЗА СТ."АМИНЬЕВСКОЕ ШОССЕ". ХОЗЯЙСТВЕННО-ПИТЬЕВОЙ, ПРОИЗВОДСТВЕННЫЙ И ПРОТИВОПОЖАРНЫЙ ТОННЕЛЬНЫЙ ВОДОПРОВОД В1Т</v>
          </cell>
        </row>
        <row r="414">
          <cell r="G414">
            <v>0</v>
          </cell>
        </row>
        <row r="420">
          <cell r="H420" t="str">
            <v>Стоимость материалов (всего)</v>
          </cell>
        </row>
        <row r="428">
          <cell r="H428" t="str">
            <v>ЗП машинистов</v>
          </cell>
        </row>
        <row r="429">
          <cell r="H429" t="str">
            <v>Основная ЗП рабочих</v>
          </cell>
        </row>
        <row r="439">
          <cell r="H439" t="str">
            <v>Накладные расходы</v>
          </cell>
        </row>
        <row r="440">
          <cell r="H440" t="str">
            <v>Сметная прибыль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11.23"/>
      <sheetName val="Source"/>
      <sheetName val="SourceObSm"/>
      <sheetName val="SmtRes"/>
      <sheetName val="EtalonRes"/>
    </sheetNames>
    <sheetDataSet>
      <sheetData sheetId="0"/>
      <sheetData sheetId="1">
        <row r="1">
          <cell r="B1" t="str">
            <v>Smeta.RU  (495) 974-1589</v>
          </cell>
        </row>
        <row r="24">
          <cell r="G24" t="str">
            <v>Противодымная вентиляция</v>
          </cell>
        </row>
        <row r="738">
          <cell r="G738" t="str">
            <v>ПП2-7.1</v>
          </cell>
        </row>
        <row r="799">
          <cell r="E799" t="str">
            <v>182</v>
          </cell>
          <cell r="H799" t="str">
            <v>100 м2 поверхности воздуховодов</v>
          </cell>
          <cell r="I799">
            <v>0.52500000000000002</v>
          </cell>
          <cell r="P799">
            <v>1038.54</v>
          </cell>
          <cell r="Q799">
            <v>486.04999999999995</v>
          </cell>
          <cell r="R799">
            <v>325.17</v>
          </cell>
          <cell r="S799">
            <v>16223.44</v>
          </cell>
          <cell r="U799">
            <v>34.954920000000001</v>
          </cell>
          <cell r="X799">
            <v>16223.44</v>
          </cell>
          <cell r="Y799">
            <v>7300.55</v>
          </cell>
          <cell r="AC799">
            <v>516.49</v>
          </cell>
          <cell r="AE799">
            <v>23.964500000000001</v>
          </cell>
          <cell r="AF799">
            <v>1195.2691</v>
          </cell>
          <cell r="AL799">
            <v>516.49</v>
          </cell>
          <cell r="AM799">
            <v>74.38</v>
          </cell>
          <cell r="AN799">
            <v>14.35</v>
          </cell>
          <cell r="AO799">
            <v>715.73</v>
          </cell>
          <cell r="AQ799">
            <v>62.4</v>
          </cell>
          <cell r="AV799">
            <v>1.0669999999999999</v>
          </cell>
          <cell r="AW799">
            <v>1</v>
          </cell>
          <cell r="BA799">
            <v>24.23</v>
          </cell>
          <cell r="BB799">
            <v>8.5299999999999994</v>
          </cell>
          <cell r="BC799">
            <v>3.83</v>
          </cell>
          <cell r="BI799">
            <v>1</v>
          </cell>
          <cell r="BS799">
            <v>24.23</v>
          </cell>
          <cell r="BZ799">
            <v>100</v>
          </cell>
          <cell r="CA799">
            <v>45</v>
          </cell>
          <cell r="DD799">
            <v>0</v>
          </cell>
          <cell r="DE799">
            <v>0</v>
          </cell>
          <cell r="DG799" t="str">
            <v>)*1,67</v>
          </cell>
          <cell r="DI799">
            <v>0</v>
          </cell>
          <cell r="DN799">
            <v>125</v>
          </cell>
          <cell r="DO799">
            <v>94</v>
          </cell>
          <cell r="ET799">
            <v>74.38</v>
          </cell>
          <cell r="EU799">
            <v>14.35</v>
          </cell>
        </row>
        <row r="801">
          <cell r="E801" t="str">
            <v>182,1</v>
          </cell>
          <cell r="F801" t="str">
            <v>1.19-3-13</v>
          </cell>
          <cell r="H801" t="str">
            <v>м2</v>
          </cell>
          <cell r="I801">
            <v>52.5</v>
          </cell>
          <cell r="O801">
            <v>25391.51</v>
          </cell>
          <cell r="X801">
            <v>0</v>
          </cell>
          <cell r="Y801">
            <v>0</v>
          </cell>
          <cell r="AC801">
            <v>157.54</v>
          </cell>
          <cell r="AE801">
            <v>0</v>
          </cell>
          <cell r="AF801">
            <v>0</v>
          </cell>
          <cell r="AK801">
            <v>157.54</v>
          </cell>
          <cell r="AV801">
            <v>1</v>
          </cell>
          <cell r="AW801">
            <v>1</v>
          </cell>
          <cell r="BC801">
            <v>3.07</v>
          </cell>
          <cell r="BI801">
            <v>1</v>
          </cell>
          <cell r="BS801">
            <v>1</v>
          </cell>
          <cell r="DN801">
            <v>125</v>
          </cell>
          <cell r="DO801">
            <v>94</v>
          </cell>
          <cell r="ET801">
            <v>0</v>
          </cell>
          <cell r="EU801">
            <v>0</v>
          </cell>
        </row>
        <row r="813">
          <cell r="E813" t="str">
            <v>185</v>
          </cell>
          <cell r="H813" t="str">
            <v>1 м2 поверхности</v>
          </cell>
          <cell r="I813">
            <v>54.01</v>
          </cell>
          <cell r="P813">
            <v>36.83</v>
          </cell>
          <cell r="Q813">
            <v>322.43</v>
          </cell>
          <cell r="R813">
            <v>205.96</v>
          </cell>
          <cell r="S813">
            <v>13088.32</v>
          </cell>
          <cell r="U813">
            <v>24.881326799999997</v>
          </cell>
          <cell r="X813">
            <v>10339.77</v>
          </cell>
          <cell r="Y813">
            <v>5366.21</v>
          </cell>
          <cell r="AC813">
            <v>0.12</v>
          </cell>
          <cell r="AE813">
            <v>0.15029999999999999</v>
          </cell>
          <cell r="AF813">
            <v>9.5524000000000004</v>
          </cell>
          <cell r="AL813">
            <v>0.12</v>
          </cell>
          <cell r="AM813">
            <v>0.46</v>
          </cell>
          <cell r="AN813">
            <v>0.09</v>
          </cell>
          <cell r="AO813">
            <v>5.72</v>
          </cell>
          <cell r="AQ813">
            <v>0.44</v>
          </cell>
          <cell r="AV813">
            <v>1.0469999999999999</v>
          </cell>
          <cell r="AW813">
            <v>1.0189999999999999</v>
          </cell>
          <cell r="BA813">
            <v>24.23</v>
          </cell>
          <cell r="BB813">
            <v>9.2200000000000006</v>
          </cell>
          <cell r="BC813">
            <v>5.58</v>
          </cell>
          <cell r="BI813">
            <v>1</v>
          </cell>
          <cell r="BS813">
            <v>24.23</v>
          </cell>
          <cell r="BZ813">
            <v>79</v>
          </cell>
          <cell r="CA813">
            <v>41</v>
          </cell>
          <cell r="DD813">
            <v>0</v>
          </cell>
          <cell r="DE813">
            <v>0</v>
          </cell>
          <cell r="DG813" t="str">
            <v>)*1,67</v>
          </cell>
          <cell r="DI813">
            <v>0</v>
          </cell>
          <cell r="DN813">
            <v>98</v>
          </cell>
          <cell r="DO813">
            <v>73</v>
          </cell>
          <cell r="ET813">
            <v>0.46</v>
          </cell>
          <cell r="EU813">
            <v>0.09</v>
          </cell>
        </row>
        <row r="815">
          <cell r="E815" t="str">
            <v>186</v>
          </cell>
          <cell r="F815" t="str">
            <v>МКЭ-33-235/8-1 от 12.03.2018г.</v>
          </cell>
          <cell r="H815" t="str">
            <v>м2</v>
          </cell>
          <cell r="I815">
            <v>35.380000000000003</v>
          </cell>
          <cell r="X815">
            <v>0</v>
          </cell>
          <cell r="Y815">
            <v>0</v>
          </cell>
          <cell r="AE815">
            <v>0</v>
          </cell>
          <cell r="AF815">
            <v>0</v>
          </cell>
          <cell r="AV815">
            <v>1</v>
          </cell>
          <cell r="BI815">
            <v>1</v>
          </cell>
          <cell r="BS815">
            <v>1</v>
          </cell>
          <cell r="DN815">
            <v>0</v>
          </cell>
          <cell r="DO815">
            <v>0</v>
          </cell>
        </row>
        <row r="817">
          <cell r="E817" t="str">
            <v>187</v>
          </cell>
          <cell r="F817" t="str">
            <v>МКЭ-33-355/9-1 от 21.03.2019г.</v>
          </cell>
          <cell r="H817" t="str">
            <v>м2</v>
          </cell>
          <cell r="I817">
            <v>18.63</v>
          </cell>
          <cell r="X817">
            <v>0</v>
          </cell>
          <cell r="Y817">
            <v>0</v>
          </cell>
          <cell r="AE817">
            <v>0</v>
          </cell>
          <cell r="AF817">
            <v>0</v>
          </cell>
          <cell r="AV817">
            <v>1</v>
          </cell>
          <cell r="BI817">
            <v>1</v>
          </cell>
          <cell r="BS817">
            <v>1</v>
          </cell>
          <cell r="DN817">
            <v>0</v>
          </cell>
          <cell r="DO817">
            <v>0</v>
          </cell>
        </row>
        <row r="839">
          <cell r="G839" t="str">
            <v>ПП2-7.1</v>
          </cell>
        </row>
        <row r="845">
          <cell r="H845" t="str">
            <v>Стоимость материалов (всего)</v>
          </cell>
          <cell r="P845">
            <v>35730.519999999997</v>
          </cell>
        </row>
        <row r="853">
          <cell r="H853" t="str">
            <v>ЗП машинистов</v>
          </cell>
          <cell r="P853">
            <v>531.13</v>
          </cell>
        </row>
        <row r="854">
          <cell r="H854" t="str">
            <v>Основная ЗП рабочих</v>
          </cell>
          <cell r="P854">
            <v>29311.759999999998</v>
          </cell>
        </row>
        <row r="864">
          <cell r="H864" t="str">
            <v>Накладные расходы</v>
          </cell>
          <cell r="P864">
            <v>26563.21</v>
          </cell>
        </row>
        <row r="865">
          <cell r="H865" t="str">
            <v>Сметная прибыль</v>
          </cell>
          <cell r="P865">
            <v>12666.76</v>
          </cell>
        </row>
        <row r="868">
          <cell r="G868" t="str">
            <v>Противодымная вентиляция</v>
          </cell>
        </row>
        <row r="933">
          <cell r="G933" t="str">
            <v>Станционный комплекс "Аминьевское шоссе". Вестибюль №2, камера съездов, ТПП. Внутренние инженерные системы(не включая ТПП). Отопление, вентиляция, кондиционирование, дымоудаление. Дымоудаление</v>
          </cell>
        </row>
        <row r="939">
          <cell r="H939" t="str">
            <v>Стоимость материалов (всего)</v>
          </cell>
          <cell r="P939">
            <v>35730.519999999997</v>
          </cell>
        </row>
        <row r="947">
          <cell r="H947" t="str">
            <v>ЗП машинистов</v>
          </cell>
          <cell r="P947">
            <v>531.13</v>
          </cell>
        </row>
        <row r="948">
          <cell r="H948" t="str">
            <v>Основная ЗП рабочих</v>
          </cell>
          <cell r="P948">
            <v>29311.759999999998</v>
          </cell>
        </row>
        <row r="958">
          <cell r="H958" t="str">
            <v>Накладные расходы</v>
          </cell>
          <cell r="P958">
            <v>26563.21</v>
          </cell>
        </row>
        <row r="959">
          <cell r="H959" t="str">
            <v>Сметная прибыль</v>
          </cell>
          <cell r="P959">
            <v>12666.76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_11.24"/>
      <sheetName val="Source"/>
      <sheetName val="SourceObSm"/>
      <sheetName val="SmtRes"/>
      <sheetName val="EtalonRes"/>
    </sheetNames>
    <sheetDataSet>
      <sheetData sheetId="0"/>
      <sheetData sheetId="1">
        <row r="1">
          <cell r="B1" t="str">
            <v>Smeta.RU  (495) 974-1589</v>
          </cell>
        </row>
        <row r="24">
          <cell r="G24" t="str">
            <v>Хозяйственно-питьевой, производственный и противопожарный водопровод (В1)</v>
          </cell>
        </row>
        <row r="29">
          <cell r="E29" t="str">
            <v>1</v>
          </cell>
          <cell r="F29" t="str">
            <v>3.16-15-3</v>
          </cell>
          <cell r="H29" t="str">
            <v>шт.</v>
          </cell>
          <cell r="I29">
            <v>1</v>
          </cell>
          <cell r="P29">
            <v>172.05</v>
          </cell>
          <cell r="Q29">
            <v>108.77</v>
          </cell>
          <cell r="R29">
            <v>65.180000000000007</v>
          </cell>
          <cell r="S29">
            <v>1368.27</v>
          </cell>
          <cell r="U29">
            <v>2.7742</v>
          </cell>
          <cell r="X29">
            <v>1368.27</v>
          </cell>
          <cell r="Y29">
            <v>615.72</v>
          </cell>
          <cell r="AC29">
            <v>39.46</v>
          </cell>
          <cell r="AE29">
            <v>2.5217000000000001</v>
          </cell>
          <cell r="AF29">
            <v>52.9223</v>
          </cell>
          <cell r="AL29">
            <v>39.46</v>
          </cell>
          <cell r="AM29">
            <v>8.85</v>
          </cell>
          <cell r="AN29">
            <v>1.51</v>
          </cell>
          <cell r="AO29">
            <v>31.69</v>
          </cell>
          <cell r="AQ29">
            <v>2.6</v>
          </cell>
          <cell r="AV29">
            <v>1.0669999999999999</v>
          </cell>
          <cell r="AW29">
            <v>1</v>
          </cell>
          <cell r="BA29">
            <v>24.23</v>
          </cell>
          <cell r="BB29">
            <v>8.75</v>
          </cell>
          <cell r="BC29">
            <v>4.3600000000000003</v>
          </cell>
          <cell r="BI29">
            <v>1</v>
          </cell>
          <cell r="BS29">
            <v>24.23</v>
          </cell>
          <cell r="BZ29">
            <v>100</v>
          </cell>
          <cell r="CA29">
            <v>45</v>
          </cell>
          <cell r="DD29">
            <v>0</v>
          </cell>
          <cell r="DE29">
            <v>0</v>
          </cell>
          <cell r="DG29" t="str">
            <v>*1,67</v>
          </cell>
          <cell r="DI29">
            <v>0</v>
          </cell>
          <cell r="DN29">
            <v>125</v>
          </cell>
          <cell r="DO29">
            <v>94</v>
          </cell>
          <cell r="ET29">
            <v>8.85</v>
          </cell>
          <cell r="EU29">
            <v>1.51</v>
          </cell>
        </row>
        <row r="31">
          <cell r="E31" t="str">
            <v>2</v>
          </cell>
          <cell r="F31" t="str">
            <v>МКЭ-33-1709/7-1  28.09.2017</v>
          </cell>
          <cell r="H31" t="str">
            <v>шт.</v>
          </cell>
          <cell r="I31">
            <v>1</v>
          </cell>
          <cell r="X31">
            <v>0</v>
          </cell>
          <cell r="Y31">
            <v>0</v>
          </cell>
          <cell r="AE31">
            <v>0</v>
          </cell>
          <cell r="AF31">
            <v>0</v>
          </cell>
          <cell r="AV31">
            <v>1</v>
          </cell>
          <cell r="AW31">
            <v>1</v>
          </cell>
          <cell r="BC31">
            <v>5.58</v>
          </cell>
          <cell r="BI31">
            <v>2</v>
          </cell>
          <cell r="BS31">
            <v>1</v>
          </cell>
          <cell r="DD31">
            <v>0</v>
          </cell>
          <cell r="DN31">
            <v>79</v>
          </cell>
          <cell r="DO31">
            <v>70</v>
          </cell>
        </row>
        <row r="33">
          <cell r="E33" t="str">
            <v>3</v>
          </cell>
          <cell r="F33" t="str">
            <v>1.12-9-53</v>
          </cell>
          <cell r="H33" t="str">
            <v>КОМПЛЕКТ</v>
          </cell>
          <cell r="I33">
            <v>1</v>
          </cell>
          <cell r="P33">
            <v>1612.8</v>
          </cell>
          <cell r="X33">
            <v>0</v>
          </cell>
          <cell r="Y33">
            <v>0</v>
          </cell>
          <cell r="AC33">
            <v>504</v>
          </cell>
          <cell r="AE33">
            <v>0</v>
          </cell>
          <cell r="AF33">
            <v>0</v>
          </cell>
          <cell r="AL33">
            <v>504</v>
          </cell>
          <cell r="AV33">
            <v>1</v>
          </cell>
          <cell r="AW33">
            <v>1</v>
          </cell>
          <cell r="BC33">
            <v>3.2</v>
          </cell>
          <cell r="BI33">
            <v>1</v>
          </cell>
          <cell r="BS33">
            <v>1</v>
          </cell>
          <cell r="DD33">
            <v>0</v>
          </cell>
          <cell r="DN33">
            <v>0</v>
          </cell>
          <cell r="DO33">
            <v>0</v>
          </cell>
        </row>
        <row r="69">
          <cell r="E69" t="str">
            <v>19</v>
          </cell>
          <cell r="H69" t="str">
            <v>100 м трубопровода</v>
          </cell>
          <cell r="I69">
            <v>1.5</v>
          </cell>
          <cell r="P69">
            <v>431.84</v>
          </cell>
          <cell r="Q69">
            <v>3675.98</v>
          </cell>
          <cell r="R69">
            <v>2009.64</v>
          </cell>
          <cell r="S69">
            <v>59254.71</v>
          </cell>
          <cell r="U69">
            <v>116.03625</v>
          </cell>
          <cell r="X69">
            <v>59254.71</v>
          </cell>
          <cell r="Y69">
            <v>26664.62</v>
          </cell>
          <cell r="AC69">
            <v>51.59</v>
          </cell>
          <cell r="AE69">
            <v>51.820099999999996</v>
          </cell>
          <cell r="AF69">
            <v>1527.9665</v>
          </cell>
          <cell r="AL69">
            <v>51.59</v>
          </cell>
          <cell r="AM69">
            <v>218.14</v>
          </cell>
          <cell r="AN69">
            <v>31.03</v>
          </cell>
          <cell r="AO69">
            <v>914.95</v>
          </cell>
          <cell r="AQ69">
            <v>72.5</v>
          </cell>
          <cell r="AV69">
            <v>1.0669999999999999</v>
          </cell>
          <cell r="AW69">
            <v>1</v>
          </cell>
          <cell r="BA69">
            <v>24.23</v>
          </cell>
          <cell r="BB69">
            <v>8.2200000000000006</v>
          </cell>
          <cell r="BC69">
            <v>5.58</v>
          </cell>
          <cell r="BI69">
            <v>1</v>
          </cell>
          <cell r="BS69">
            <v>24.23</v>
          </cell>
          <cell r="BZ69">
            <v>100</v>
          </cell>
          <cell r="CA69">
            <v>45</v>
          </cell>
          <cell r="DD69">
            <v>0</v>
          </cell>
          <cell r="DE69">
            <v>0</v>
          </cell>
          <cell r="DG69" t="str">
            <v>)*1,67</v>
          </cell>
          <cell r="DI69">
            <v>0</v>
          </cell>
          <cell r="DN69">
            <v>125</v>
          </cell>
          <cell r="DO69">
            <v>94</v>
          </cell>
          <cell r="ET69">
            <v>218.14</v>
          </cell>
          <cell r="EU69">
            <v>31.03</v>
          </cell>
        </row>
        <row r="71">
          <cell r="E71" t="str">
            <v>20</v>
          </cell>
          <cell r="F71" t="str">
            <v>1.12-7-128</v>
          </cell>
          <cell r="H71" t="str">
            <v>м</v>
          </cell>
          <cell r="I71">
            <v>150</v>
          </cell>
          <cell r="P71">
            <v>298886.90999999997</v>
          </cell>
          <cell r="X71">
            <v>0</v>
          </cell>
          <cell r="Y71">
            <v>0</v>
          </cell>
          <cell r="AC71">
            <v>575.89</v>
          </cell>
          <cell r="AE71">
            <v>0</v>
          </cell>
          <cell r="AF71">
            <v>0</v>
          </cell>
          <cell r="AL71">
            <v>575.89</v>
          </cell>
          <cell r="AV71">
            <v>1</v>
          </cell>
          <cell r="AW71">
            <v>1</v>
          </cell>
          <cell r="BC71">
            <v>3.46</v>
          </cell>
          <cell r="BI71">
            <v>1</v>
          </cell>
          <cell r="BS71">
            <v>1</v>
          </cell>
          <cell r="DD71">
            <v>0</v>
          </cell>
          <cell r="DN71">
            <v>0</v>
          </cell>
          <cell r="DO71">
            <v>0</v>
          </cell>
        </row>
        <row r="77">
          <cell r="E77" t="str">
            <v>23</v>
          </cell>
          <cell r="F77" t="str">
            <v>3.16-7-1</v>
          </cell>
          <cell r="H77" t="str">
            <v>100 м трубопровода</v>
          </cell>
          <cell r="I77">
            <v>0.1394</v>
          </cell>
          <cell r="P77">
            <v>22.77</v>
          </cell>
          <cell r="Q77">
            <v>85.87</v>
          </cell>
          <cell r="R77">
            <v>43.37</v>
          </cell>
          <cell r="S77">
            <v>2559.66</v>
          </cell>
          <cell r="U77">
            <v>5.0125312600000003</v>
          </cell>
          <cell r="X77">
            <v>2559.66</v>
          </cell>
          <cell r="Y77">
            <v>1151.8499999999999</v>
          </cell>
          <cell r="AC77">
            <v>44.64</v>
          </cell>
          <cell r="AE77">
            <v>12.023999999999999</v>
          </cell>
          <cell r="AF77">
            <v>710.23429999999996</v>
          </cell>
          <cell r="AL77">
            <v>44.64</v>
          </cell>
          <cell r="AM77">
            <v>50.52</v>
          </cell>
          <cell r="AN77">
            <v>7.2</v>
          </cell>
          <cell r="AO77">
            <v>425.29</v>
          </cell>
          <cell r="AQ77">
            <v>33.700000000000003</v>
          </cell>
          <cell r="AV77">
            <v>1.0669999999999999</v>
          </cell>
          <cell r="AW77">
            <v>1</v>
          </cell>
          <cell r="BA77">
            <v>24.23</v>
          </cell>
          <cell r="BB77">
            <v>9.11</v>
          </cell>
          <cell r="BC77">
            <v>3.66</v>
          </cell>
          <cell r="BI77">
            <v>1</v>
          </cell>
          <cell r="BS77">
            <v>24.23</v>
          </cell>
          <cell r="BZ77">
            <v>100</v>
          </cell>
          <cell r="CA77">
            <v>45</v>
          </cell>
          <cell r="DD77">
            <v>0</v>
          </cell>
          <cell r="DE77">
            <v>0</v>
          </cell>
          <cell r="DG77" t="str">
            <v>)*1,67</v>
          </cell>
          <cell r="DI77">
            <v>0</v>
          </cell>
          <cell r="DN77">
            <v>125</v>
          </cell>
          <cell r="DO77">
            <v>94</v>
          </cell>
          <cell r="ET77">
            <v>50.52</v>
          </cell>
          <cell r="EU77">
            <v>7.2</v>
          </cell>
        </row>
        <row r="79">
          <cell r="E79" t="str">
            <v>23,1</v>
          </cell>
          <cell r="F79" t="str">
            <v>1.12-6-665</v>
          </cell>
          <cell r="H79" t="str">
            <v>м</v>
          </cell>
          <cell r="I79">
            <v>13.94</v>
          </cell>
          <cell r="O79">
            <v>987.41</v>
          </cell>
          <cell r="X79">
            <v>0</v>
          </cell>
          <cell r="Y79">
            <v>0</v>
          </cell>
          <cell r="AC79">
            <v>15.2</v>
          </cell>
          <cell r="AE79">
            <v>0</v>
          </cell>
          <cell r="AF79">
            <v>0</v>
          </cell>
          <cell r="AK79">
            <v>15.2</v>
          </cell>
          <cell r="AV79">
            <v>1</v>
          </cell>
          <cell r="AW79">
            <v>1</v>
          </cell>
          <cell r="BC79">
            <v>4.66</v>
          </cell>
          <cell r="BI79">
            <v>1</v>
          </cell>
          <cell r="BS79">
            <v>1</v>
          </cell>
          <cell r="DN79">
            <v>125</v>
          </cell>
          <cell r="DO79">
            <v>94</v>
          </cell>
          <cell r="ET79">
            <v>0</v>
          </cell>
          <cell r="EU79">
            <v>0</v>
          </cell>
        </row>
        <row r="81">
          <cell r="E81" t="str">
            <v>24</v>
          </cell>
          <cell r="F81" t="str">
            <v>3.16-7-2</v>
          </cell>
          <cell r="H81" t="str">
            <v>100 м трубопровода</v>
          </cell>
          <cell r="I81">
            <v>0.3952</v>
          </cell>
          <cell r="P81">
            <v>65.03</v>
          </cell>
          <cell r="Q81">
            <v>243.23</v>
          </cell>
          <cell r="R81">
            <v>122.85</v>
          </cell>
          <cell r="S81">
            <v>7256.64</v>
          </cell>
          <cell r="U81">
            <v>14.210562080000001</v>
          </cell>
          <cell r="X81">
            <v>7256.64</v>
          </cell>
          <cell r="Y81">
            <v>3265.49</v>
          </cell>
          <cell r="AC81">
            <v>44.83</v>
          </cell>
          <cell r="AE81">
            <v>12.023999999999999</v>
          </cell>
          <cell r="AF81">
            <v>710.23429999999996</v>
          </cell>
          <cell r="AL81">
            <v>44.83</v>
          </cell>
          <cell r="AM81">
            <v>50.52</v>
          </cell>
          <cell r="AN81">
            <v>7.2</v>
          </cell>
          <cell r="AO81">
            <v>425.29</v>
          </cell>
          <cell r="AQ81">
            <v>33.700000000000003</v>
          </cell>
          <cell r="AV81">
            <v>1.0669999999999999</v>
          </cell>
          <cell r="AW81">
            <v>1</v>
          </cell>
          <cell r="BA81">
            <v>24.23</v>
          </cell>
          <cell r="BB81">
            <v>9.11</v>
          </cell>
          <cell r="BC81">
            <v>3.67</v>
          </cell>
          <cell r="BI81">
            <v>1</v>
          </cell>
          <cell r="BS81">
            <v>24.23</v>
          </cell>
          <cell r="BZ81">
            <v>100</v>
          </cell>
          <cell r="CA81">
            <v>45</v>
          </cell>
          <cell r="DD81">
            <v>0</v>
          </cell>
          <cell r="DE81">
            <v>0</v>
          </cell>
          <cell r="DG81" t="str">
            <v>)*1,67</v>
          </cell>
          <cell r="DI81">
            <v>0</v>
          </cell>
          <cell r="DN81">
            <v>125</v>
          </cell>
          <cell r="DO81">
            <v>94</v>
          </cell>
          <cell r="ET81">
            <v>50.52</v>
          </cell>
          <cell r="EU81">
            <v>7.2</v>
          </cell>
        </row>
        <row r="83">
          <cell r="E83" t="str">
            <v>24,1</v>
          </cell>
          <cell r="F83" t="str">
            <v>1.12-6-666</v>
          </cell>
          <cell r="H83" t="str">
            <v>м</v>
          </cell>
          <cell r="I83">
            <v>39.519999999999996</v>
          </cell>
          <cell r="O83">
            <v>3409.76</v>
          </cell>
          <cell r="X83">
            <v>0</v>
          </cell>
          <cell r="Y83">
            <v>0</v>
          </cell>
          <cell r="AC83">
            <v>19.88</v>
          </cell>
          <cell r="AE83">
            <v>0</v>
          </cell>
          <cell r="AF83">
            <v>0</v>
          </cell>
          <cell r="AK83">
            <v>19.88</v>
          </cell>
          <cell r="AV83">
            <v>1</v>
          </cell>
          <cell r="AW83">
            <v>1</v>
          </cell>
          <cell r="BC83">
            <v>4.34</v>
          </cell>
          <cell r="BI83">
            <v>1</v>
          </cell>
          <cell r="BS83">
            <v>1</v>
          </cell>
          <cell r="DN83">
            <v>125</v>
          </cell>
          <cell r="DO83">
            <v>94</v>
          </cell>
          <cell r="ET83">
            <v>0</v>
          </cell>
          <cell r="EU83">
            <v>0</v>
          </cell>
        </row>
        <row r="85">
          <cell r="E85" t="str">
            <v>25</v>
          </cell>
          <cell r="F85" t="str">
            <v>3.16-7-6</v>
          </cell>
          <cell r="H85" t="str">
            <v>100 м трубопровода</v>
          </cell>
          <cell r="I85">
            <v>0.16500000000000001</v>
          </cell>
          <cell r="P85">
            <v>43.1</v>
          </cell>
          <cell r="Q85">
            <v>173.14</v>
          </cell>
          <cell r="R85">
            <v>92.32</v>
          </cell>
          <cell r="S85">
            <v>3892.79</v>
          </cell>
          <cell r="U85">
            <v>7.6231814999999994</v>
          </cell>
          <cell r="X85">
            <v>3892.79</v>
          </cell>
          <cell r="Y85">
            <v>1751.76</v>
          </cell>
          <cell r="AC85">
            <v>61.03</v>
          </cell>
          <cell r="AE85">
            <v>21.6432</v>
          </cell>
          <cell r="AF85">
            <v>912.57150000000001</v>
          </cell>
          <cell r="AL85">
            <v>61.03</v>
          </cell>
          <cell r="AM85">
            <v>83.98</v>
          </cell>
          <cell r="AN85">
            <v>12.96</v>
          </cell>
          <cell r="AO85">
            <v>546.45000000000005</v>
          </cell>
          <cell r="AQ85">
            <v>43.3</v>
          </cell>
          <cell r="AV85">
            <v>1.0669999999999999</v>
          </cell>
          <cell r="AW85">
            <v>1</v>
          </cell>
          <cell r="BA85">
            <v>24.23</v>
          </cell>
          <cell r="BB85">
            <v>9.1999999999999993</v>
          </cell>
          <cell r="BC85">
            <v>4.28</v>
          </cell>
          <cell r="BI85">
            <v>1</v>
          </cell>
          <cell r="BS85">
            <v>24.23</v>
          </cell>
          <cell r="BZ85">
            <v>100</v>
          </cell>
          <cell r="CA85">
            <v>45</v>
          </cell>
          <cell r="DD85">
            <v>0</v>
          </cell>
          <cell r="DE85">
            <v>0</v>
          </cell>
          <cell r="DG85" t="str">
            <v>)*1,67</v>
          </cell>
          <cell r="DI85">
            <v>0</v>
          </cell>
          <cell r="DN85">
            <v>125</v>
          </cell>
          <cell r="DO85">
            <v>94</v>
          </cell>
          <cell r="ET85">
            <v>83.98</v>
          </cell>
          <cell r="EU85">
            <v>12.96</v>
          </cell>
        </row>
        <row r="87">
          <cell r="E87" t="str">
            <v>25,1</v>
          </cell>
          <cell r="F87" t="str">
            <v>1.12-6-670</v>
          </cell>
          <cell r="H87" t="str">
            <v>м</v>
          </cell>
          <cell r="I87">
            <v>16.5</v>
          </cell>
          <cell r="O87">
            <v>3763.03</v>
          </cell>
          <cell r="X87">
            <v>0</v>
          </cell>
          <cell r="Y87">
            <v>0</v>
          </cell>
          <cell r="AC87">
            <v>52.67</v>
          </cell>
          <cell r="AE87">
            <v>0</v>
          </cell>
          <cell r="AF87">
            <v>0</v>
          </cell>
          <cell r="AK87">
            <v>52.67</v>
          </cell>
          <cell r="AV87">
            <v>1</v>
          </cell>
          <cell r="AW87">
            <v>1</v>
          </cell>
          <cell r="BC87">
            <v>4.33</v>
          </cell>
          <cell r="BI87">
            <v>1</v>
          </cell>
          <cell r="BS87">
            <v>1</v>
          </cell>
          <cell r="DN87">
            <v>125</v>
          </cell>
          <cell r="DO87">
            <v>94</v>
          </cell>
          <cell r="ET87">
            <v>0</v>
          </cell>
          <cell r="EU87">
            <v>0</v>
          </cell>
        </row>
        <row r="121">
          <cell r="E121" t="str">
            <v>39</v>
          </cell>
          <cell r="F121" t="str">
            <v>3.22-28-5</v>
          </cell>
          <cell r="H121" t="str">
            <v>1 т фасонных частей</v>
          </cell>
          <cell r="I121">
            <v>4.6300000000000001E-2</v>
          </cell>
          <cell r="P121">
            <v>367.03</v>
          </cell>
          <cell r="Q121">
            <v>6434.0300000000007</v>
          </cell>
          <cell r="R121">
            <v>4629.63</v>
          </cell>
          <cell r="S121">
            <v>8851.2199999999993</v>
          </cell>
          <cell r="U121">
            <v>15.448036669999999</v>
          </cell>
          <cell r="X121">
            <v>9382.2900000000009</v>
          </cell>
          <cell r="Y121">
            <v>4691.1499999999996</v>
          </cell>
          <cell r="AC121">
            <v>647.26</v>
          </cell>
          <cell r="AE121">
            <v>3867.6365000000001</v>
          </cell>
          <cell r="AF121">
            <v>7394.4760999999999</v>
          </cell>
          <cell r="AL121">
            <v>647.26</v>
          </cell>
          <cell r="AM121">
            <v>10124.379999999999</v>
          </cell>
          <cell r="AN121">
            <v>2315.9499999999998</v>
          </cell>
          <cell r="AO121">
            <v>4427.83</v>
          </cell>
          <cell r="AQ121">
            <v>312.7</v>
          </cell>
          <cell r="AV121">
            <v>1.0669999999999999</v>
          </cell>
          <cell r="AW121">
            <v>1.0029999999999999</v>
          </cell>
          <cell r="BA121">
            <v>24.23</v>
          </cell>
          <cell r="BB121">
            <v>9.15</v>
          </cell>
          <cell r="BC121">
            <v>12.21</v>
          </cell>
          <cell r="BI121">
            <v>1</v>
          </cell>
          <cell r="BS121">
            <v>24.23</v>
          </cell>
          <cell r="BZ121">
            <v>106</v>
          </cell>
          <cell r="CA121">
            <v>53</v>
          </cell>
          <cell r="DD121">
            <v>0</v>
          </cell>
          <cell r="DE121">
            <v>0</v>
          </cell>
          <cell r="DG121" t="str">
            <v>)*1,67</v>
          </cell>
          <cell r="DI121">
            <v>0</v>
          </cell>
          <cell r="DN121">
            <v>133</v>
          </cell>
          <cell r="DO121">
            <v>113</v>
          </cell>
          <cell r="ET121">
            <v>10124.379999999999</v>
          </cell>
          <cell r="EU121">
            <v>2315.9499999999998</v>
          </cell>
        </row>
        <row r="123">
          <cell r="E123" t="str">
            <v>40</v>
          </cell>
          <cell r="F123" t="str">
            <v>МКЭ-28-2879/6-5  16.03.2017</v>
          </cell>
          <cell r="H123" t="str">
            <v>шт.</v>
          </cell>
          <cell r="I123">
            <v>2</v>
          </cell>
          <cell r="X123">
            <v>0</v>
          </cell>
          <cell r="Y123">
            <v>0</v>
          </cell>
          <cell r="AE123">
            <v>0</v>
          </cell>
          <cell r="AF123">
            <v>0</v>
          </cell>
          <cell r="AV123">
            <v>1</v>
          </cell>
          <cell r="BI123">
            <v>1</v>
          </cell>
          <cell r="BS123">
            <v>1</v>
          </cell>
          <cell r="DD123">
            <v>0</v>
          </cell>
          <cell r="DN123">
            <v>0</v>
          </cell>
          <cell r="DO123">
            <v>0</v>
          </cell>
        </row>
        <row r="125">
          <cell r="E125" t="str">
            <v>41</v>
          </cell>
          <cell r="F125" t="str">
            <v>МКЭ-33-1949/7-1  25.10.2017</v>
          </cell>
          <cell r="H125" t="str">
            <v>шт.</v>
          </cell>
          <cell r="I125">
            <v>4</v>
          </cell>
          <cell r="X125">
            <v>0</v>
          </cell>
          <cell r="Y125">
            <v>0</v>
          </cell>
          <cell r="AE125">
            <v>0</v>
          </cell>
          <cell r="AF125">
            <v>0</v>
          </cell>
          <cell r="AV125">
            <v>1</v>
          </cell>
          <cell r="BI125">
            <v>1</v>
          </cell>
          <cell r="BS125">
            <v>1</v>
          </cell>
          <cell r="DD125">
            <v>0</v>
          </cell>
          <cell r="DN125">
            <v>0</v>
          </cell>
          <cell r="DO125">
            <v>0</v>
          </cell>
        </row>
        <row r="127">
          <cell r="E127" t="str">
            <v>42</v>
          </cell>
          <cell r="F127" t="str">
            <v>МКЭ-28-2289/6-9  08.12.2016</v>
          </cell>
          <cell r="H127" t="str">
            <v>шт.</v>
          </cell>
          <cell r="I127">
            <v>35</v>
          </cell>
          <cell r="X127">
            <v>0</v>
          </cell>
          <cell r="Y127">
            <v>0</v>
          </cell>
          <cell r="AE127">
            <v>0</v>
          </cell>
          <cell r="AF127">
            <v>0</v>
          </cell>
          <cell r="AV127">
            <v>1</v>
          </cell>
          <cell r="BI127">
            <v>1</v>
          </cell>
          <cell r="BS127">
            <v>1</v>
          </cell>
          <cell r="DD127">
            <v>0</v>
          </cell>
          <cell r="DN127">
            <v>0</v>
          </cell>
          <cell r="DO127">
            <v>0</v>
          </cell>
        </row>
        <row r="129">
          <cell r="E129" t="str">
            <v>43</v>
          </cell>
          <cell r="F129" t="str">
            <v>МКЭ-28-2289/6-9  08.12.2016</v>
          </cell>
          <cell r="H129" t="str">
            <v>шт.</v>
          </cell>
          <cell r="I129">
            <v>2</v>
          </cell>
          <cell r="X129">
            <v>0</v>
          </cell>
          <cell r="Y129">
            <v>0</v>
          </cell>
          <cell r="AE129">
            <v>0</v>
          </cell>
          <cell r="AF129">
            <v>0</v>
          </cell>
          <cell r="AV129">
            <v>1</v>
          </cell>
          <cell r="BI129">
            <v>1</v>
          </cell>
          <cell r="BS129">
            <v>1</v>
          </cell>
          <cell r="DD129">
            <v>0</v>
          </cell>
          <cell r="DN129">
            <v>0</v>
          </cell>
          <cell r="DO129">
            <v>0</v>
          </cell>
        </row>
        <row r="131">
          <cell r="E131" t="str">
            <v>44</v>
          </cell>
          <cell r="F131" t="str">
            <v>МКЭ-33-1949/7-1  25.10.2017</v>
          </cell>
          <cell r="H131" t="str">
            <v>шт.</v>
          </cell>
          <cell r="I131">
            <v>2</v>
          </cell>
          <cell r="X131">
            <v>0</v>
          </cell>
          <cell r="Y131">
            <v>0</v>
          </cell>
          <cell r="AE131">
            <v>0</v>
          </cell>
          <cell r="AF131">
            <v>0</v>
          </cell>
          <cell r="AV131">
            <v>1</v>
          </cell>
          <cell r="BI131">
            <v>1</v>
          </cell>
          <cell r="BS131">
            <v>1</v>
          </cell>
          <cell r="DD131">
            <v>0</v>
          </cell>
          <cell r="DN131">
            <v>0</v>
          </cell>
          <cell r="DO131">
            <v>0</v>
          </cell>
        </row>
        <row r="189">
          <cell r="G189" t="str">
            <v>Хозяйственно-питьевой, производственный и противопожарный водопровод (В1)</v>
          </cell>
        </row>
        <row r="526">
          <cell r="G526" t="str">
            <v>Инженерные системы ТПП. Водоснабжение и водоотведение</v>
          </cell>
        </row>
        <row r="532">
          <cell r="H532" t="str">
            <v>Стоимость материалов (всего)</v>
          </cell>
          <cell r="P532">
            <v>370061.78</v>
          </cell>
        </row>
        <row r="540">
          <cell r="H540" t="str">
            <v>ЗП машинистов</v>
          </cell>
          <cell r="P540">
            <v>6962.99</v>
          </cell>
        </row>
        <row r="541">
          <cell r="H541" t="str">
            <v>Основная ЗП рабочих</v>
          </cell>
          <cell r="P541">
            <v>83183.289999999994</v>
          </cell>
        </row>
        <row r="551">
          <cell r="H551" t="str">
            <v>Накладные расходы</v>
          </cell>
          <cell r="P551">
            <v>83714.36</v>
          </cell>
        </row>
        <row r="552">
          <cell r="H552" t="str">
            <v>Сметная прибыль</v>
          </cell>
          <cell r="P552">
            <v>38140.589999999997</v>
          </cell>
        </row>
      </sheetData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ч. щ. 1"/>
      <sheetName val="ч. щ. 2"/>
      <sheetName val="К.С.М."/>
      <sheetName val="Тр."/>
      <sheetName val="Тр.(ж.д.)"/>
      <sheetName val="зим."/>
      <sheetName val="вах"/>
      <sheetName val="окно"/>
      <sheetName val="вр"/>
      <sheetName val="C.с"/>
      <sheetName val="П.з.л.см"/>
      <sheetName val="П.з.р.в"/>
      <sheetName val="Сод.л.см"/>
      <sheetName val="Сод.р.в."/>
      <sheetName val="ТрМ. "/>
      <sheetName val="К.С.М. м"/>
      <sheetName val="отгр ГОК"/>
      <sheetName val="коэф"/>
    </sheetNames>
    <sheetDataSet>
      <sheetData sheetId="0"/>
      <sheetData sheetId="1">
        <row r="57">
          <cell r="H57">
            <v>136.85</v>
          </cell>
        </row>
      </sheetData>
      <sheetData sheetId="2"/>
      <sheetData sheetId="3" refreshError="1">
        <row r="29">
          <cell r="F29">
            <v>14.603200000000001</v>
          </cell>
        </row>
      </sheetData>
      <sheetData sheetId="4">
        <row r="319">
          <cell r="P319">
            <v>10.35</v>
          </cell>
        </row>
      </sheetData>
      <sheetData sheetId="5" refreshError="1">
        <row r="17">
          <cell r="H17">
            <v>5.0599999999999996</v>
          </cell>
        </row>
        <row r="39">
          <cell r="H39">
            <v>3.08</v>
          </cell>
        </row>
        <row r="42">
          <cell r="H42">
            <v>2.6100000000000003</v>
          </cell>
        </row>
        <row r="47">
          <cell r="H47">
            <v>3.21</v>
          </cell>
        </row>
        <row r="50">
          <cell r="H50">
            <v>3.08</v>
          </cell>
        </row>
        <row r="53">
          <cell r="H53">
            <v>2.98</v>
          </cell>
        </row>
        <row r="56">
          <cell r="H56">
            <v>5.22</v>
          </cell>
        </row>
        <row r="59">
          <cell r="H59">
            <v>5.09</v>
          </cell>
        </row>
        <row r="62">
          <cell r="H62">
            <v>2.4300000000000002</v>
          </cell>
        </row>
        <row r="65">
          <cell r="H65">
            <v>1.4</v>
          </cell>
        </row>
      </sheetData>
      <sheetData sheetId="6" refreshError="1">
        <row r="43">
          <cell r="F43">
            <v>5.2489999999999997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_11.25"/>
      <sheetName val="Source"/>
      <sheetName val="SourceObSm"/>
      <sheetName val="SmtRes"/>
      <sheetName val="EtalonRes"/>
    </sheetNames>
    <sheetDataSet>
      <sheetData sheetId="0"/>
      <sheetData sheetId="1">
        <row r="1">
          <cell r="B1" t="str">
            <v>Smeta.RU  (495) 974-1589</v>
          </cell>
        </row>
        <row r="73">
          <cell r="G73" t="str">
            <v>Вентиляция</v>
          </cell>
        </row>
        <row r="993">
          <cell r="G993" t="str">
            <v>В2-35</v>
          </cell>
        </row>
        <row r="1013">
          <cell r="G1013"/>
        </row>
        <row r="1099">
          <cell r="E1099" t="str">
            <v>134</v>
          </cell>
          <cell r="H1099" t="str">
            <v>1  ШТ.</v>
          </cell>
          <cell r="I1099">
            <v>3</v>
          </cell>
          <cell r="P1099">
            <v>125.96</v>
          </cell>
          <cell r="Q1099">
            <v>30.07</v>
          </cell>
          <cell r="R1099">
            <v>18.170000000000002</v>
          </cell>
          <cell r="S1099">
            <v>1615.17</v>
          </cell>
          <cell r="U1099">
            <v>3.3930599999999997</v>
          </cell>
          <cell r="X1099">
            <v>1615.17</v>
          </cell>
          <cell r="Y1099">
            <v>726.83</v>
          </cell>
          <cell r="AC1099">
            <v>16.53</v>
          </cell>
          <cell r="AE1099">
            <v>0.23380000000000001</v>
          </cell>
          <cell r="AF1099">
            <v>20.8249</v>
          </cell>
          <cell r="AL1099">
            <v>16.53</v>
          </cell>
          <cell r="AM1099">
            <v>0.77</v>
          </cell>
          <cell r="AN1099">
            <v>0.14000000000000001</v>
          </cell>
          <cell r="AO1099">
            <v>12.47</v>
          </cell>
          <cell r="AQ1099">
            <v>1.06</v>
          </cell>
          <cell r="AV1099">
            <v>1.0669999999999999</v>
          </cell>
          <cell r="AW1099">
            <v>1</v>
          </cell>
          <cell r="BA1099">
            <v>24.23</v>
          </cell>
          <cell r="BB1099">
            <v>9.27</v>
          </cell>
          <cell r="BC1099">
            <v>2.54</v>
          </cell>
          <cell r="BI1099">
            <v>1</v>
          </cell>
          <cell r="BS1099">
            <v>24.23</v>
          </cell>
          <cell r="BZ1099">
            <v>100</v>
          </cell>
          <cell r="CA1099">
            <v>45</v>
          </cell>
          <cell r="DD1099"/>
          <cell r="DE1099"/>
          <cell r="DG1099" t="str">
            <v>)*1,67</v>
          </cell>
          <cell r="DI1099"/>
          <cell r="DN1099">
            <v>125</v>
          </cell>
          <cell r="DO1099">
            <v>94</v>
          </cell>
          <cell r="ET1099">
            <v>0.77</v>
          </cell>
          <cell r="EU1099">
            <v>0.14000000000000001</v>
          </cell>
        </row>
        <row r="1105">
          <cell r="E1105" t="str">
            <v>135</v>
          </cell>
          <cell r="H1105" t="str">
            <v>шт.</v>
          </cell>
          <cell r="I1105">
            <v>3</v>
          </cell>
          <cell r="P1105">
            <v>2723.37</v>
          </cell>
          <cell r="X1105">
            <v>0</v>
          </cell>
          <cell r="Y1105">
            <v>0</v>
          </cell>
          <cell r="AC1105">
            <v>258.63</v>
          </cell>
          <cell r="AE1105">
            <v>0</v>
          </cell>
          <cell r="AF1105">
            <v>0</v>
          </cell>
          <cell r="AL1105">
            <v>258.63</v>
          </cell>
          <cell r="AV1105">
            <v>1</v>
          </cell>
          <cell r="AW1105">
            <v>1</v>
          </cell>
          <cell r="BC1105">
            <v>3.51</v>
          </cell>
          <cell r="BI1105">
            <v>1</v>
          </cell>
          <cell r="BS1105">
            <v>1</v>
          </cell>
          <cell r="DD1105"/>
          <cell r="DN1105">
            <v>0</v>
          </cell>
          <cell r="DO1105">
            <v>0</v>
          </cell>
        </row>
        <row r="1129">
          <cell r="E1129" t="str">
            <v>147</v>
          </cell>
          <cell r="H1129" t="str">
            <v>1 клапан</v>
          </cell>
          <cell r="I1129">
            <v>5</v>
          </cell>
          <cell r="P1129">
            <v>646.39</v>
          </cell>
          <cell r="Q1129">
            <v>114.82</v>
          </cell>
          <cell r="R1129">
            <v>79.23</v>
          </cell>
          <cell r="S1129">
            <v>10716.93</v>
          </cell>
          <cell r="U1129">
            <v>22.519035000000002</v>
          </cell>
          <cell r="X1129">
            <v>10716.93</v>
          </cell>
          <cell r="Y1129">
            <v>4822.62</v>
          </cell>
          <cell r="AC1129">
            <v>15.67</v>
          </cell>
          <cell r="AE1129">
            <v>0.61372499999999997</v>
          </cell>
          <cell r="AF1129">
            <v>82.905479999999997</v>
          </cell>
          <cell r="AL1129">
            <v>15.67</v>
          </cell>
          <cell r="AM1129">
            <v>1.49</v>
          </cell>
          <cell r="AN1129">
            <v>0.35</v>
          </cell>
          <cell r="AO1129">
            <v>47.28</v>
          </cell>
          <cell r="AQ1129">
            <v>4.0199999999999996</v>
          </cell>
          <cell r="AV1129">
            <v>1.0669999999999999</v>
          </cell>
          <cell r="AW1129">
            <v>1</v>
          </cell>
          <cell r="BA1129">
            <v>24.23</v>
          </cell>
          <cell r="BB1129">
            <v>9.9499999999999993</v>
          </cell>
          <cell r="BC1129">
            <v>8.25</v>
          </cell>
          <cell r="BI1129">
            <v>1</v>
          </cell>
          <cell r="BS1129">
            <v>24.23</v>
          </cell>
          <cell r="BZ1129">
            <v>100</v>
          </cell>
          <cell r="CA1129">
            <v>45</v>
          </cell>
          <cell r="DD1129"/>
          <cell r="DE1129" t="str">
            <v>)*1,05</v>
          </cell>
          <cell r="DG1129" t="str">
            <v>)*1,67)*1,05</v>
          </cell>
          <cell r="DI1129" t="str">
            <v>)*1,05</v>
          </cell>
          <cell r="DN1129">
            <v>125</v>
          </cell>
          <cell r="DO1129">
            <v>94</v>
          </cell>
          <cell r="ET1129">
            <v>1.49</v>
          </cell>
          <cell r="EU1129">
            <v>0.35</v>
          </cell>
        </row>
        <row r="1133">
          <cell r="E1133" t="str">
            <v>149</v>
          </cell>
          <cell r="F1133" t="str">
            <v>МКЭ-33-1005/8-1  26.07.2018</v>
          </cell>
          <cell r="H1133" t="str">
            <v>шт.</v>
          </cell>
          <cell r="I1133">
            <v>3</v>
          </cell>
          <cell r="X1133">
            <v>0</v>
          </cell>
          <cell r="Y1133">
            <v>0</v>
          </cell>
          <cell r="AE1133">
            <v>0</v>
          </cell>
          <cell r="AF1133">
            <v>0</v>
          </cell>
          <cell r="AL1133">
            <v>2539.27</v>
          </cell>
          <cell r="AV1133">
            <v>1</v>
          </cell>
          <cell r="AW1133">
            <v>1</v>
          </cell>
          <cell r="BC1133">
            <v>5.58</v>
          </cell>
          <cell r="BI1133">
            <v>1</v>
          </cell>
          <cell r="BS1133">
            <v>1</v>
          </cell>
          <cell r="DD1133"/>
          <cell r="DN1133">
            <v>0</v>
          </cell>
          <cell r="DO1133">
            <v>0</v>
          </cell>
        </row>
        <row r="1141">
          <cell r="E1141" t="str">
            <v>153</v>
          </cell>
          <cell r="F1141" t="str">
            <v>МКЭ-33-1714/7-1  14.09.2017</v>
          </cell>
          <cell r="H1141" t="str">
            <v>шт.</v>
          </cell>
          <cell r="I1141">
            <v>1</v>
          </cell>
          <cell r="X1141">
            <v>0</v>
          </cell>
          <cell r="Y1141">
            <v>0</v>
          </cell>
          <cell r="AC1141">
            <v>2625.25</v>
          </cell>
          <cell r="AE1141">
            <v>0</v>
          </cell>
          <cell r="AF1141">
            <v>0</v>
          </cell>
          <cell r="AL1141">
            <v>2625.25</v>
          </cell>
          <cell r="AV1141">
            <v>1</v>
          </cell>
          <cell r="AW1141">
            <v>1</v>
          </cell>
          <cell r="BC1141">
            <v>5.58</v>
          </cell>
          <cell r="BI1141">
            <v>1</v>
          </cell>
          <cell r="BS1141">
            <v>1</v>
          </cell>
          <cell r="DD1141"/>
          <cell r="DN1141">
            <v>0</v>
          </cell>
          <cell r="DO1141">
            <v>0</v>
          </cell>
        </row>
        <row r="1145">
          <cell r="E1145" t="str">
            <v>155</v>
          </cell>
          <cell r="F1145" t="str">
            <v>МКЭ-33-1005/8-1 от 26.07.2018г.</v>
          </cell>
          <cell r="H1145" t="str">
            <v>шт.</v>
          </cell>
          <cell r="I1145">
            <v>1</v>
          </cell>
          <cell r="X1145">
            <v>0</v>
          </cell>
          <cell r="Y1145">
            <v>0</v>
          </cell>
          <cell r="AE1145">
            <v>0</v>
          </cell>
          <cell r="AF1145">
            <v>0</v>
          </cell>
          <cell r="AL1145">
            <v>2696.12</v>
          </cell>
          <cell r="AV1145">
            <v>1</v>
          </cell>
          <cell r="AW1145">
            <v>1</v>
          </cell>
          <cell r="BI1145">
            <v>1</v>
          </cell>
          <cell r="BS1145">
            <v>1</v>
          </cell>
          <cell r="DD1145"/>
          <cell r="DN1145">
            <v>0</v>
          </cell>
          <cell r="DO1145">
            <v>0</v>
          </cell>
        </row>
        <row r="1153">
          <cell r="E1153" t="str">
            <v>159</v>
          </cell>
          <cell r="H1153" t="str">
            <v>1 клапан</v>
          </cell>
          <cell r="I1153">
            <v>4</v>
          </cell>
          <cell r="P1153">
            <v>711.02</v>
          </cell>
          <cell r="Q1153">
            <v>460.66</v>
          </cell>
          <cell r="R1153">
            <v>319.11</v>
          </cell>
          <cell r="S1153">
            <v>11494.95</v>
          </cell>
          <cell r="U1153">
            <v>24.468444000000002</v>
          </cell>
          <cell r="X1153">
            <v>11494.95</v>
          </cell>
          <cell r="Y1153">
            <v>5172.7299999999996</v>
          </cell>
          <cell r="AC1153">
            <v>24.35</v>
          </cell>
          <cell r="AE1153">
            <v>3.08616</v>
          </cell>
          <cell r="AF1153">
            <v>111.154365</v>
          </cell>
          <cell r="AL1153">
            <v>24.35</v>
          </cell>
          <cell r="AM1153">
            <v>7.44</v>
          </cell>
          <cell r="AN1153">
            <v>1.76</v>
          </cell>
          <cell r="AO1153">
            <v>63.39</v>
          </cell>
          <cell r="AQ1153">
            <v>5.46</v>
          </cell>
          <cell r="AV1153">
            <v>1.0669999999999999</v>
          </cell>
          <cell r="AW1153">
            <v>1</v>
          </cell>
          <cell r="BA1153">
            <v>24.23</v>
          </cell>
          <cell r="BB1153">
            <v>9.98</v>
          </cell>
          <cell r="BC1153">
            <v>7.3</v>
          </cell>
          <cell r="BI1153">
            <v>1</v>
          </cell>
          <cell r="BS1153">
            <v>24.23</v>
          </cell>
          <cell r="BZ1153">
            <v>100</v>
          </cell>
          <cell r="CA1153">
            <v>45</v>
          </cell>
          <cell r="DD1153"/>
          <cell r="DE1153" t="str">
            <v>)*1,05</v>
          </cell>
          <cell r="DG1153" t="str">
            <v>)*1,67)*1,05</v>
          </cell>
          <cell r="DI1153" t="str">
            <v>)*1,05</v>
          </cell>
          <cell r="DN1153">
            <v>125</v>
          </cell>
          <cell r="DO1153">
            <v>94</v>
          </cell>
          <cell r="ET1153">
            <v>7.44</v>
          </cell>
          <cell r="EU1153">
            <v>1.76</v>
          </cell>
        </row>
        <row r="1157">
          <cell r="E1157" t="str">
            <v>161</v>
          </cell>
          <cell r="F1157" t="str">
            <v>МКЭ-33-442/7-1  29.03.2017</v>
          </cell>
          <cell r="H1157" t="str">
            <v>шт.</v>
          </cell>
          <cell r="I1157">
            <v>4</v>
          </cell>
          <cell r="X1157">
            <v>0</v>
          </cell>
          <cell r="Y1157">
            <v>0</v>
          </cell>
          <cell r="AE1157">
            <v>0</v>
          </cell>
          <cell r="AF1157">
            <v>0</v>
          </cell>
          <cell r="AL1157">
            <v>2754.2</v>
          </cell>
          <cell r="AV1157">
            <v>1</v>
          </cell>
          <cell r="AW1157">
            <v>1</v>
          </cell>
          <cell r="BI1157">
            <v>1</v>
          </cell>
          <cell r="BS1157">
            <v>1</v>
          </cell>
          <cell r="DD1157"/>
          <cell r="DN1157">
            <v>0</v>
          </cell>
          <cell r="DO1157">
            <v>0</v>
          </cell>
        </row>
        <row r="1163">
          <cell r="E1163" t="str">
            <v>164</v>
          </cell>
          <cell r="H1163" t="str">
            <v>1 клапан</v>
          </cell>
          <cell r="I1163">
            <v>2</v>
          </cell>
          <cell r="P1163">
            <v>498.69</v>
          </cell>
          <cell r="Q1163">
            <v>415.03</v>
          </cell>
          <cell r="R1163">
            <v>287.37</v>
          </cell>
          <cell r="S1163">
            <v>7348.72</v>
          </cell>
          <cell r="U1163">
            <v>16.043412</v>
          </cell>
          <cell r="X1163">
            <v>7348.72</v>
          </cell>
          <cell r="Y1163">
            <v>3306.92</v>
          </cell>
          <cell r="AC1163">
            <v>37.159999999999997</v>
          </cell>
          <cell r="AE1163">
            <v>5.5585950000000004</v>
          </cell>
          <cell r="AF1163">
            <v>142.12117499999999</v>
          </cell>
          <cell r="AL1163">
            <v>37.159999999999997</v>
          </cell>
          <cell r="AM1163">
            <v>13.4</v>
          </cell>
          <cell r="AN1163">
            <v>3.17</v>
          </cell>
          <cell r="AO1163">
            <v>81.05</v>
          </cell>
          <cell r="AQ1163">
            <v>7.16</v>
          </cell>
          <cell r="AV1163">
            <v>1.0669999999999999</v>
          </cell>
          <cell r="AW1163">
            <v>1</v>
          </cell>
          <cell r="BA1163">
            <v>24.23</v>
          </cell>
          <cell r="BB1163">
            <v>9.98</v>
          </cell>
          <cell r="BC1163">
            <v>6.71</v>
          </cell>
          <cell r="BI1163">
            <v>1</v>
          </cell>
          <cell r="BS1163">
            <v>24.23</v>
          </cell>
          <cell r="BZ1163">
            <v>100</v>
          </cell>
          <cell r="CA1163">
            <v>45</v>
          </cell>
          <cell r="DD1163"/>
          <cell r="DE1163" t="str">
            <v>)*1,05</v>
          </cell>
          <cell r="DG1163" t="str">
            <v>)*1,67)*1,05</v>
          </cell>
          <cell r="DI1163" t="str">
            <v>)*1,05</v>
          </cell>
          <cell r="DN1163">
            <v>125</v>
          </cell>
          <cell r="DO1163">
            <v>94</v>
          </cell>
          <cell r="ET1163">
            <v>13.4</v>
          </cell>
          <cell r="EU1163">
            <v>3.17</v>
          </cell>
        </row>
        <row r="1165">
          <cell r="E1165" t="str">
            <v>165</v>
          </cell>
          <cell r="F1165" t="str">
            <v>МКЭ-28-3032/6-1  12.01.2017</v>
          </cell>
          <cell r="H1165" t="str">
            <v>шт.</v>
          </cell>
          <cell r="I1165">
            <v>1</v>
          </cell>
          <cell r="P1165">
            <v>19749.96</v>
          </cell>
          <cell r="X1165">
            <v>0</v>
          </cell>
          <cell r="Y1165">
            <v>0</v>
          </cell>
          <cell r="AC1165">
            <v>3539.42</v>
          </cell>
          <cell r="AE1165">
            <v>0</v>
          </cell>
          <cell r="AF1165">
            <v>0</v>
          </cell>
          <cell r="AL1165">
            <v>3539.42</v>
          </cell>
          <cell r="AV1165">
            <v>1</v>
          </cell>
          <cell r="AW1165">
            <v>1</v>
          </cell>
          <cell r="BC1165">
            <v>5.58</v>
          </cell>
          <cell r="BI1165">
            <v>1</v>
          </cell>
          <cell r="BS1165">
            <v>1</v>
          </cell>
          <cell r="DD1165"/>
          <cell r="DN1165">
            <v>0</v>
          </cell>
          <cell r="DO1165">
            <v>0</v>
          </cell>
        </row>
        <row r="1171">
          <cell r="E1171" t="str">
            <v>168</v>
          </cell>
          <cell r="F1171" t="str">
            <v>МКЭ-28-1181/6-3  19.05.2016</v>
          </cell>
          <cell r="H1171" t="str">
            <v>шт.</v>
          </cell>
          <cell r="I1171">
            <v>1</v>
          </cell>
          <cell r="X1171">
            <v>0</v>
          </cell>
          <cell r="Y1171">
            <v>0</v>
          </cell>
          <cell r="AE1171">
            <v>0</v>
          </cell>
          <cell r="AF1171">
            <v>0</v>
          </cell>
          <cell r="AL1171">
            <v>4714.91</v>
          </cell>
          <cell r="AV1171">
            <v>1</v>
          </cell>
          <cell r="AW1171">
            <v>1</v>
          </cell>
          <cell r="BI1171">
            <v>1</v>
          </cell>
          <cell r="BS1171">
            <v>1</v>
          </cell>
          <cell r="DD1171"/>
          <cell r="DN1171">
            <v>0</v>
          </cell>
          <cell r="DO1171">
            <v>0</v>
          </cell>
        </row>
        <row r="1193">
          <cell r="E1193" t="str">
            <v>179</v>
          </cell>
          <cell r="H1193" t="str">
            <v>100 м2 поверхности воздуховодов</v>
          </cell>
          <cell r="I1193">
            <v>0.37319999999999998</v>
          </cell>
          <cell r="P1193">
            <v>682.3</v>
          </cell>
          <cell r="Q1193">
            <v>668.19</v>
          </cell>
          <cell r="R1193">
            <v>315.47000000000003</v>
          </cell>
          <cell r="S1193">
            <v>28089.35</v>
          </cell>
          <cell r="U1193">
            <v>61.32347759999999</v>
          </cell>
          <cell r="X1193">
            <v>28089.35</v>
          </cell>
          <cell r="Y1193">
            <v>12640.21</v>
          </cell>
          <cell r="AC1193">
            <v>499.52</v>
          </cell>
          <cell r="AE1193">
            <v>32.698599999999999</v>
          </cell>
          <cell r="AF1193">
            <v>2911.2775999999999</v>
          </cell>
          <cell r="AL1193">
            <v>499.52</v>
          </cell>
          <cell r="AM1193">
            <v>158.18</v>
          </cell>
          <cell r="AN1193">
            <v>19.579999999999998</v>
          </cell>
          <cell r="AO1193">
            <v>1743.28</v>
          </cell>
          <cell r="AQ1193">
            <v>154</v>
          </cell>
          <cell r="AV1193">
            <v>1.0669999999999999</v>
          </cell>
          <cell r="AW1193">
            <v>1</v>
          </cell>
          <cell r="BA1193">
            <v>24.23</v>
          </cell>
          <cell r="BB1193">
            <v>8.6</v>
          </cell>
          <cell r="BC1193">
            <v>3.66</v>
          </cell>
          <cell r="BI1193">
            <v>1</v>
          </cell>
          <cell r="BS1193">
            <v>24.23</v>
          </cell>
          <cell r="BZ1193">
            <v>100</v>
          </cell>
          <cell r="CA1193">
            <v>45</v>
          </cell>
          <cell r="DD1193"/>
          <cell r="DE1193"/>
          <cell r="DG1193" t="str">
            <v>)*1,67</v>
          </cell>
          <cell r="DI1193"/>
          <cell r="DN1193">
            <v>125</v>
          </cell>
          <cell r="DO1193">
            <v>94</v>
          </cell>
          <cell r="ET1193">
            <v>158.18</v>
          </cell>
          <cell r="EU1193">
            <v>19.579999999999998</v>
          </cell>
        </row>
        <row r="1195">
          <cell r="E1195" t="str">
            <v>179,1</v>
          </cell>
          <cell r="F1195" t="str">
            <v>1.19-3-12</v>
          </cell>
          <cell r="H1195" t="str">
            <v>м2</v>
          </cell>
          <cell r="I1195">
            <v>37.32</v>
          </cell>
          <cell r="O1195">
            <v>18005.3</v>
          </cell>
          <cell r="X1195">
            <v>0</v>
          </cell>
          <cell r="Y1195">
            <v>0</v>
          </cell>
          <cell r="AC1195">
            <v>125.64</v>
          </cell>
          <cell r="AE1195">
            <v>0</v>
          </cell>
          <cell r="AF1195">
            <v>0</v>
          </cell>
          <cell r="AK1195">
            <v>125.64</v>
          </cell>
          <cell r="AV1195">
            <v>1</v>
          </cell>
          <cell r="AW1195">
            <v>1</v>
          </cell>
          <cell r="BC1195">
            <v>3.84</v>
          </cell>
          <cell r="BI1195">
            <v>1</v>
          </cell>
          <cell r="BS1195">
            <v>1</v>
          </cell>
          <cell r="DN1195">
            <v>125</v>
          </cell>
          <cell r="DO1195">
            <v>94</v>
          </cell>
          <cell r="ET1195">
            <v>0</v>
          </cell>
          <cell r="EU1195">
            <v>0</v>
          </cell>
        </row>
        <row r="1197">
          <cell r="E1197" t="str">
            <v>180</v>
          </cell>
          <cell r="H1197" t="str">
            <v>100 м2 поверхности воздуховодов</v>
          </cell>
          <cell r="I1197">
            <v>0.17050000000000001</v>
          </cell>
          <cell r="P1197">
            <v>310.64999999999998</v>
          </cell>
          <cell r="Q1197">
            <v>242.35000000000002</v>
          </cell>
          <cell r="R1197">
            <v>113.64</v>
          </cell>
          <cell r="S1197">
            <v>11749.61</v>
          </cell>
          <cell r="U1197">
            <v>25.651213500000001</v>
          </cell>
          <cell r="X1197">
            <v>11749.61</v>
          </cell>
          <cell r="Y1197">
            <v>5287.32</v>
          </cell>
          <cell r="AC1197">
            <v>499.17</v>
          </cell>
          <cell r="AE1197">
            <v>25.7681</v>
          </cell>
          <cell r="AF1197">
            <v>2665.5203999999999</v>
          </cell>
          <cell r="AL1197">
            <v>499.17</v>
          </cell>
          <cell r="AM1197">
            <v>125.93</v>
          </cell>
          <cell r="AN1197">
            <v>15.43</v>
          </cell>
          <cell r="AO1197">
            <v>1596.12</v>
          </cell>
          <cell r="AQ1197">
            <v>141</v>
          </cell>
          <cell r="AV1197">
            <v>1.0669999999999999</v>
          </cell>
          <cell r="AW1197">
            <v>1</v>
          </cell>
          <cell r="BA1197">
            <v>24.23</v>
          </cell>
          <cell r="BB1197">
            <v>8.59</v>
          </cell>
          <cell r="BC1197">
            <v>3.65</v>
          </cell>
          <cell r="BI1197">
            <v>1</v>
          </cell>
          <cell r="BS1197">
            <v>24.23</v>
          </cell>
          <cell r="BZ1197">
            <v>100</v>
          </cell>
          <cell r="CA1197">
            <v>45</v>
          </cell>
          <cell r="DD1197"/>
          <cell r="DE1197"/>
          <cell r="DG1197" t="str">
            <v>)*1,67</v>
          </cell>
          <cell r="DI1197"/>
          <cell r="DN1197">
            <v>125</v>
          </cell>
          <cell r="DO1197">
            <v>94</v>
          </cell>
          <cell r="ET1197">
            <v>125.93</v>
          </cell>
          <cell r="EU1197">
            <v>15.43</v>
          </cell>
        </row>
        <row r="1199">
          <cell r="E1199" t="str">
            <v>180,1</v>
          </cell>
          <cell r="F1199" t="str">
            <v>1.19-3-12</v>
          </cell>
          <cell r="H1199" t="str">
            <v>м2</v>
          </cell>
          <cell r="I1199">
            <v>17.050000000000004</v>
          </cell>
          <cell r="O1199">
            <v>8225.89</v>
          </cell>
          <cell r="X1199">
            <v>0</v>
          </cell>
          <cell r="Y1199">
            <v>0</v>
          </cell>
          <cell r="AC1199">
            <v>125.64</v>
          </cell>
          <cell r="AE1199">
            <v>0</v>
          </cell>
          <cell r="AF1199">
            <v>0</v>
          </cell>
          <cell r="AK1199">
            <v>125.64</v>
          </cell>
          <cell r="AV1199">
            <v>1</v>
          </cell>
          <cell r="AW1199">
            <v>1</v>
          </cell>
          <cell r="BC1199">
            <v>3.84</v>
          </cell>
          <cell r="BI1199">
            <v>1</v>
          </cell>
          <cell r="BS1199">
            <v>1</v>
          </cell>
          <cell r="DN1199">
            <v>125</v>
          </cell>
          <cell r="DO1199">
            <v>94</v>
          </cell>
          <cell r="ET1199">
            <v>0</v>
          </cell>
          <cell r="EU1199">
            <v>0</v>
          </cell>
        </row>
        <row r="1233">
          <cell r="E1233" t="str">
            <v>189</v>
          </cell>
          <cell r="H1233" t="str">
            <v>100 м2 поверхности воздуховодов</v>
          </cell>
          <cell r="I1233">
            <v>9.6100000000000005E-2</v>
          </cell>
          <cell r="P1233">
            <v>130.31</v>
          </cell>
          <cell r="Q1233">
            <v>94.83</v>
          </cell>
          <cell r="R1233">
            <v>44.34</v>
          </cell>
          <cell r="S1233">
            <v>4311.7299999999996</v>
          </cell>
          <cell r="U1233">
            <v>9.41305266</v>
          </cell>
          <cell r="X1233">
            <v>4311.7299999999996</v>
          </cell>
          <cell r="Y1233">
            <v>1940.28</v>
          </cell>
          <cell r="AC1233">
            <v>409.71</v>
          </cell>
          <cell r="AE1233">
            <v>17.8523</v>
          </cell>
          <cell r="AF1233">
            <v>1735.4305999999999</v>
          </cell>
          <cell r="AL1233">
            <v>409.71</v>
          </cell>
          <cell r="AM1233">
            <v>87.46</v>
          </cell>
          <cell r="AN1233">
            <v>10.69</v>
          </cell>
          <cell r="AO1233">
            <v>1039.18</v>
          </cell>
          <cell r="AQ1233">
            <v>91.8</v>
          </cell>
          <cell r="AV1233">
            <v>1.0669999999999999</v>
          </cell>
          <cell r="AW1233">
            <v>1</v>
          </cell>
          <cell r="BA1233">
            <v>24.23</v>
          </cell>
          <cell r="BB1233">
            <v>8.6</v>
          </cell>
          <cell r="BC1233">
            <v>3.31</v>
          </cell>
          <cell r="BI1233">
            <v>1</v>
          </cell>
          <cell r="BS1233">
            <v>24.23</v>
          </cell>
          <cell r="BZ1233">
            <v>100</v>
          </cell>
          <cell r="CA1233">
            <v>45</v>
          </cell>
          <cell r="DD1233"/>
          <cell r="DE1233"/>
          <cell r="DG1233" t="str">
            <v>)*1,67</v>
          </cell>
          <cell r="DI1233"/>
          <cell r="DN1233">
            <v>125</v>
          </cell>
          <cell r="DO1233">
            <v>94</v>
          </cell>
          <cell r="ET1233">
            <v>87.46</v>
          </cell>
          <cell r="EU1233">
            <v>10.69</v>
          </cell>
        </row>
        <row r="1235">
          <cell r="E1235" t="str">
            <v>189,1</v>
          </cell>
          <cell r="F1235" t="str">
            <v>1.19-3-13</v>
          </cell>
          <cell r="H1235" t="str">
            <v>м2</v>
          </cell>
          <cell r="I1235">
            <v>9.61</v>
          </cell>
          <cell r="O1235">
            <v>4647.8599999999997</v>
          </cell>
          <cell r="X1235">
            <v>0</v>
          </cell>
          <cell r="Y1235">
            <v>0</v>
          </cell>
          <cell r="AC1235">
            <v>157.54</v>
          </cell>
          <cell r="AE1235">
            <v>0</v>
          </cell>
          <cell r="AF1235">
            <v>0</v>
          </cell>
          <cell r="AK1235">
            <v>157.54</v>
          </cell>
          <cell r="AV1235">
            <v>1</v>
          </cell>
          <cell r="AW1235">
            <v>1</v>
          </cell>
          <cell r="BC1235">
            <v>3.07</v>
          </cell>
          <cell r="BI1235">
            <v>1</v>
          </cell>
          <cell r="BS1235">
            <v>1</v>
          </cell>
          <cell r="DN1235">
            <v>125</v>
          </cell>
          <cell r="DO1235">
            <v>94</v>
          </cell>
          <cell r="ET1235">
            <v>0</v>
          </cell>
          <cell r="EU1235">
            <v>0</v>
          </cell>
        </row>
        <row r="1245">
          <cell r="E1245" t="str">
            <v>192</v>
          </cell>
          <cell r="H1245" t="str">
            <v>100 м2 поверхности воздуховодов</v>
          </cell>
          <cell r="I1245">
            <v>4.3999999999999997E-2</v>
          </cell>
          <cell r="U1245">
            <v>2.9295551999999998</v>
          </cell>
          <cell r="X1245">
            <v>1359.79</v>
          </cell>
          <cell r="Y1245">
            <v>611.91</v>
          </cell>
          <cell r="AE1245">
            <v>18.436800000000002</v>
          </cell>
          <cell r="AF1245">
            <v>1195.2691</v>
          </cell>
          <cell r="AL1245">
            <v>516.49</v>
          </cell>
          <cell r="AM1245">
            <v>92.5</v>
          </cell>
          <cell r="AN1245">
            <v>11.04</v>
          </cell>
          <cell r="AO1245">
            <v>715.73</v>
          </cell>
          <cell r="AQ1245">
            <v>62.4</v>
          </cell>
          <cell r="AV1245">
            <v>1.0669999999999999</v>
          </cell>
          <cell r="AW1245">
            <v>1</v>
          </cell>
          <cell r="BA1245">
            <v>24.23</v>
          </cell>
          <cell r="BB1245">
            <v>8.5299999999999994</v>
          </cell>
          <cell r="BC1245">
            <v>3.83</v>
          </cell>
          <cell r="BI1245">
            <v>1</v>
          </cell>
          <cell r="BS1245">
            <v>24.23</v>
          </cell>
          <cell r="BZ1245">
            <v>100</v>
          </cell>
          <cell r="CA1245">
            <v>45</v>
          </cell>
          <cell r="DD1245"/>
          <cell r="DE1245"/>
          <cell r="DG1245" t="str">
            <v>)*1,67</v>
          </cell>
          <cell r="DI1245"/>
          <cell r="DN1245">
            <v>125</v>
          </cell>
          <cell r="DO1245">
            <v>94</v>
          </cell>
        </row>
        <row r="1247">
          <cell r="E1247" t="str">
            <v>192,1</v>
          </cell>
          <cell r="F1247" t="str">
            <v>1.19-3-13</v>
          </cell>
          <cell r="H1247" t="str">
            <v>м2</v>
          </cell>
          <cell r="I1247">
            <v>4.4000000000000004</v>
          </cell>
          <cell r="X1247">
            <v>0</v>
          </cell>
          <cell r="Y1247">
            <v>0</v>
          </cell>
          <cell r="AE1247">
            <v>0</v>
          </cell>
          <cell r="AF1247">
            <v>0</v>
          </cell>
          <cell r="AK1247">
            <v>157.54</v>
          </cell>
          <cell r="AV1247">
            <v>1</v>
          </cell>
          <cell r="AW1247">
            <v>1</v>
          </cell>
          <cell r="BC1247">
            <v>3.07</v>
          </cell>
          <cell r="BI1247">
            <v>1</v>
          </cell>
          <cell r="BS1247">
            <v>1</v>
          </cell>
          <cell r="DN1247">
            <v>125</v>
          </cell>
          <cell r="DO1247">
            <v>94</v>
          </cell>
        </row>
        <row r="1255">
          <cell r="E1255" t="str">
            <v>194</v>
          </cell>
          <cell r="H1255" t="str">
            <v>100 м2 поверхности воздуховодов</v>
          </cell>
          <cell r="I1255">
            <v>9.2799999999999994E-2</v>
          </cell>
          <cell r="P1255">
            <v>169.07</v>
          </cell>
          <cell r="Q1255">
            <v>131.83000000000001</v>
          </cell>
          <cell r="R1255">
            <v>61.79</v>
          </cell>
          <cell r="S1255">
            <v>6395.02</v>
          </cell>
          <cell r="U1255">
            <v>13.961481599999999</v>
          </cell>
          <cell r="X1255">
            <v>6395.02</v>
          </cell>
          <cell r="Y1255">
            <v>2877.76</v>
          </cell>
          <cell r="AC1255">
            <v>499.17</v>
          </cell>
          <cell r="AE1255">
            <v>25.7681</v>
          </cell>
          <cell r="AF1255">
            <v>2665.5203999999999</v>
          </cell>
          <cell r="AL1255">
            <v>499.17</v>
          </cell>
          <cell r="AM1255">
            <v>125.93</v>
          </cell>
          <cell r="AN1255">
            <v>15.43</v>
          </cell>
          <cell r="AO1255">
            <v>1596.12</v>
          </cell>
          <cell r="AQ1255">
            <v>141</v>
          </cell>
          <cell r="AV1255">
            <v>1.0669999999999999</v>
          </cell>
          <cell r="AW1255">
            <v>1</v>
          </cell>
          <cell r="BA1255">
            <v>24.23</v>
          </cell>
          <cell r="BB1255">
            <v>8.59</v>
          </cell>
          <cell r="BC1255">
            <v>3.65</v>
          </cell>
          <cell r="BI1255">
            <v>1</v>
          </cell>
          <cell r="BS1255">
            <v>24.23</v>
          </cell>
          <cell r="BZ1255">
            <v>100</v>
          </cell>
          <cell r="CA1255">
            <v>45</v>
          </cell>
          <cell r="DD1255"/>
          <cell r="DE1255"/>
          <cell r="DG1255" t="str">
            <v>)*1,67</v>
          </cell>
          <cell r="DI1255"/>
          <cell r="DN1255">
            <v>125</v>
          </cell>
          <cell r="DO1255">
            <v>94</v>
          </cell>
          <cell r="ET1255">
            <v>125.93</v>
          </cell>
          <cell r="EU1255">
            <v>15.43</v>
          </cell>
        </row>
        <row r="1257">
          <cell r="E1257" t="str">
            <v>194,1</v>
          </cell>
          <cell r="F1257" t="str">
            <v>1.19-3-12</v>
          </cell>
          <cell r="H1257" t="str">
            <v>м2</v>
          </cell>
          <cell r="I1257">
            <v>9.2799999999999994</v>
          </cell>
          <cell r="O1257">
            <v>4477.21</v>
          </cell>
          <cell r="X1257">
            <v>0</v>
          </cell>
          <cell r="Y1257">
            <v>0</v>
          </cell>
          <cell r="AC1257">
            <v>125.64</v>
          </cell>
          <cell r="AE1257">
            <v>0</v>
          </cell>
          <cell r="AF1257">
            <v>0</v>
          </cell>
          <cell r="AK1257">
            <v>125.64</v>
          </cell>
          <cell r="AV1257">
            <v>1</v>
          </cell>
          <cell r="AW1257">
            <v>1</v>
          </cell>
          <cell r="BC1257">
            <v>3.84</v>
          </cell>
          <cell r="BI1257">
            <v>1</v>
          </cell>
          <cell r="BS1257">
            <v>1</v>
          </cell>
          <cell r="DN1257">
            <v>125</v>
          </cell>
          <cell r="DO1257">
            <v>94</v>
          </cell>
          <cell r="ET1257">
            <v>0</v>
          </cell>
          <cell r="EU1257">
            <v>0</v>
          </cell>
        </row>
        <row r="1263">
          <cell r="E1263" t="str">
            <v>196</v>
          </cell>
          <cell r="H1263" t="str">
            <v>100 м2 поверхности воздуховодов</v>
          </cell>
          <cell r="I1263">
            <v>4.1399999999999999E-2</v>
          </cell>
          <cell r="P1263">
            <v>56.14</v>
          </cell>
          <cell r="Q1263">
            <v>40.950000000000003</v>
          </cell>
          <cell r="R1263">
            <v>19.14</v>
          </cell>
          <cell r="S1263">
            <v>1857.47</v>
          </cell>
          <cell r="U1263">
            <v>4.0551548399999993</v>
          </cell>
          <cell r="X1263">
            <v>1857.47</v>
          </cell>
          <cell r="Y1263">
            <v>835.86</v>
          </cell>
          <cell r="AC1263">
            <v>409.71</v>
          </cell>
          <cell r="AE1263">
            <v>17.8523</v>
          </cell>
          <cell r="AF1263">
            <v>1735.4305999999999</v>
          </cell>
          <cell r="AL1263">
            <v>409.71</v>
          </cell>
          <cell r="AM1263">
            <v>87.46</v>
          </cell>
          <cell r="AN1263">
            <v>10.69</v>
          </cell>
          <cell r="AO1263">
            <v>1039.18</v>
          </cell>
          <cell r="AQ1263">
            <v>91.8</v>
          </cell>
          <cell r="AV1263">
            <v>1.0669999999999999</v>
          </cell>
          <cell r="AW1263">
            <v>1</v>
          </cell>
          <cell r="BA1263">
            <v>24.23</v>
          </cell>
          <cell r="BB1263">
            <v>8.6</v>
          </cell>
          <cell r="BC1263">
            <v>3.31</v>
          </cell>
          <cell r="BI1263">
            <v>1</v>
          </cell>
          <cell r="BS1263">
            <v>24.23</v>
          </cell>
          <cell r="BZ1263">
            <v>100</v>
          </cell>
          <cell r="CA1263">
            <v>45</v>
          </cell>
          <cell r="DD1263"/>
          <cell r="DE1263"/>
          <cell r="DG1263" t="str">
            <v>)*1,67</v>
          </cell>
          <cell r="DI1263"/>
          <cell r="DN1263">
            <v>125</v>
          </cell>
          <cell r="DO1263">
            <v>94</v>
          </cell>
          <cell r="ET1263">
            <v>87.46</v>
          </cell>
          <cell r="EU1263">
            <v>10.69</v>
          </cell>
        </row>
        <row r="1265">
          <cell r="E1265" t="str">
            <v>196,1</v>
          </cell>
          <cell r="F1265" t="str">
            <v>1.19-3-13</v>
          </cell>
          <cell r="H1265" t="str">
            <v>м2</v>
          </cell>
          <cell r="I1265">
            <v>4.1399999999999997</v>
          </cell>
          <cell r="O1265">
            <v>2002.32</v>
          </cell>
          <cell r="X1265">
            <v>0</v>
          </cell>
          <cell r="Y1265">
            <v>0</v>
          </cell>
          <cell r="AC1265">
            <v>157.54</v>
          </cell>
          <cell r="AE1265">
            <v>0</v>
          </cell>
          <cell r="AF1265">
            <v>0</v>
          </cell>
          <cell r="AK1265">
            <v>157.54</v>
          </cell>
          <cell r="AV1265">
            <v>1</v>
          </cell>
          <cell r="AW1265">
            <v>1</v>
          </cell>
          <cell r="BC1265">
            <v>3.07</v>
          </cell>
          <cell r="BI1265">
            <v>1</v>
          </cell>
          <cell r="BS1265">
            <v>1</v>
          </cell>
          <cell r="DN1265">
            <v>125</v>
          </cell>
          <cell r="DO1265">
            <v>94</v>
          </cell>
          <cell r="ET1265">
            <v>0</v>
          </cell>
          <cell r="EU1265">
            <v>0</v>
          </cell>
        </row>
        <row r="1334">
          <cell r="G1334" t="str">
            <v>В2-35</v>
          </cell>
        </row>
        <row r="1499">
          <cell r="G1499" t="str">
            <v>Вентиляция</v>
          </cell>
        </row>
        <row r="2328">
          <cell r="G2328" t="str">
            <v>Станционный комплекс "Аминьевское шоссе". Инженерные системы ТПП. Отопление, вентиляция, кондиционирование, дымоудаление.</v>
          </cell>
        </row>
        <row r="2334">
          <cell r="H2334" t="str">
            <v>Стоимость материалов (всего)</v>
          </cell>
          <cell r="P2334">
            <v>230008.6</v>
          </cell>
        </row>
        <row r="2342">
          <cell r="H2342" t="str">
            <v>ЗП машинистов</v>
          </cell>
          <cell r="P2342">
            <v>1279.3399999999999</v>
          </cell>
        </row>
        <row r="2343">
          <cell r="H2343" t="str">
            <v>Основная ЗП рабочих</v>
          </cell>
          <cell r="P2343">
            <v>84938.74</v>
          </cell>
        </row>
        <row r="2353">
          <cell r="H2353" t="str">
            <v>Накладные расходы</v>
          </cell>
          <cell r="P2353">
            <v>84938.74</v>
          </cell>
        </row>
        <row r="2354">
          <cell r="H2354" t="str">
            <v>Сметная прибыль</v>
          </cell>
          <cell r="P2354">
            <v>38222.44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_11.26"/>
      <sheetName val="Source"/>
      <sheetName val="SourceObSm"/>
      <sheetName val="SmtRes"/>
      <sheetName val="EtalonRes"/>
    </sheetNames>
    <sheetDataSet>
      <sheetData sheetId="0"/>
      <sheetData sheetId="1">
        <row r="1">
          <cell r="B1" t="str">
            <v>Smeta.RU  (495) 974-1589</v>
          </cell>
        </row>
        <row r="28">
          <cell r="G28" t="str">
            <v>Вентиляция</v>
          </cell>
        </row>
        <row r="2410">
          <cell r="G2410" t="str">
            <v>Дополнительные материалы и оборудование</v>
          </cell>
        </row>
        <row r="2449">
          <cell r="E2449" t="str">
            <v>331</v>
          </cell>
          <cell r="H2449" t="str">
            <v>1 клапан</v>
          </cell>
          <cell r="I2449">
            <v>3</v>
          </cell>
          <cell r="P2449">
            <v>76.22</v>
          </cell>
          <cell r="Q2449">
            <v>16.260000000000002</v>
          </cell>
          <cell r="R2449">
            <v>3.88</v>
          </cell>
          <cell r="S2449">
            <v>5074.7299999999996</v>
          </cell>
          <cell r="U2449">
            <v>10.787369999999999</v>
          </cell>
          <cell r="X2449">
            <v>3450.82</v>
          </cell>
          <cell r="Y2449">
            <v>2182.13</v>
          </cell>
          <cell r="AC2449">
            <v>4.43</v>
          </cell>
          <cell r="AE2449">
            <v>5.0099999999999999E-2</v>
          </cell>
          <cell r="AF2449">
            <v>65.430599999999998</v>
          </cell>
          <cell r="AL2449">
            <v>4.43</v>
          </cell>
          <cell r="AM2449">
            <v>0.73</v>
          </cell>
          <cell r="AN2449">
            <v>0.03</v>
          </cell>
          <cell r="AO2449">
            <v>39.18</v>
          </cell>
          <cell r="AQ2449">
            <v>3.37</v>
          </cell>
          <cell r="AV2449">
            <v>1.0669999999999999</v>
          </cell>
          <cell r="AW2449">
            <v>1.028</v>
          </cell>
          <cell r="BA2449">
            <v>24.23</v>
          </cell>
          <cell r="BB2449">
            <v>6.33</v>
          </cell>
          <cell r="BC2449">
            <v>5.58</v>
          </cell>
          <cell r="BI2449">
            <v>2</v>
          </cell>
          <cell r="BS2449">
            <v>24.23</v>
          </cell>
          <cell r="BZ2449">
            <v>68</v>
          </cell>
          <cell r="CA2449">
            <v>43</v>
          </cell>
          <cell r="DG2449" t="str">
            <v>)*1,67</v>
          </cell>
          <cell r="DN2449">
            <v>79</v>
          </cell>
          <cell r="DO2449">
            <v>70</v>
          </cell>
          <cell r="ET2449">
            <v>0.73</v>
          </cell>
          <cell r="EU2449">
            <v>0.03</v>
          </cell>
        </row>
        <row r="2451">
          <cell r="E2451" t="str">
            <v>332</v>
          </cell>
          <cell r="F2451" t="str">
            <v>МКЭ-33-1005/8-1 от 26.07.2018г.</v>
          </cell>
          <cell r="H2451" t="str">
            <v>шт.</v>
          </cell>
          <cell r="I2451">
            <v>3</v>
          </cell>
          <cell r="X2451">
            <v>0</v>
          </cell>
          <cell r="Y2451">
            <v>0</v>
          </cell>
          <cell r="AE2451">
            <v>0</v>
          </cell>
          <cell r="AF2451">
            <v>0</v>
          </cell>
          <cell r="AV2451">
            <v>1</v>
          </cell>
          <cell r="BI2451">
            <v>1</v>
          </cell>
          <cell r="BS2451">
            <v>1</v>
          </cell>
          <cell r="DN2451">
            <v>0</v>
          </cell>
          <cell r="DO2451">
            <v>0</v>
          </cell>
        </row>
        <row r="2455">
          <cell r="E2455" t="str">
            <v>334</v>
          </cell>
          <cell r="H2455" t="str">
            <v>1 клапан</v>
          </cell>
          <cell r="I2455">
            <v>4</v>
          </cell>
          <cell r="P2455">
            <v>124.82</v>
          </cell>
          <cell r="Q2455">
            <v>21.93</v>
          </cell>
          <cell r="R2455">
            <v>5.09</v>
          </cell>
          <cell r="S2455">
            <v>6766.47</v>
          </cell>
          <cell r="U2455">
            <v>14.38316</v>
          </cell>
          <cell r="X2455">
            <v>4601.2</v>
          </cell>
          <cell r="Y2455">
            <v>2909.58</v>
          </cell>
          <cell r="AC2455">
            <v>5.44</v>
          </cell>
          <cell r="AE2455">
            <v>5.0099999999999999E-2</v>
          </cell>
          <cell r="AF2455">
            <v>65.430599999999998</v>
          </cell>
          <cell r="AL2455">
            <v>5.44</v>
          </cell>
          <cell r="AM2455">
            <v>0.73</v>
          </cell>
          <cell r="AN2455">
            <v>0.03</v>
          </cell>
          <cell r="AO2455">
            <v>39.18</v>
          </cell>
          <cell r="AQ2455">
            <v>3.37</v>
          </cell>
          <cell r="AV2455">
            <v>1.0669999999999999</v>
          </cell>
          <cell r="AW2455">
            <v>1.028</v>
          </cell>
          <cell r="BA2455">
            <v>24.23</v>
          </cell>
          <cell r="BB2455">
            <v>6.33</v>
          </cell>
          <cell r="BC2455">
            <v>5.58</v>
          </cell>
          <cell r="BI2455">
            <v>2</v>
          </cell>
          <cell r="BS2455">
            <v>24.23</v>
          </cell>
          <cell r="BZ2455">
            <v>68</v>
          </cell>
          <cell r="CA2455">
            <v>43</v>
          </cell>
          <cell r="DD2455">
            <v>0</v>
          </cell>
          <cell r="DE2455">
            <v>0</v>
          </cell>
          <cell r="DG2455" t="str">
            <v>)*1,67</v>
          </cell>
          <cell r="DI2455">
            <v>0</v>
          </cell>
          <cell r="DN2455">
            <v>79</v>
          </cell>
          <cell r="DO2455">
            <v>70</v>
          </cell>
          <cell r="ET2455">
            <v>0.73</v>
          </cell>
          <cell r="EU2455">
            <v>0.03</v>
          </cell>
        </row>
        <row r="2457">
          <cell r="E2457" t="str">
            <v>335</v>
          </cell>
          <cell r="F2457" t="str">
            <v>МКЭ-33-1005/8-1 от 26.07.2018г.</v>
          </cell>
          <cell r="H2457" t="str">
            <v>шт.</v>
          </cell>
          <cell r="I2457">
            <v>3</v>
          </cell>
          <cell r="X2457">
            <v>0</v>
          </cell>
          <cell r="Y2457">
            <v>0</v>
          </cell>
          <cell r="AE2457">
            <v>0</v>
          </cell>
          <cell r="AF2457">
            <v>0</v>
          </cell>
          <cell r="AV2457">
            <v>1</v>
          </cell>
          <cell r="BI2457">
            <v>1</v>
          </cell>
          <cell r="BS2457">
            <v>1</v>
          </cell>
          <cell r="DN2457">
            <v>0</v>
          </cell>
          <cell r="DO2457">
            <v>0</v>
          </cell>
        </row>
        <row r="2459">
          <cell r="E2459" t="str">
            <v>336</v>
          </cell>
          <cell r="F2459" t="str">
            <v>МКЭ-33-1005/8-1 от 26.07.2018г.</v>
          </cell>
          <cell r="H2459" t="str">
            <v>шт.</v>
          </cell>
          <cell r="I2459">
            <v>1</v>
          </cell>
          <cell r="X2459">
            <v>0</v>
          </cell>
          <cell r="Y2459">
            <v>0</v>
          </cell>
          <cell r="AE2459">
            <v>0</v>
          </cell>
          <cell r="AF2459">
            <v>0</v>
          </cell>
          <cell r="AV2459">
            <v>1</v>
          </cell>
          <cell r="BI2459">
            <v>1</v>
          </cell>
          <cell r="BS2459">
            <v>1</v>
          </cell>
          <cell r="DN2459">
            <v>0</v>
          </cell>
          <cell r="DO2459">
            <v>0</v>
          </cell>
        </row>
        <row r="2461">
          <cell r="E2461" t="str">
            <v>337</v>
          </cell>
          <cell r="H2461" t="str">
            <v>1 клапан</v>
          </cell>
          <cell r="I2461">
            <v>1</v>
          </cell>
          <cell r="P2461">
            <v>45.14</v>
          </cell>
          <cell r="Q2461">
            <v>5.42</v>
          </cell>
          <cell r="R2461">
            <v>1.21</v>
          </cell>
          <cell r="S2461">
            <v>1691.5</v>
          </cell>
          <cell r="U2461">
            <v>3.59579</v>
          </cell>
          <cell r="X2461">
            <v>1150.22</v>
          </cell>
          <cell r="Y2461">
            <v>727.35</v>
          </cell>
          <cell r="AC2461">
            <v>7.87</v>
          </cell>
          <cell r="AE2461">
            <v>5.0099999999999999E-2</v>
          </cell>
          <cell r="AF2461">
            <v>65.430599999999998</v>
          </cell>
          <cell r="AL2461">
            <v>7.87</v>
          </cell>
          <cell r="AM2461">
            <v>0.73</v>
          </cell>
          <cell r="AN2461">
            <v>0.03</v>
          </cell>
          <cell r="AO2461">
            <v>39.18</v>
          </cell>
          <cell r="AQ2461">
            <v>3.37</v>
          </cell>
          <cell r="AV2461">
            <v>1.0669999999999999</v>
          </cell>
          <cell r="AW2461">
            <v>1.028</v>
          </cell>
          <cell r="BA2461">
            <v>24.23</v>
          </cell>
          <cell r="BB2461">
            <v>6.33</v>
          </cell>
          <cell r="BC2461">
            <v>5.58</v>
          </cell>
          <cell r="BI2461">
            <v>2</v>
          </cell>
          <cell r="BS2461">
            <v>24.23</v>
          </cell>
          <cell r="BZ2461">
            <v>68</v>
          </cell>
          <cell r="CA2461">
            <v>43</v>
          </cell>
          <cell r="DD2461">
            <v>0</v>
          </cell>
          <cell r="DE2461">
            <v>0</v>
          </cell>
          <cell r="DG2461" t="str">
            <v>)*1,67</v>
          </cell>
          <cell r="DI2461">
            <v>0</v>
          </cell>
          <cell r="DN2461">
            <v>79</v>
          </cell>
          <cell r="DO2461">
            <v>70</v>
          </cell>
          <cell r="ET2461">
            <v>0.73</v>
          </cell>
          <cell r="EU2461">
            <v>0.03</v>
          </cell>
        </row>
        <row r="2463">
          <cell r="E2463" t="str">
            <v>338</v>
          </cell>
          <cell r="F2463" t="str">
            <v>МКЭ-33-1005/8-1 от 26.07.2018г.</v>
          </cell>
          <cell r="H2463" t="str">
            <v>шт.</v>
          </cell>
          <cell r="I2463">
            <v>1</v>
          </cell>
          <cell r="X2463">
            <v>0</v>
          </cell>
          <cell r="Y2463">
            <v>0</v>
          </cell>
          <cell r="AE2463">
            <v>0</v>
          </cell>
          <cell r="AF2463">
            <v>0</v>
          </cell>
          <cell r="AV2463">
            <v>1</v>
          </cell>
          <cell r="BI2463">
            <v>1</v>
          </cell>
          <cell r="BS2463">
            <v>1</v>
          </cell>
          <cell r="DN2463">
            <v>0</v>
          </cell>
          <cell r="DO2463">
            <v>0</v>
          </cell>
        </row>
        <row r="2465">
          <cell r="E2465" t="str">
            <v>339</v>
          </cell>
          <cell r="H2465" t="str">
            <v>1 клапан</v>
          </cell>
          <cell r="I2465">
            <v>37</v>
          </cell>
          <cell r="P2465">
            <v>4783.2700000000004</v>
          </cell>
          <cell r="Q2465">
            <v>850.03</v>
          </cell>
          <cell r="R2465">
            <v>587.09</v>
          </cell>
          <cell r="S2465">
            <v>79305.52</v>
          </cell>
          <cell r="U2465">
            <v>166.64085900000001</v>
          </cell>
          <cell r="X2465">
            <v>79305.52</v>
          </cell>
          <cell r="Y2465">
            <v>35687.480000000003</v>
          </cell>
          <cell r="AC2465">
            <v>15.67</v>
          </cell>
          <cell r="AE2465">
            <v>0.61372499999999997</v>
          </cell>
          <cell r="AF2465">
            <v>82.905479999999997</v>
          </cell>
          <cell r="AL2465">
            <v>15.67</v>
          </cell>
          <cell r="AM2465">
            <v>1.49</v>
          </cell>
          <cell r="AN2465">
            <v>0.35</v>
          </cell>
          <cell r="AO2465">
            <v>47.28</v>
          </cell>
          <cell r="AQ2465">
            <v>4.0199999999999996</v>
          </cell>
          <cell r="AV2465">
            <v>1.0669999999999999</v>
          </cell>
          <cell r="AW2465">
            <v>1</v>
          </cell>
          <cell r="BA2465">
            <v>24.23</v>
          </cell>
          <cell r="BB2465">
            <v>9.9499999999999993</v>
          </cell>
          <cell r="BC2465">
            <v>8.25</v>
          </cell>
          <cell r="BI2465">
            <v>1</v>
          </cell>
          <cell r="BS2465">
            <v>24.23</v>
          </cell>
          <cell r="BZ2465">
            <v>100</v>
          </cell>
          <cell r="CA2465">
            <v>45</v>
          </cell>
          <cell r="DD2465">
            <v>0</v>
          </cell>
          <cell r="DE2465" t="str">
            <v>)*1,05</v>
          </cell>
          <cell r="DG2465" t="str">
            <v>)*1,05)*1,67</v>
          </cell>
          <cell r="DI2465" t="str">
            <v>)*1,05</v>
          </cell>
          <cell r="DN2465">
            <v>125</v>
          </cell>
          <cell r="DO2465">
            <v>94</v>
          </cell>
          <cell r="ET2465">
            <v>1.49</v>
          </cell>
          <cell r="EU2465">
            <v>0.35</v>
          </cell>
        </row>
        <row r="2467">
          <cell r="E2467" t="str">
            <v>340</v>
          </cell>
          <cell r="F2467" t="str">
            <v>МКЭ-33-1005/8-1 от 26.07.2018г.</v>
          </cell>
          <cell r="H2467" t="str">
            <v>шт.</v>
          </cell>
          <cell r="I2467">
            <v>1</v>
          </cell>
          <cell r="X2467">
            <v>0</v>
          </cell>
          <cell r="Y2467">
            <v>0</v>
          </cell>
          <cell r="AE2467">
            <v>0</v>
          </cell>
          <cell r="AF2467">
            <v>0</v>
          </cell>
          <cell r="AV2467">
            <v>1</v>
          </cell>
          <cell r="BI2467">
            <v>1</v>
          </cell>
          <cell r="BS2467">
            <v>1</v>
          </cell>
          <cell r="DN2467">
            <v>0</v>
          </cell>
          <cell r="DO2467">
            <v>0</v>
          </cell>
        </row>
        <row r="2469">
          <cell r="E2469" t="str">
            <v>341</v>
          </cell>
          <cell r="F2469" t="str">
            <v>МКЭ-33-1005/8-1 от 26.07.2018г.</v>
          </cell>
          <cell r="H2469" t="str">
            <v>шт.</v>
          </cell>
          <cell r="I2469">
            <v>6</v>
          </cell>
          <cell r="X2469">
            <v>0</v>
          </cell>
          <cell r="Y2469">
            <v>0</v>
          </cell>
          <cell r="AE2469">
            <v>0</v>
          </cell>
          <cell r="AF2469">
            <v>0</v>
          </cell>
          <cell r="AV2469">
            <v>1</v>
          </cell>
          <cell r="BI2469">
            <v>1</v>
          </cell>
          <cell r="BS2469">
            <v>1</v>
          </cell>
          <cell r="DN2469">
            <v>0</v>
          </cell>
          <cell r="DO2469">
            <v>0</v>
          </cell>
        </row>
        <row r="2471">
          <cell r="E2471" t="str">
            <v>342</v>
          </cell>
          <cell r="F2471" t="str">
            <v>МКЭ-33-1142/8-1 от 15.08.2018г.</v>
          </cell>
          <cell r="H2471" t="str">
            <v>шт.</v>
          </cell>
          <cell r="I2471">
            <v>3</v>
          </cell>
          <cell r="X2471">
            <v>0</v>
          </cell>
          <cell r="Y2471">
            <v>0</v>
          </cell>
          <cell r="AE2471">
            <v>0</v>
          </cell>
          <cell r="AF2471">
            <v>0</v>
          </cell>
          <cell r="AV2471">
            <v>1</v>
          </cell>
          <cell r="BI2471">
            <v>1</v>
          </cell>
          <cell r="BS2471">
            <v>1</v>
          </cell>
          <cell r="DN2471">
            <v>0</v>
          </cell>
          <cell r="DO2471">
            <v>0</v>
          </cell>
        </row>
        <row r="2473">
          <cell r="E2473" t="str">
            <v>343</v>
          </cell>
          <cell r="F2473" t="str">
            <v>МКЭ-33-1005/8-1 от 26.07.2018г.</v>
          </cell>
          <cell r="H2473" t="str">
            <v>шт.</v>
          </cell>
          <cell r="I2473">
            <v>2</v>
          </cell>
          <cell r="X2473">
            <v>0</v>
          </cell>
          <cell r="Y2473">
            <v>0</v>
          </cell>
          <cell r="AE2473">
            <v>0</v>
          </cell>
          <cell r="AF2473">
            <v>0</v>
          </cell>
          <cell r="AV2473">
            <v>1</v>
          </cell>
          <cell r="BI2473">
            <v>1</v>
          </cell>
          <cell r="BS2473">
            <v>1</v>
          </cell>
          <cell r="DN2473">
            <v>0</v>
          </cell>
          <cell r="DO2473">
            <v>0</v>
          </cell>
        </row>
        <row r="2475">
          <cell r="E2475" t="str">
            <v>344</v>
          </cell>
          <cell r="F2475" t="str">
            <v>МКЭ-33-1005/8-1 от 26.07.2018г.</v>
          </cell>
          <cell r="H2475" t="str">
            <v>шт.</v>
          </cell>
          <cell r="I2475">
            <v>2</v>
          </cell>
          <cell r="X2475">
            <v>0</v>
          </cell>
          <cell r="Y2475">
            <v>0</v>
          </cell>
          <cell r="AE2475">
            <v>0</v>
          </cell>
          <cell r="AF2475">
            <v>0</v>
          </cell>
          <cell r="AV2475">
            <v>1</v>
          </cell>
          <cell r="BI2475">
            <v>1</v>
          </cell>
          <cell r="BS2475">
            <v>1</v>
          </cell>
          <cell r="DN2475">
            <v>0</v>
          </cell>
          <cell r="DO2475">
            <v>0</v>
          </cell>
        </row>
        <row r="2477">
          <cell r="E2477" t="str">
            <v>345</v>
          </cell>
          <cell r="F2477" t="str">
            <v>МКЭ-33-1714/7-1 от 14.09.2017г.</v>
          </cell>
          <cell r="H2477" t="str">
            <v>шт.</v>
          </cell>
          <cell r="I2477">
            <v>1</v>
          </cell>
          <cell r="X2477">
            <v>0</v>
          </cell>
          <cell r="Y2477">
            <v>0</v>
          </cell>
          <cell r="AE2477">
            <v>0</v>
          </cell>
          <cell r="AF2477">
            <v>0</v>
          </cell>
          <cell r="AV2477">
            <v>1</v>
          </cell>
          <cell r="BI2477">
            <v>1</v>
          </cell>
          <cell r="BS2477">
            <v>1</v>
          </cell>
          <cell r="DN2477">
            <v>0</v>
          </cell>
          <cell r="DO2477">
            <v>0</v>
          </cell>
        </row>
        <row r="2479">
          <cell r="E2479" t="str">
            <v>346</v>
          </cell>
          <cell r="F2479" t="str">
            <v>МКЭ-33-2341/7-1 от 28.12.2017г.</v>
          </cell>
          <cell r="H2479" t="str">
            <v>шт.</v>
          </cell>
          <cell r="I2479">
            <v>3</v>
          </cell>
          <cell r="X2479">
            <v>0</v>
          </cell>
          <cell r="Y2479">
            <v>0</v>
          </cell>
          <cell r="AE2479">
            <v>0</v>
          </cell>
          <cell r="AF2479">
            <v>0</v>
          </cell>
          <cell r="AV2479">
            <v>1</v>
          </cell>
          <cell r="BI2479">
            <v>1</v>
          </cell>
          <cell r="BS2479">
            <v>1</v>
          </cell>
          <cell r="DN2479">
            <v>0</v>
          </cell>
          <cell r="DO2479">
            <v>0</v>
          </cell>
        </row>
        <row r="2481">
          <cell r="E2481" t="str">
            <v>347</v>
          </cell>
          <cell r="F2481" t="str">
            <v>МКЭ-28-2762/6-7  20.04.2017</v>
          </cell>
          <cell r="H2481" t="str">
            <v>шт.</v>
          </cell>
          <cell r="I2481">
            <v>1</v>
          </cell>
          <cell r="X2481">
            <v>0</v>
          </cell>
          <cell r="Y2481">
            <v>0</v>
          </cell>
          <cell r="AE2481">
            <v>0</v>
          </cell>
          <cell r="AF2481">
            <v>0</v>
          </cell>
          <cell r="AV2481">
            <v>1</v>
          </cell>
          <cell r="BI2481">
            <v>1</v>
          </cell>
          <cell r="BS2481">
            <v>1</v>
          </cell>
          <cell r="DN2481">
            <v>0</v>
          </cell>
          <cell r="DO2481">
            <v>0</v>
          </cell>
        </row>
        <row r="2483">
          <cell r="E2483" t="str">
            <v>348</v>
          </cell>
          <cell r="F2483" t="str">
            <v>МКЭ-33-1005/8-1 от 26.07.2018г.</v>
          </cell>
          <cell r="H2483" t="str">
            <v>шт.</v>
          </cell>
          <cell r="I2483">
            <v>4</v>
          </cell>
          <cell r="X2483">
            <v>0</v>
          </cell>
          <cell r="Y2483">
            <v>0</v>
          </cell>
          <cell r="AE2483">
            <v>0</v>
          </cell>
          <cell r="AF2483">
            <v>0</v>
          </cell>
          <cell r="AV2483">
            <v>1</v>
          </cell>
          <cell r="BI2483">
            <v>1</v>
          </cell>
          <cell r="BS2483">
            <v>1</v>
          </cell>
          <cell r="DN2483">
            <v>0</v>
          </cell>
          <cell r="DO2483">
            <v>0</v>
          </cell>
        </row>
        <row r="2487">
          <cell r="E2487" t="str">
            <v>350</v>
          </cell>
          <cell r="F2487" t="str">
            <v>МКЭ-33-1005/8-1 от 26.07.2018г.</v>
          </cell>
          <cell r="H2487" t="str">
            <v>шт.</v>
          </cell>
          <cell r="I2487">
            <v>6</v>
          </cell>
          <cell r="X2487">
            <v>0</v>
          </cell>
          <cell r="Y2487">
            <v>0</v>
          </cell>
          <cell r="AE2487">
            <v>0</v>
          </cell>
          <cell r="AF2487">
            <v>0</v>
          </cell>
          <cell r="AV2487">
            <v>1</v>
          </cell>
          <cell r="BI2487">
            <v>1</v>
          </cell>
          <cell r="BS2487">
            <v>1</v>
          </cell>
          <cell r="DN2487">
            <v>0</v>
          </cell>
          <cell r="DO2487">
            <v>0</v>
          </cell>
        </row>
        <row r="2495">
          <cell r="E2495" t="str">
            <v>354</v>
          </cell>
          <cell r="F2495" t="str">
            <v>МКЭ-33-1005/8-1 от 26.07.2018г.</v>
          </cell>
          <cell r="H2495" t="str">
            <v>шт.</v>
          </cell>
          <cell r="I2495">
            <v>1</v>
          </cell>
          <cell r="X2495">
            <v>0</v>
          </cell>
          <cell r="Y2495">
            <v>0</v>
          </cell>
          <cell r="AE2495">
            <v>0</v>
          </cell>
          <cell r="AF2495">
            <v>0</v>
          </cell>
          <cell r="AV2495">
            <v>1</v>
          </cell>
          <cell r="BI2495">
            <v>1</v>
          </cell>
          <cell r="BS2495">
            <v>1</v>
          </cell>
          <cell r="DN2495">
            <v>0</v>
          </cell>
          <cell r="DO2495">
            <v>0</v>
          </cell>
        </row>
        <row r="2497">
          <cell r="E2497" t="str">
            <v>355</v>
          </cell>
          <cell r="F2497" t="str">
            <v>МКЭ-28-2762/6-7 от 20.04.2017г.</v>
          </cell>
          <cell r="H2497" t="str">
            <v>шт.</v>
          </cell>
          <cell r="I2497">
            <v>4</v>
          </cell>
          <cell r="X2497">
            <v>0</v>
          </cell>
          <cell r="Y2497">
            <v>0</v>
          </cell>
          <cell r="AE2497">
            <v>0</v>
          </cell>
          <cell r="AF2497">
            <v>0</v>
          </cell>
          <cell r="AV2497">
            <v>1</v>
          </cell>
          <cell r="BI2497">
            <v>1</v>
          </cell>
          <cell r="BS2497">
            <v>1</v>
          </cell>
          <cell r="DN2497">
            <v>0</v>
          </cell>
          <cell r="DO2497">
            <v>0</v>
          </cell>
        </row>
        <row r="2505">
          <cell r="E2505" t="str">
            <v>359</v>
          </cell>
          <cell r="F2505" t="str">
            <v>МКЭ-33-1005/8-1  26.07.2018</v>
          </cell>
          <cell r="H2505" t="str">
            <v>шт.</v>
          </cell>
          <cell r="I2505">
            <v>2</v>
          </cell>
          <cell r="X2505">
            <v>0</v>
          </cell>
          <cell r="Y2505">
            <v>0</v>
          </cell>
          <cell r="AE2505">
            <v>0</v>
          </cell>
          <cell r="AF2505">
            <v>0</v>
          </cell>
          <cell r="AV2505">
            <v>1</v>
          </cell>
          <cell r="BI2505">
            <v>1</v>
          </cell>
          <cell r="BS2505">
            <v>1</v>
          </cell>
          <cell r="DN2505">
            <v>0</v>
          </cell>
          <cell r="DO2505">
            <v>0</v>
          </cell>
        </row>
        <row r="2555">
          <cell r="E2555" t="str">
            <v>384</v>
          </cell>
          <cell r="H2555" t="str">
            <v>1 клапан</v>
          </cell>
          <cell r="I2555">
            <v>13</v>
          </cell>
          <cell r="P2555">
            <v>1680.61</v>
          </cell>
          <cell r="Q2555">
            <v>298.78999999999996</v>
          </cell>
          <cell r="R2555">
            <v>206.2</v>
          </cell>
          <cell r="S2555">
            <v>27864.02</v>
          </cell>
          <cell r="U2555">
            <v>58.549491000000003</v>
          </cell>
          <cell r="X2555">
            <v>27864.02</v>
          </cell>
          <cell r="Y2555">
            <v>12538.81</v>
          </cell>
          <cell r="AC2555">
            <v>15.67</v>
          </cell>
          <cell r="AE2555">
            <v>0.61372499999999997</v>
          </cell>
          <cell r="AF2555">
            <v>82.905479999999997</v>
          </cell>
          <cell r="AL2555">
            <v>15.67</v>
          </cell>
          <cell r="AM2555">
            <v>1.49</v>
          </cell>
          <cell r="AN2555">
            <v>0.35</v>
          </cell>
          <cell r="AO2555">
            <v>47.28</v>
          </cell>
          <cell r="AQ2555">
            <v>4.0199999999999996</v>
          </cell>
          <cell r="AV2555">
            <v>1.0669999999999999</v>
          </cell>
          <cell r="AW2555">
            <v>1</v>
          </cell>
          <cell r="BA2555">
            <v>24.23</v>
          </cell>
          <cell r="BB2555">
            <v>9.9499999999999993</v>
          </cell>
          <cell r="BC2555">
            <v>8.25</v>
          </cell>
          <cell r="BI2555">
            <v>1</v>
          </cell>
          <cell r="BS2555">
            <v>24.23</v>
          </cell>
          <cell r="BZ2555">
            <v>100</v>
          </cell>
          <cell r="CA2555">
            <v>45</v>
          </cell>
          <cell r="DD2555">
            <v>0</v>
          </cell>
          <cell r="DE2555" t="str">
            <v>)*1,05</v>
          </cell>
          <cell r="DG2555" t="str">
            <v>)*1,05)*1,67</v>
          </cell>
          <cell r="DI2555" t="str">
            <v>)*1,05</v>
          </cell>
          <cell r="DN2555">
            <v>125</v>
          </cell>
          <cell r="DO2555">
            <v>94</v>
          </cell>
          <cell r="ET2555">
            <v>1.49</v>
          </cell>
          <cell r="EU2555">
            <v>0.35</v>
          </cell>
        </row>
        <row r="2557">
          <cell r="E2557" t="str">
            <v>384,1</v>
          </cell>
          <cell r="F2557" t="str">
            <v>МКЭ-28-1466/6-1  14.06.2016</v>
          </cell>
          <cell r="H2557" t="str">
            <v>шт.</v>
          </cell>
          <cell r="I2557">
            <v>2</v>
          </cell>
          <cell r="X2557">
            <v>0</v>
          </cell>
          <cell r="Y2557">
            <v>0</v>
          </cell>
          <cell r="AE2557">
            <v>0</v>
          </cell>
          <cell r="AF2557">
            <v>0</v>
          </cell>
          <cell r="AV2557">
            <v>1</v>
          </cell>
          <cell r="BI2557">
            <v>1</v>
          </cell>
          <cell r="BS2557">
            <v>1</v>
          </cell>
          <cell r="DN2557">
            <v>125</v>
          </cell>
          <cell r="DO2557">
            <v>94</v>
          </cell>
        </row>
        <row r="2559">
          <cell r="E2559" t="str">
            <v>384,2</v>
          </cell>
          <cell r="F2559" t="str">
            <v>МКЭ-28-1896/5-1  18.01.2016</v>
          </cell>
          <cell r="H2559" t="str">
            <v>шт.</v>
          </cell>
          <cell r="I2559">
            <v>1</v>
          </cell>
          <cell r="X2559">
            <v>0</v>
          </cell>
          <cell r="Y2559">
            <v>0</v>
          </cell>
          <cell r="AE2559">
            <v>0</v>
          </cell>
          <cell r="AF2559">
            <v>0</v>
          </cell>
          <cell r="AV2559">
            <v>1</v>
          </cell>
          <cell r="BI2559">
            <v>1</v>
          </cell>
          <cell r="BS2559">
            <v>1</v>
          </cell>
          <cell r="DN2559">
            <v>125</v>
          </cell>
          <cell r="DO2559">
            <v>94</v>
          </cell>
        </row>
        <row r="2561">
          <cell r="E2561" t="str">
            <v>384,3</v>
          </cell>
          <cell r="F2561" t="str">
            <v>МКЭ-28-1205/6-7  26.10.2016</v>
          </cell>
          <cell r="H2561" t="str">
            <v>шт.</v>
          </cell>
          <cell r="I2561">
            <v>2</v>
          </cell>
          <cell r="X2561">
            <v>0</v>
          </cell>
          <cell r="Y2561">
            <v>0</v>
          </cell>
          <cell r="AE2561">
            <v>0</v>
          </cell>
          <cell r="AF2561">
            <v>0</v>
          </cell>
          <cell r="AV2561">
            <v>1</v>
          </cell>
          <cell r="BI2561">
            <v>1</v>
          </cell>
          <cell r="BS2561">
            <v>1</v>
          </cell>
          <cell r="DN2561">
            <v>125</v>
          </cell>
          <cell r="DO2561">
            <v>94</v>
          </cell>
        </row>
        <row r="2563">
          <cell r="E2563" t="str">
            <v>384,4</v>
          </cell>
          <cell r="F2563" t="str">
            <v>МКЭ-28-498/6-1  17.02.2016</v>
          </cell>
          <cell r="H2563" t="str">
            <v>шт.</v>
          </cell>
          <cell r="I2563">
            <v>1</v>
          </cell>
          <cell r="X2563">
            <v>0</v>
          </cell>
          <cell r="Y2563">
            <v>0</v>
          </cell>
          <cell r="AE2563">
            <v>0</v>
          </cell>
          <cell r="AF2563">
            <v>0</v>
          </cell>
          <cell r="AV2563">
            <v>1</v>
          </cell>
          <cell r="BI2563">
            <v>1</v>
          </cell>
          <cell r="BS2563">
            <v>1</v>
          </cell>
          <cell r="DN2563">
            <v>125</v>
          </cell>
          <cell r="DO2563">
            <v>94</v>
          </cell>
        </row>
        <row r="2565">
          <cell r="E2565" t="str">
            <v>385</v>
          </cell>
          <cell r="F2565" t="str">
            <v>МКЭ-28-2270/6-3  07.11.2016</v>
          </cell>
          <cell r="H2565" t="str">
            <v>шт.</v>
          </cell>
          <cell r="I2565">
            <v>6</v>
          </cell>
          <cell r="X2565">
            <v>0</v>
          </cell>
          <cell r="Y2565">
            <v>0</v>
          </cell>
          <cell r="AE2565">
            <v>0</v>
          </cell>
          <cell r="AF2565">
            <v>0</v>
          </cell>
          <cell r="AV2565">
            <v>1</v>
          </cell>
          <cell r="BI2565">
            <v>1</v>
          </cell>
          <cell r="BS2565">
            <v>1</v>
          </cell>
          <cell r="DN2565">
            <v>0</v>
          </cell>
          <cell r="DO2565">
            <v>0</v>
          </cell>
        </row>
        <row r="2567">
          <cell r="E2567" t="str">
            <v>386</v>
          </cell>
          <cell r="F2567" t="str">
            <v>МКЭ-28-2762/6-7  20.04.2017</v>
          </cell>
          <cell r="H2567" t="str">
            <v>шт.</v>
          </cell>
          <cell r="I2567">
            <v>1</v>
          </cell>
          <cell r="X2567">
            <v>0</v>
          </cell>
          <cell r="Y2567">
            <v>0</v>
          </cell>
          <cell r="AE2567">
            <v>0</v>
          </cell>
          <cell r="AF2567">
            <v>0</v>
          </cell>
          <cell r="AV2567">
            <v>1</v>
          </cell>
          <cell r="BI2567">
            <v>1</v>
          </cell>
          <cell r="BS2567">
            <v>1</v>
          </cell>
          <cell r="DN2567">
            <v>0</v>
          </cell>
          <cell r="DO2567">
            <v>0</v>
          </cell>
        </row>
        <row r="2579">
          <cell r="E2579" t="str">
            <v>392</v>
          </cell>
          <cell r="H2579" t="str">
            <v>1 клапан</v>
          </cell>
          <cell r="I2579">
            <v>1</v>
          </cell>
          <cell r="P2579">
            <v>129.28</v>
          </cell>
          <cell r="Q2579">
            <v>22.92</v>
          </cell>
          <cell r="R2579">
            <v>15.75</v>
          </cell>
          <cell r="S2579">
            <v>2143.39</v>
          </cell>
          <cell r="U2579">
            <v>4.5038070000000001</v>
          </cell>
          <cell r="X2579">
            <v>2143.39</v>
          </cell>
          <cell r="Y2579">
            <v>964.53</v>
          </cell>
          <cell r="AC2579">
            <v>15.67</v>
          </cell>
          <cell r="AE2579">
            <v>0.61372499999999997</v>
          </cell>
          <cell r="AF2579">
            <v>82.905479999999997</v>
          </cell>
          <cell r="AL2579">
            <v>15.67</v>
          </cell>
          <cell r="AM2579">
            <v>1.49</v>
          </cell>
          <cell r="AN2579">
            <v>0.35</v>
          </cell>
          <cell r="AO2579">
            <v>47.28</v>
          </cell>
          <cell r="AQ2579">
            <v>4.0199999999999996</v>
          </cell>
          <cell r="AV2579">
            <v>1.0669999999999999</v>
          </cell>
          <cell r="AW2579">
            <v>1</v>
          </cell>
          <cell r="BA2579">
            <v>24.23</v>
          </cell>
          <cell r="BB2579">
            <v>9.9499999999999993</v>
          </cell>
          <cell r="BC2579">
            <v>8.25</v>
          </cell>
          <cell r="BI2579">
            <v>1</v>
          </cell>
          <cell r="BS2579">
            <v>24.23</v>
          </cell>
          <cell r="BZ2579">
            <v>100</v>
          </cell>
          <cell r="CA2579">
            <v>45</v>
          </cell>
          <cell r="DD2579">
            <v>0</v>
          </cell>
          <cell r="DE2579" t="str">
            <v>)*1,05</v>
          </cell>
          <cell r="DG2579" t="str">
            <v>)*1,05)*1,67</v>
          </cell>
          <cell r="DI2579" t="str">
            <v>)*1,05</v>
          </cell>
          <cell r="DN2579">
            <v>125</v>
          </cell>
          <cell r="DO2579">
            <v>94</v>
          </cell>
          <cell r="ET2579">
            <v>1.49</v>
          </cell>
          <cell r="EU2579">
            <v>0.35</v>
          </cell>
        </row>
        <row r="2581">
          <cell r="E2581" t="str">
            <v>393</v>
          </cell>
          <cell r="F2581" t="str">
            <v>МКЭ-33-1232/9-1  27.06.2019</v>
          </cell>
          <cell r="H2581" t="str">
            <v>шт.</v>
          </cell>
          <cell r="I2581">
            <v>1</v>
          </cell>
          <cell r="X2581">
            <v>0</v>
          </cell>
          <cell r="Y2581">
            <v>0</v>
          </cell>
          <cell r="AE2581">
            <v>0</v>
          </cell>
          <cell r="AF2581">
            <v>0</v>
          </cell>
          <cell r="AV2581">
            <v>1</v>
          </cell>
          <cell r="BI2581">
            <v>1</v>
          </cell>
          <cell r="BS2581">
            <v>1</v>
          </cell>
          <cell r="DN2581">
            <v>0</v>
          </cell>
          <cell r="DO2581">
            <v>0</v>
          </cell>
        </row>
        <row r="2653">
          <cell r="E2653" t="str">
            <v>428</v>
          </cell>
          <cell r="H2653" t="str">
            <v>шт.</v>
          </cell>
          <cell r="I2653">
            <v>2</v>
          </cell>
          <cell r="P2653">
            <v>3195.33</v>
          </cell>
          <cell r="X2653">
            <v>0</v>
          </cell>
          <cell r="Y2653">
            <v>0</v>
          </cell>
          <cell r="AC2653">
            <v>654.78</v>
          </cell>
          <cell r="AE2653">
            <v>0</v>
          </cell>
          <cell r="AF2653">
            <v>0</v>
          </cell>
          <cell r="AL2653">
            <v>654.78</v>
          </cell>
          <cell r="AV2653">
            <v>1</v>
          </cell>
          <cell r="AW2653">
            <v>1</v>
          </cell>
          <cell r="BC2653">
            <v>2.44</v>
          </cell>
          <cell r="BI2653">
            <v>1</v>
          </cell>
          <cell r="BS2653">
            <v>1</v>
          </cell>
          <cell r="DD2653">
            <v>0</v>
          </cell>
          <cell r="DN2653">
            <v>0</v>
          </cell>
          <cell r="DO2653">
            <v>0</v>
          </cell>
        </row>
        <row r="2659">
          <cell r="E2659" t="str">
            <v>431</v>
          </cell>
          <cell r="H2659" t="str">
            <v>100 м2 поверхности воздуховодов</v>
          </cell>
          <cell r="I2659">
            <v>8.0000000000000002E-3</v>
          </cell>
          <cell r="P2659">
            <v>14.64</v>
          </cell>
          <cell r="Q2659">
            <v>14.28</v>
          </cell>
          <cell r="R2659">
            <v>6.78</v>
          </cell>
          <cell r="S2659">
            <v>602.12</v>
          </cell>
          <cell r="U2659">
            <v>1.3145439999999999</v>
          </cell>
          <cell r="X2659">
            <v>602.12</v>
          </cell>
          <cell r="Y2659">
            <v>270.95</v>
          </cell>
          <cell r="AC2659">
            <v>499.52</v>
          </cell>
          <cell r="AE2659">
            <v>32.698599999999999</v>
          </cell>
          <cell r="AF2659">
            <v>2911.2775999999999</v>
          </cell>
          <cell r="AL2659">
            <v>499.52</v>
          </cell>
          <cell r="AM2659">
            <v>158.18</v>
          </cell>
          <cell r="AN2659">
            <v>19.579999999999998</v>
          </cell>
          <cell r="AO2659">
            <v>1743.28</v>
          </cell>
          <cell r="AQ2659">
            <v>154</v>
          </cell>
          <cell r="AV2659">
            <v>1.0669999999999999</v>
          </cell>
          <cell r="AW2659">
            <v>1</v>
          </cell>
          <cell r="BA2659">
            <v>24.23</v>
          </cell>
          <cell r="BB2659">
            <v>8.6</v>
          </cell>
          <cell r="BC2659">
            <v>3.66</v>
          </cell>
          <cell r="BI2659">
            <v>1</v>
          </cell>
          <cell r="BS2659">
            <v>24.23</v>
          </cell>
          <cell r="BZ2659">
            <v>100</v>
          </cell>
          <cell r="CA2659">
            <v>45</v>
          </cell>
          <cell r="DD2659">
            <v>0</v>
          </cell>
          <cell r="DE2659">
            <v>0</v>
          </cell>
          <cell r="DG2659" t="str">
            <v>)*1,67</v>
          </cell>
          <cell r="DI2659">
            <v>0</v>
          </cell>
          <cell r="DN2659">
            <v>125</v>
          </cell>
          <cell r="DO2659">
            <v>94</v>
          </cell>
          <cell r="ET2659">
            <v>158.18</v>
          </cell>
          <cell r="EU2659">
            <v>19.579999999999998</v>
          </cell>
        </row>
        <row r="2661">
          <cell r="E2661" t="str">
            <v>431,1</v>
          </cell>
          <cell r="F2661" t="str">
            <v>1.19-3-5</v>
          </cell>
          <cell r="H2661" t="str">
            <v>м2</v>
          </cell>
          <cell r="I2661">
            <v>0.8</v>
          </cell>
          <cell r="O2661">
            <v>249.32</v>
          </cell>
          <cell r="X2661">
            <v>0</v>
          </cell>
          <cell r="Y2661">
            <v>0</v>
          </cell>
          <cell r="AC2661">
            <v>147.69999999999999</v>
          </cell>
          <cell r="AE2661">
            <v>0</v>
          </cell>
          <cell r="AF2661">
            <v>0</v>
          </cell>
          <cell r="AK2661">
            <v>147.69999999999999</v>
          </cell>
          <cell r="AV2661">
            <v>1</v>
          </cell>
          <cell r="AW2661">
            <v>1</v>
          </cell>
          <cell r="BC2661">
            <v>2.11</v>
          </cell>
          <cell r="BI2661">
            <v>1</v>
          </cell>
          <cell r="BS2661">
            <v>1</v>
          </cell>
          <cell r="DN2661">
            <v>125</v>
          </cell>
          <cell r="DO2661">
            <v>94</v>
          </cell>
          <cell r="ET2661">
            <v>0</v>
          </cell>
          <cell r="EU2661">
            <v>0</v>
          </cell>
        </row>
        <row r="2667">
          <cell r="E2667" t="str">
            <v>433</v>
          </cell>
          <cell r="H2667" t="str">
            <v>100 м2 поверхности воздуховодов</v>
          </cell>
          <cell r="I2667">
            <v>6.1899999999999997E-2</v>
          </cell>
          <cell r="P2667">
            <v>113.17</v>
          </cell>
          <cell r="Q2667">
            <v>110.95</v>
          </cell>
          <cell r="R2667">
            <v>52.34</v>
          </cell>
          <cell r="S2667">
            <v>4658.9399999999996</v>
          </cell>
          <cell r="U2667">
            <v>10.171284199999999</v>
          </cell>
          <cell r="X2667">
            <v>4658.9399999999996</v>
          </cell>
          <cell r="Y2667">
            <v>2096.52</v>
          </cell>
          <cell r="AC2667">
            <v>499.52</v>
          </cell>
          <cell r="AE2667">
            <v>32.698599999999999</v>
          </cell>
          <cell r="AF2667">
            <v>2911.2775999999999</v>
          </cell>
          <cell r="AL2667">
            <v>499.52</v>
          </cell>
          <cell r="AM2667">
            <v>158.18</v>
          </cell>
          <cell r="AN2667">
            <v>19.579999999999998</v>
          </cell>
          <cell r="AO2667">
            <v>1743.28</v>
          </cell>
          <cell r="AQ2667">
            <v>154</v>
          </cell>
          <cell r="AV2667">
            <v>1.0669999999999999</v>
          </cell>
          <cell r="AW2667">
            <v>1</v>
          </cell>
          <cell r="BA2667">
            <v>24.23</v>
          </cell>
          <cell r="BB2667">
            <v>8.6</v>
          </cell>
          <cell r="BC2667">
            <v>3.66</v>
          </cell>
          <cell r="BI2667">
            <v>1</v>
          </cell>
          <cell r="BS2667">
            <v>24.23</v>
          </cell>
          <cell r="BZ2667">
            <v>100</v>
          </cell>
          <cell r="CA2667">
            <v>45</v>
          </cell>
          <cell r="DD2667">
            <v>0</v>
          </cell>
          <cell r="DE2667">
            <v>0</v>
          </cell>
          <cell r="DG2667" t="str">
            <v>)*1,67</v>
          </cell>
          <cell r="DI2667">
            <v>0</v>
          </cell>
          <cell r="DN2667">
            <v>125</v>
          </cell>
          <cell r="DO2667">
            <v>94</v>
          </cell>
          <cell r="ET2667">
            <v>158.18</v>
          </cell>
          <cell r="EU2667">
            <v>19.579999999999998</v>
          </cell>
        </row>
        <row r="2669">
          <cell r="E2669" t="str">
            <v>433,1</v>
          </cell>
          <cell r="F2669" t="str">
            <v>1.19-3-12</v>
          </cell>
          <cell r="H2669" t="str">
            <v>м2</v>
          </cell>
          <cell r="I2669">
            <v>6.19</v>
          </cell>
          <cell r="O2669">
            <v>2986.41</v>
          </cell>
          <cell r="X2669">
            <v>0</v>
          </cell>
          <cell r="Y2669">
            <v>0</v>
          </cell>
          <cell r="AC2669">
            <v>125.64</v>
          </cell>
          <cell r="AE2669">
            <v>0</v>
          </cell>
          <cell r="AF2669">
            <v>0</v>
          </cell>
          <cell r="AK2669">
            <v>125.64</v>
          </cell>
          <cell r="AV2669">
            <v>1</v>
          </cell>
          <cell r="AW2669">
            <v>1</v>
          </cell>
          <cell r="BC2669">
            <v>3.84</v>
          </cell>
          <cell r="BI2669">
            <v>1</v>
          </cell>
          <cell r="BS2669">
            <v>1</v>
          </cell>
          <cell r="DN2669">
            <v>125</v>
          </cell>
          <cell r="DO2669">
            <v>94</v>
          </cell>
          <cell r="ET2669">
            <v>0</v>
          </cell>
          <cell r="EU2669">
            <v>0</v>
          </cell>
        </row>
        <row r="2671">
          <cell r="E2671" t="str">
            <v>434</v>
          </cell>
          <cell r="H2671" t="str">
            <v>100 м2 поверхности воздуховодов</v>
          </cell>
          <cell r="I2671">
            <v>0.12280000000000001</v>
          </cell>
          <cell r="P2671">
            <v>223.75</v>
          </cell>
          <cell r="Q2671">
            <v>174.45000000000002</v>
          </cell>
          <cell r="R2671">
            <v>81.900000000000006</v>
          </cell>
          <cell r="S2671">
            <v>8462.57</v>
          </cell>
          <cell r="U2671">
            <v>18.474891600000003</v>
          </cell>
          <cell r="X2671">
            <v>8462.57</v>
          </cell>
          <cell r="Y2671">
            <v>3808.16</v>
          </cell>
          <cell r="AC2671">
            <v>499.17</v>
          </cell>
          <cell r="AE2671">
            <v>25.7681</v>
          </cell>
          <cell r="AF2671">
            <v>2665.5203999999999</v>
          </cell>
          <cell r="AL2671">
            <v>499.17</v>
          </cell>
          <cell r="AM2671">
            <v>125.93</v>
          </cell>
          <cell r="AN2671">
            <v>15.43</v>
          </cell>
          <cell r="AO2671">
            <v>1596.12</v>
          </cell>
          <cell r="AQ2671">
            <v>141</v>
          </cell>
          <cell r="AV2671">
            <v>1.0669999999999999</v>
          </cell>
          <cell r="AW2671">
            <v>1</v>
          </cell>
          <cell r="BA2671">
            <v>24.23</v>
          </cell>
          <cell r="BB2671">
            <v>8.59</v>
          </cell>
          <cell r="BC2671">
            <v>3.65</v>
          </cell>
          <cell r="BI2671">
            <v>1</v>
          </cell>
          <cell r="BS2671">
            <v>24.23</v>
          </cell>
          <cell r="BZ2671">
            <v>100</v>
          </cell>
          <cell r="CA2671">
            <v>45</v>
          </cell>
          <cell r="DD2671">
            <v>0</v>
          </cell>
          <cell r="DE2671">
            <v>0</v>
          </cell>
          <cell r="DG2671" t="str">
            <v>)*1,67</v>
          </cell>
          <cell r="DI2671">
            <v>0</v>
          </cell>
          <cell r="DN2671">
            <v>125</v>
          </cell>
          <cell r="DO2671">
            <v>94</v>
          </cell>
          <cell r="ET2671">
            <v>125.93</v>
          </cell>
          <cell r="EU2671">
            <v>15.43</v>
          </cell>
        </row>
        <row r="2673">
          <cell r="E2673" t="str">
            <v>434,1</v>
          </cell>
          <cell r="F2673" t="str">
            <v>1.19-3-12</v>
          </cell>
          <cell r="H2673" t="str">
            <v>м2</v>
          </cell>
          <cell r="I2673">
            <v>12.28</v>
          </cell>
          <cell r="O2673">
            <v>5924.58</v>
          </cell>
          <cell r="X2673">
            <v>0</v>
          </cell>
          <cell r="Y2673">
            <v>0</v>
          </cell>
          <cell r="AC2673">
            <v>125.64</v>
          </cell>
          <cell r="AE2673">
            <v>0</v>
          </cell>
          <cell r="AF2673">
            <v>0</v>
          </cell>
          <cell r="AK2673">
            <v>125.64</v>
          </cell>
          <cell r="AV2673">
            <v>1</v>
          </cell>
          <cell r="AW2673">
            <v>1</v>
          </cell>
          <cell r="BC2673">
            <v>3.84</v>
          </cell>
          <cell r="BI2673">
            <v>1</v>
          </cell>
          <cell r="BS2673">
            <v>1</v>
          </cell>
          <cell r="DN2673">
            <v>125</v>
          </cell>
          <cell r="DO2673">
            <v>94</v>
          </cell>
          <cell r="ET2673">
            <v>0</v>
          </cell>
          <cell r="EU2673">
            <v>0</v>
          </cell>
        </row>
        <row r="2691">
          <cell r="E2691" t="str">
            <v>439</v>
          </cell>
          <cell r="H2691" t="str">
            <v>100 м2 поверхности воздуховодов</v>
          </cell>
          <cell r="I2691">
            <v>0.42299999999999999</v>
          </cell>
          <cell r="P2691">
            <v>1060.3800000000001</v>
          </cell>
          <cell r="Q2691">
            <v>557.11</v>
          </cell>
          <cell r="R2691">
            <v>260.95999999999998</v>
          </cell>
          <cell r="S2691">
            <v>25221.98</v>
          </cell>
          <cell r="U2691">
            <v>55.063602000000003</v>
          </cell>
          <cell r="X2691">
            <v>25221.98</v>
          </cell>
          <cell r="Y2691">
            <v>11349.89</v>
          </cell>
          <cell r="AC2691">
            <v>599.72</v>
          </cell>
          <cell r="AE2691">
            <v>23.8643</v>
          </cell>
          <cell r="AF2691">
            <v>2306.3368</v>
          </cell>
          <cell r="AL2691">
            <v>599.72</v>
          </cell>
          <cell r="AM2691">
            <v>116.7</v>
          </cell>
          <cell r="AN2691">
            <v>14.29</v>
          </cell>
          <cell r="AO2691">
            <v>1381.04</v>
          </cell>
          <cell r="AQ2691">
            <v>122</v>
          </cell>
          <cell r="AV2691">
            <v>1.0669999999999999</v>
          </cell>
          <cell r="AW2691">
            <v>1</v>
          </cell>
          <cell r="BA2691">
            <v>24.23</v>
          </cell>
          <cell r="BB2691">
            <v>8.59</v>
          </cell>
          <cell r="BC2691">
            <v>4.18</v>
          </cell>
          <cell r="BI2691">
            <v>1</v>
          </cell>
          <cell r="BS2691">
            <v>24.23</v>
          </cell>
          <cell r="BZ2691">
            <v>100</v>
          </cell>
          <cell r="CA2691">
            <v>45</v>
          </cell>
          <cell r="DD2691">
            <v>0</v>
          </cell>
          <cell r="DE2691">
            <v>0</v>
          </cell>
          <cell r="DG2691" t="str">
            <v>)*1,67</v>
          </cell>
          <cell r="DI2691">
            <v>0</v>
          </cell>
          <cell r="DN2691">
            <v>125</v>
          </cell>
          <cell r="DO2691">
            <v>94</v>
          </cell>
          <cell r="ET2691">
            <v>116.7</v>
          </cell>
          <cell r="EU2691">
            <v>14.29</v>
          </cell>
        </row>
        <row r="2693">
          <cell r="E2693" t="str">
            <v>440</v>
          </cell>
          <cell r="H2693" t="str">
            <v>м2</v>
          </cell>
          <cell r="I2693">
            <v>8.69</v>
          </cell>
          <cell r="P2693">
            <v>4192.55</v>
          </cell>
          <cell r="X2693">
            <v>0</v>
          </cell>
          <cell r="Y2693">
            <v>0</v>
          </cell>
          <cell r="AC2693">
            <v>125.64</v>
          </cell>
          <cell r="AE2693">
            <v>0</v>
          </cell>
          <cell r="AF2693">
            <v>0</v>
          </cell>
          <cell r="AL2693">
            <v>125.64</v>
          </cell>
          <cell r="AV2693">
            <v>1</v>
          </cell>
          <cell r="AW2693">
            <v>1</v>
          </cell>
          <cell r="BC2693">
            <v>3.84</v>
          </cell>
          <cell r="BI2693">
            <v>1</v>
          </cell>
          <cell r="BS2693">
            <v>1</v>
          </cell>
          <cell r="DD2693">
            <v>0</v>
          </cell>
          <cell r="DN2693">
            <v>0</v>
          </cell>
          <cell r="DO2693">
            <v>0</v>
          </cell>
        </row>
        <row r="2695">
          <cell r="E2695" t="str">
            <v>441</v>
          </cell>
          <cell r="H2695" t="str">
            <v>м2</v>
          </cell>
          <cell r="I2695">
            <v>33.61</v>
          </cell>
          <cell r="P2695">
            <v>16255.4</v>
          </cell>
          <cell r="X2695">
            <v>0</v>
          </cell>
          <cell r="Y2695">
            <v>0</v>
          </cell>
          <cell r="AC2695">
            <v>157.54</v>
          </cell>
          <cell r="AE2695">
            <v>0</v>
          </cell>
          <cell r="AF2695">
            <v>0</v>
          </cell>
          <cell r="AL2695">
            <v>157.54</v>
          </cell>
          <cell r="AV2695">
            <v>1</v>
          </cell>
          <cell r="AW2695">
            <v>1</v>
          </cell>
          <cell r="BC2695">
            <v>3.07</v>
          </cell>
          <cell r="BI2695">
            <v>1</v>
          </cell>
          <cell r="BS2695">
            <v>1</v>
          </cell>
          <cell r="DD2695">
            <v>0</v>
          </cell>
          <cell r="DN2695">
            <v>0</v>
          </cell>
          <cell r="DO2695">
            <v>0</v>
          </cell>
        </row>
        <row r="2697">
          <cell r="E2697" t="str">
            <v>442</v>
          </cell>
          <cell r="H2697" t="str">
            <v>100 м2 поверхности воздуховодов</v>
          </cell>
          <cell r="I2697">
            <v>4.99E-2</v>
          </cell>
          <cell r="P2697">
            <v>67.66</v>
          </cell>
          <cell r="Q2697">
            <v>49.29</v>
          </cell>
          <cell r="R2697">
            <v>23.02</v>
          </cell>
          <cell r="S2697">
            <v>2238.85</v>
          </cell>
          <cell r="U2697">
            <v>4.8877349399999996</v>
          </cell>
          <cell r="X2697">
            <v>2238.85</v>
          </cell>
          <cell r="Y2697">
            <v>1007.48</v>
          </cell>
          <cell r="AC2697">
            <v>409.71</v>
          </cell>
          <cell r="AE2697">
            <v>17.8523</v>
          </cell>
          <cell r="AF2697">
            <v>1735.4305999999999</v>
          </cell>
          <cell r="AL2697">
            <v>409.71</v>
          </cell>
          <cell r="AM2697">
            <v>87.46</v>
          </cell>
          <cell r="AN2697">
            <v>10.69</v>
          </cell>
          <cell r="AO2697">
            <v>1039.18</v>
          </cell>
          <cell r="AQ2697">
            <v>91.8</v>
          </cell>
          <cell r="AV2697">
            <v>1.0669999999999999</v>
          </cell>
          <cell r="AW2697">
            <v>1</v>
          </cell>
          <cell r="BA2697">
            <v>24.23</v>
          </cell>
          <cell r="BB2697">
            <v>8.6</v>
          </cell>
          <cell r="BC2697">
            <v>3.31</v>
          </cell>
          <cell r="BI2697">
            <v>1</v>
          </cell>
          <cell r="BS2697">
            <v>24.23</v>
          </cell>
          <cell r="BZ2697">
            <v>100</v>
          </cell>
          <cell r="CA2697">
            <v>45</v>
          </cell>
          <cell r="DD2697">
            <v>0</v>
          </cell>
          <cell r="DE2697">
            <v>0</v>
          </cell>
          <cell r="DG2697" t="str">
            <v>)*1,67</v>
          </cell>
          <cell r="DI2697">
            <v>0</v>
          </cell>
          <cell r="DN2697">
            <v>125</v>
          </cell>
          <cell r="DO2697">
            <v>94</v>
          </cell>
          <cell r="ET2697">
            <v>87.46</v>
          </cell>
          <cell r="EU2697">
            <v>10.69</v>
          </cell>
        </row>
        <row r="2699">
          <cell r="E2699" t="str">
            <v>442,1</v>
          </cell>
          <cell r="F2699" t="str">
            <v>1.19-3-13</v>
          </cell>
          <cell r="H2699" t="str">
            <v>м2</v>
          </cell>
          <cell r="I2699">
            <v>4.99</v>
          </cell>
          <cell r="O2699">
            <v>2413.39</v>
          </cell>
          <cell r="X2699">
            <v>0</v>
          </cell>
          <cell r="Y2699">
            <v>0</v>
          </cell>
          <cell r="AC2699">
            <v>157.54</v>
          </cell>
          <cell r="AE2699">
            <v>0</v>
          </cell>
          <cell r="AF2699">
            <v>0</v>
          </cell>
          <cell r="AK2699">
            <v>157.54</v>
          </cell>
          <cell r="AV2699">
            <v>1</v>
          </cell>
          <cell r="AW2699">
            <v>1</v>
          </cell>
          <cell r="BC2699">
            <v>3.07</v>
          </cell>
          <cell r="BI2699">
            <v>1</v>
          </cell>
          <cell r="BS2699">
            <v>1</v>
          </cell>
          <cell r="DN2699">
            <v>125</v>
          </cell>
          <cell r="DO2699">
            <v>94</v>
          </cell>
          <cell r="ET2699">
            <v>0</v>
          </cell>
          <cell r="EU2699">
            <v>0</v>
          </cell>
        </row>
        <row r="2721">
          <cell r="E2721" t="str">
            <v>448</v>
          </cell>
          <cell r="H2721" t="str">
            <v>100 м2 поверхности воздуховодов</v>
          </cell>
          <cell r="I2721">
            <v>0.27489999999999998</v>
          </cell>
          <cell r="P2721">
            <v>689.11</v>
          </cell>
          <cell r="Q2721">
            <v>362.13</v>
          </cell>
          <cell r="R2721">
            <v>169.61</v>
          </cell>
          <cell r="S2721">
            <v>16391.349999999999</v>
          </cell>
          <cell r="U2721">
            <v>35.784832600000001</v>
          </cell>
          <cell r="X2721">
            <v>16391.349999999999</v>
          </cell>
          <cell r="Y2721">
            <v>7376.11</v>
          </cell>
          <cell r="AC2721">
            <v>599.72</v>
          </cell>
          <cell r="AE2721">
            <v>23.8643</v>
          </cell>
          <cell r="AF2721">
            <v>2306.3368</v>
          </cell>
          <cell r="AL2721">
            <v>599.72</v>
          </cell>
          <cell r="AM2721">
            <v>116.7</v>
          </cell>
          <cell r="AN2721">
            <v>14.29</v>
          </cell>
          <cell r="AO2721">
            <v>1381.04</v>
          </cell>
          <cell r="AQ2721">
            <v>122</v>
          </cell>
          <cell r="AV2721">
            <v>1.0669999999999999</v>
          </cell>
          <cell r="AW2721">
            <v>1</v>
          </cell>
          <cell r="BA2721">
            <v>24.23</v>
          </cell>
          <cell r="BB2721">
            <v>8.59</v>
          </cell>
          <cell r="BC2721">
            <v>4.18</v>
          </cell>
          <cell r="BI2721">
            <v>1</v>
          </cell>
          <cell r="BS2721">
            <v>24.23</v>
          </cell>
          <cell r="BZ2721">
            <v>100</v>
          </cell>
          <cell r="CA2721">
            <v>45</v>
          </cell>
          <cell r="DD2721">
            <v>0</v>
          </cell>
          <cell r="DE2721">
            <v>0</v>
          </cell>
          <cell r="DG2721" t="str">
            <v>)*1,67</v>
          </cell>
          <cell r="DI2721">
            <v>0</v>
          </cell>
          <cell r="DN2721">
            <v>125</v>
          </cell>
          <cell r="DO2721">
            <v>94</v>
          </cell>
          <cell r="ET2721">
            <v>116.7</v>
          </cell>
          <cell r="EU2721">
            <v>14.29</v>
          </cell>
        </row>
        <row r="2723">
          <cell r="E2723" t="str">
            <v>449</v>
          </cell>
          <cell r="H2723" t="str">
            <v>м2</v>
          </cell>
          <cell r="I2723">
            <v>23.82</v>
          </cell>
          <cell r="P2723">
            <v>11492.12</v>
          </cell>
          <cell r="X2723">
            <v>0</v>
          </cell>
          <cell r="Y2723">
            <v>0</v>
          </cell>
          <cell r="AC2723">
            <v>125.64</v>
          </cell>
          <cell r="AE2723">
            <v>0</v>
          </cell>
          <cell r="AF2723">
            <v>0</v>
          </cell>
          <cell r="AL2723">
            <v>125.64</v>
          </cell>
          <cell r="AV2723">
            <v>1</v>
          </cell>
          <cell r="AW2723">
            <v>1</v>
          </cell>
          <cell r="BC2723">
            <v>3.84</v>
          </cell>
          <cell r="BI2723">
            <v>1</v>
          </cell>
          <cell r="BS2723">
            <v>1</v>
          </cell>
          <cell r="DD2723">
            <v>0</v>
          </cell>
          <cell r="DN2723">
            <v>0</v>
          </cell>
          <cell r="DO2723">
            <v>0</v>
          </cell>
        </row>
        <row r="2725">
          <cell r="E2725" t="str">
            <v>450</v>
          </cell>
          <cell r="H2725" t="str">
            <v>м2</v>
          </cell>
          <cell r="I2725">
            <v>3.67</v>
          </cell>
          <cell r="P2725">
            <v>1774.98</v>
          </cell>
          <cell r="X2725">
            <v>0</v>
          </cell>
          <cell r="Y2725">
            <v>0</v>
          </cell>
          <cell r="AC2725">
            <v>157.54</v>
          </cell>
          <cell r="AE2725">
            <v>0</v>
          </cell>
          <cell r="AF2725">
            <v>0</v>
          </cell>
          <cell r="AL2725">
            <v>157.54</v>
          </cell>
          <cell r="AV2725">
            <v>1</v>
          </cell>
          <cell r="AW2725">
            <v>1</v>
          </cell>
          <cell r="BC2725">
            <v>3.07</v>
          </cell>
          <cell r="BI2725">
            <v>1</v>
          </cell>
          <cell r="BS2725">
            <v>1</v>
          </cell>
          <cell r="DD2725">
            <v>0</v>
          </cell>
          <cell r="DN2725">
            <v>0</v>
          </cell>
          <cell r="DO2725">
            <v>0</v>
          </cell>
        </row>
        <row r="2727">
          <cell r="E2727" t="str">
            <v>451</v>
          </cell>
          <cell r="H2727" t="str">
            <v>100 м2 поверхности воздуховодов</v>
          </cell>
          <cell r="I2727">
            <v>9.0999999999999998E-2</v>
          </cell>
          <cell r="P2727">
            <v>123.4</v>
          </cell>
          <cell r="Q2727">
            <v>89.97</v>
          </cell>
          <cell r="R2727">
            <v>41.92</v>
          </cell>
          <cell r="S2727">
            <v>4083</v>
          </cell>
          <cell r="U2727">
            <v>8.9135045999999996</v>
          </cell>
          <cell r="X2727">
            <v>4083</v>
          </cell>
          <cell r="Y2727">
            <v>1837.35</v>
          </cell>
          <cell r="AC2727">
            <v>409.71</v>
          </cell>
          <cell r="AE2727">
            <v>17.8523</v>
          </cell>
          <cell r="AF2727">
            <v>1735.4305999999999</v>
          </cell>
          <cell r="AL2727">
            <v>409.71</v>
          </cell>
          <cell r="AM2727">
            <v>87.46</v>
          </cell>
          <cell r="AN2727">
            <v>10.69</v>
          </cell>
          <cell r="AO2727">
            <v>1039.18</v>
          </cell>
          <cell r="AQ2727">
            <v>91.8</v>
          </cell>
          <cell r="AV2727">
            <v>1.0669999999999999</v>
          </cell>
          <cell r="AW2727">
            <v>1</v>
          </cell>
          <cell r="BA2727">
            <v>24.23</v>
          </cell>
          <cell r="BB2727">
            <v>8.6</v>
          </cell>
          <cell r="BC2727">
            <v>3.31</v>
          </cell>
          <cell r="BI2727">
            <v>1</v>
          </cell>
          <cell r="BS2727">
            <v>24.23</v>
          </cell>
          <cell r="BZ2727">
            <v>100</v>
          </cell>
          <cell r="CA2727">
            <v>45</v>
          </cell>
          <cell r="DD2727">
            <v>0</v>
          </cell>
          <cell r="DE2727">
            <v>0</v>
          </cell>
          <cell r="DG2727" t="str">
            <v>)*1,67</v>
          </cell>
          <cell r="DI2727">
            <v>0</v>
          </cell>
          <cell r="DN2727">
            <v>125</v>
          </cell>
          <cell r="DO2727">
            <v>94</v>
          </cell>
          <cell r="ET2727">
            <v>87.46</v>
          </cell>
          <cell r="EU2727">
            <v>10.69</v>
          </cell>
        </row>
        <row r="2729">
          <cell r="E2729" t="str">
            <v>451,1</v>
          </cell>
          <cell r="F2729" t="str">
            <v>1.19-3-13</v>
          </cell>
          <cell r="H2729" t="str">
            <v>м2</v>
          </cell>
          <cell r="I2729">
            <v>9.1</v>
          </cell>
          <cell r="O2729">
            <v>4401.18</v>
          </cell>
          <cell r="X2729">
            <v>0</v>
          </cell>
          <cell r="Y2729">
            <v>0</v>
          </cell>
          <cell r="AC2729">
            <v>157.54</v>
          </cell>
          <cell r="AE2729">
            <v>0</v>
          </cell>
          <cell r="AF2729">
            <v>0</v>
          </cell>
          <cell r="AK2729">
            <v>157.54</v>
          </cell>
          <cell r="AV2729">
            <v>1</v>
          </cell>
          <cell r="AW2729">
            <v>1</v>
          </cell>
          <cell r="BC2729">
            <v>3.07</v>
          </cell>
          <cell r="BI2729">
            <v>1</v>
          </cell>
          <cell r="BS2729">
            <v>1</v>
          </cell>
          <cell r="DN2729">
            <v>125</v>
          </cell>
          <cell r="DO2729">
            <v>94</v>
          </cell>
          <cell r="ET2729">
            <v>0</v>
          </cell>
          <cell r="EU2729">
            <v>0</v>
          </cell>
        </row>
        <row r="2795">
          <cell r="E2795" t="str">
            <v>475</v>
          </cell>
          <cell r="H2795" t="str">
            <v>1 м2 поверхности</v>
          </cell>
          <cell r="I2795">
            <v>53.09</v>
          </cell>
          <cell r="P2795">
            <v>36.21</v>
          </cell>
          <cell r="Q2795">
            <v>316.93</v>
          </cell>
          <cell r="R2795">
            <v>202.32</v>
          </cell>
          <cell r="S2795">
            <v>12865.4</v>
          </cell>
          <cell r="U2795">
            <v>24.457501199999999</v>
          </cell>
          <cell r="X2795">
            <v>10163.67</v>
          </cell>
          <cell r="Y2795">
            <v>5274.81</v>
          </cell>
          <cell r="AC2795">
            <v>0.12</v>
          </cell>
          <cell r="AE2795">
            <v>0.15029999999999999</v>
          </cell>
          <cell r="AF2795">
            <v>9.5524000000000004</v>
          </cell>
          <cell r="AL2795">
            <v>0.12</v>
          </cell>
          <cell r="AM2795">
            <v>0.46</v>
          </cell>
          <cell r="AN2795">
            <v>0.09</v>
          </cell>
          <cell r="AO2795">
            <v>5.72</v>
          </cell>
          <cell r="AQ2795">
            <v>0.44</v>
          </cell>
          <cell r="AV2795">
            <v>1.0469999999999999</v>
          </cell>
          <cell r="AW2795">
            <v>1.0189999999999999</v>
          </cell>
          <cell r="BA2795">
            <v>24.23</v>
          </cell>
          <cell r="BB2795">
            <v>9.2200000000000006</v>
          </cell>
          <cell r="BC2795">
            <v>5.58</v>
          </cell>
          <cell r="BI2795">
            <v>1</v>
          </cell>
          <cell r="BS2795">
            <v>24.23</v>
          </cell>
          <cell r="BZ2795">
            <v>79</v>
          </cell>
          <cell r="CA2795">
            <v>41</v>
          </cell>
          <cell r="DD2795">
            <v>0</v>
          </cell>
          <cell r="DE2795">
            <v>0</v>
          </cell>
          <cell r="DG2795" t="str">
            <v>)*1,67</v>
          </cell>
          <cell r="DI2795">
            <v>0</v>
          </cell>
          <cell r="DN2795">
            <v>98</v>
          </cell>
          <cell r="DO2795">
            <v>73</v>
          </cell>
          <cell r="ET2795">
            <v>0.46</v>
          </cell>
          <cell r="EU2795">
            <v>0.09</v>
          </cell>
        </row>
        <row r="2797">
          <cell r="E2797" t="str">
            <v>476</v>
          </cell>
          <cell r="F2797" t="str">
            <v>МКЭ-33-90/7-1 от 03.02.2017г.</v>
          </cell>
          <cell r="H2797" t="str">
            <v>м2</v>
          </cell>
          <cell r="I2797">
            <v>53.09</v>
          </cell>
          <cell r="X2797">
            <v>0</v>
          </cell>
          <cell r="Y2797">
            <v>0</v>
          </cell>
          <cell r="AE2797">
            <v>0</v>
          </cell>
          <cell r="AF2797">
            <v>0</v>
          </cell>
          <cell r="AV2797">
            <v>1</v>
          </cell>
          <cell r="BI2797">
            <v>1</v>
          </cell>
          <cell r="BS2797">
            <v>1</v>
          </cell>
          <cell r="DN2797">
            <v>0</v>
          </cell>
          <cell r="DO2797">
            <v>0</v>
          </cell>
        </row>
        <row r="2847">
          <cell r="G2847" t="str">
            <v>Дополнительные материалы и оборудование</v>
          </cell>
        </row>
        <row r="2876">
          <cell r="G2876" t="str">
            <v>Вентиляция</v>
          </cell>
        </row>
        <row r="2905">
          <cell r="G2905" t="str">
            <v>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</v>
          </cell>
        </row>
        <row r="2911">
          <cell r="H2911" t="str">
            <v>Стоимость материалов (всего)</v>
          </cell>
          <cell r="P2911">
            <v>1108519.47</v>
          </cell>
        </row>
        <row r="2919">
          <cell r="H2919" t="str">
            <v>ЗП машинистов</v>
          </cell>
          <cell r="P2919">
            <v>1658.07</v>
          </cell>
        </row>
        <row r="2920">
          <cell r="H2920" t="str">
            <v>Основная ЗП рабочих</v>
          </cell>
          <cell r="P2920">
            <v>197369.84</v>
          </cell>
        </row>
        <row r="2930">
          <cell r="H2930" t="str">
            <v>Накладные расходы</v>
          </cell>
          <cell r="P2930">
            <v>190337.65</v>
          </cell>
        </row>
        <row r="2931">
          <cell r="H2931" t="str">
            <v>Сметная прибыль</v>
          </cell>
          <cell r="P2931">
            <v>88031.15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0">
          <cell r="G20" t="str">
            <v>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КС-3"/>
      <sheetName val="1_6.1"/>
      <sheetName val="2_6.2"/>
      <sheetName val="3_6.4"/>
      <sheetName val="4_6.5"/>
      <sheetName val="5_6.6"/>
      <sheetName val="6_6.7"/>
      <sheetName val="7_6.8"/>
      <sheetName val="8_6.9"/>
      <sheetName val="Лист1"/>
    </sheetNames>
    <sheetDataSet>
      <sheetData sheetId="0" refreshError="1"/>
      <sheetData sheetId="1" refreshError="1"/>
      <sheetData sheetId="2" refreshError="1"/>
      <sheetData sheetId="3">
        <row r="94">
          <cell r="J94">
            <v>0.6</v>
          </cell>
        </row>
      </sheetData>
      <sheetData sheetId="4">
        <row r="77">
          <cell r="J77">
            <v>6.72</v>
          </cell>
        </row>
      </sheetData>
      <sheetData sheetId="5">
        <row r="61">
          <cell r="J61">
            <v>14.99</v>
          </cell>
        </row>
      </sheetData>
      <sheetData sheetId="6">
        <row r="37">
          <cell r="L37">
            <v>2380413.42</v>
          </cell>
        </row>
      </sheetData>
      <sheetData sheetId="7">
        <row r="65">
          <cell r="J65">
            <v>71186.33</v>
          </cell>
        </row>
      </sheetData>
      <sheetData sheetId="8">
        <row r="85">
          <cell r="J85">
            <v>444.85</v>
          </cell>
        </row>
      </sheetData>
      <sheetData sheetId="9">
        <row r="414">
          <cell r="J414">
            <v>0</v>
          </cell>
        </row>
      </sheetData>
      <sheetData sheetId="10">
        <row r="131">
          <cell r="J131">
            <v>16.440000000000001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79"/>
  <sheetViews>
    <sheetView tabSelected="1" view="pageBreakPreview" topLeftCell="A25" zoomScale="70" zoomScaleNormal="70" zoomScaleSheetLayoutView="70" workbookViewId="0">
      <selection activeCell="E46" sqref="E46"/>
    </sheetView>
  </sheetViews>
  <sheetFormatPr defaultRowHeight="12.75" x14ac:dyDescent="0.2"/>
  <cols>
    <col min="1" max="1" width="5.5703125" style="13" customWidth="1"/>
    <col min="2" max="2" width="36" style="13" customWidth="1"/>
    <col min="3" max="3" width="16.85546875" style="13" customWidth="1"/>
    <col min="4" max="4" width="21.5703125" style="13" customWidth="1"/>
    <col min="5" max="5" width="17.140625" style="13" customWidth="1"/>
    <col min="6" max="6" width="21.140625" style="13" customWidth="1"/>
    <col min="7" max="7" width="16.5703125" style="13" customWidth="1"/>
    <col min="8" max="10" width="21.140625" style="13" customWidth="1"/>
    <col min="11" max="11" width="15.28515625" style="13" customWidth="1"/>
    <col min="12" max="12" width="20.5703125" style="13" customWidth="1"/>
    <col min="13" max="14" width="14.28515625" style="13" customWidth="1"/>
    <col min="15" max="31" width="9.140625" style="13"/>
    <col min="32" max="32" width="12.7109375" style="13" bestFit="1" customWidth="1"/>
    <col min="33" max="16384" width="9.140625" style="13"/>
  </cols>
  <sheetData>
    <row r="1" spans="1:258" x14ac:dyDescent="0.2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  <c r="M1" s="575"/>
      <c r="N1" s="576"/>
      <c r="O1" s="90"/>
    </row>
    <row r="2" spans="1:258" x14ac:dyDescent="0.2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  <c r="M2" s="575"/>
      <c r="N2" s="576"/>
      <c r="O2" s="90"/>
    </row>
    <row r="3" spans="1:258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/>
      <c r="M3" s="89"/>
      <c r="N3" s="89"/>
      <c r="O3" s="90"/>
    </row>
    <row r="4" spans="1:258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9"/>
      <c r="M4" s="89"/>
      <c r="N4" s="89"/>
      <c r="O4" s="90"/>
    </row>
    <row r="5" spans="1:258" x14ac:dyDescent="0.2">
      <c r="A5" s="88"/>
      <c r="B5" s="88"/>
      <c r="C5" s="88"/>
      <c r="D5" s="88"/>
      <c r="E5" s="88"/>
      <c r="F5" s="88"/>
      <c r="G5" s="575" t="s">
        <v>125</v>
      </c>
      <c r="H5" s="576"/>
      <c r="I5" s="303"/>
      <c r="J5" s="303"/>
      <c r="K5" s="91"/>
      <c r="L5" s="89"/>
      <c r="O5" s="90"/>
    </row>
    <row r="6" spans="1:258" x14ac:dyDescent="0.2">
      <c r="A6" s="88"/>
      <c r="B6" s="88"/>
      <c r="C6" s="88"/>
      <c r="D6" s="88"/>
      <c r="E6" s="88"/>
      <c r="F6" s="88"/>
      <c r="G6" s="575" t="s">
        <v>126</v>
      </c>
      <c r="H6" s="576"/>
      <c r="I6" s="303"/>
      <c r="J6" s="303"/>
      <c r="K6" s="91"/>
      <c r="L6" s="89"/>
      <c r="O6" s="90"/>
    </row>
    <row r="7" spans="1:258" x14ac:dyDescent="0.2">
      <c r="A7" s="88"/>
      <c r="B7" s="88"/>
      <c r="C7" s="88"/>
      <c r="D7" s="88"/>
      <c r="E7" s="88"/>
      <c r="F7" s="88"/>
      <c r="G7" s="575" t="s">
        <v>127</v>
      </c>
      <c r="H7" s="576"/>
      <c r="I7" s="303"/>
      <c r="J7" s="303"/>
      <c r="K7" s="91"/>
      <c r="L7" s="89"/>
      <c r="O7" s="90"/>
    </row>
    <row r="8" spans="1:258" x14ac:dyDescent="0.2">
      <c r="A8" s="88"/>
      <c r="B8" s="88"/>
      <c r="C8" s="88"/>
      <c r="D8" s="88"/>
      <c r="E8" s="88"/>
      <c r="F8" s="88"/>
      <c r="G8" s="88"/>
      <c r="H8" s="88"/>
      <c r="I8" s="88"/>
      <c r="J8" s="88"/>
      <c r="K8" s="91"/>
      <c r="L8" s="89"/>
      <c r="M8" s="89"/>
      <c r="N8" s="89"/>
      <c r="O8" s="90"/>
    </row>
    <row r="9" spans="1:258" s="4" customFormat="1" ht="15" x14ac:dyDescent="0.25">
      <c r="A9" s="92"/>
      <c r="B9" s="92"/>
      <c r="C9" s="92"/>
      <c r="D9" s="92"/>
      <c r="E9" s="92"/>
      <c r="F9" s="92"/>
      <c r="G9" s="573" t="s">
        <v>3</v>
      </c>
      <c r="H9" s="574"/>
      <c r="I9" s="312"/>
      <c r="J9" s="312"/>
      <c r="K9" s="9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</row>
    <row r="10" spans="1:258" s="4" customFormat="1" ht="15" x14ac:dyDescent="0.25">
      <c r="A10" s="92"/>
      <c r="B10" s="92"/>
      <c r="C10" s="92"/>
      <c r="D10" s="92"/>
      <c r="E10" s="92"/>
      <c r="F10" s="94" t="s">
        <v>4</v>
      </c>
      <c r="G10" s="571" t="s">
        <v>5</v>
      </c>
      <c r="H10" s="572"/>
      <c r="I10" s="313"/>
      <c r="J10" s="313"/>
      <c r="K10" s="95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6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</row>
    <row r="11" spans="1:258" s="4" customFormat="1" ht="15" x14ac:dyDescent="0.25">
      <c r="A11" s="92"/>
      <c r="B11" s="92"/>
      <c r="C11" s="92"/>
      <c r="D11" s="92"/>
      <c r="E11" s="92"/>
      <c r="F11" s="92"/>
      <c r="G11" s="567" t="s">
        <v>6</v>
      </c>
      <c r="H11" s="568"/>
      <c r="I11" s="314"/>
      <c r="J11" s="314"/>
      <c r="K11" s="9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</row>
    <row r="12" spans="1:258" s="4" customFormat="1" ht="15" x14ac:dyDescent="0.25">
      <c r="A12" s="563" t="s">
        <v>128</v>
      </c>
      <c r="B12" s="563"/>
      <c r="C12" s="563"/>
      <c r="D12" s="563"/>
      <c r="E12" s="563"/>
      <c r="F12" s="94" t="s">
        <v>9</v>
      </c>
      <c r="G12" s="569"/>
      <c r="H12" s="570"/>
      <c r="I12" s="314"/>
      <c r="J12" s="314"/>
      <c r="K12" s="9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7" t="e">
        <v>#REF!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</row>
    <row r="13" spans="1:258" s="4" customFormat="1" ht="15" x14ac:dyDescent="0.25">
      <c r="A13" s="558" t="s">
        <v>10</v>
      </c>
      <c r="B13" s="558"/>
      <c r="C13" s="558"/>
      <c r="D13" s="558"/>
      <c r="E13" s="558"/>
      <c r="F13" s="92"/>
      <c r="G13" s="567" t="s">
        <v>129</v>
      </c>
      <c r="H13" s="568"/>
      <c r="I13" s="314"/>
      <c r="J13" s="314"/>
      <c r="K13" s="96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</row>
    <row r="14" spans="1:258" s="4" customFormat="1" ht="15" x14ac:dyDescent="0.25">
      <c r="A14" s="563" t="s">
        <v>130</v>
      </c>
      <c r="B14" s="563"/>
      <c r="C14" s="563"/>
      <c r="D14" s="563"/>
      <c r="E14" s="563"/>
      <c r="F14" s="94" t="s">
        <v>9</v>
      </c>
      <c r="G14" s="569"/>
      <c r="H14" s="570"/>
      <c r="I14" s="314"/>
      <c r="J14" s="314"/>
      <c r="K14" s="9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7" t="e">
        <v>#REF!</v>
      </c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</row>
    <row r="15" spans="1:258" s="4" customFormat="1" ht="15" x14ac:dyDescent="0.25">
      <c r="A15" s="558" t="s">
        <v>10</v>
      </c>
      <c r="B15" s="558"/>
      <c r="C15" s="558"/>
      <c r="D15" s="558"/>
      <c r="E15" s="558"/>
      <c r="F15" s="92"/>
      <c r="G15" s="567" t="s">
        <v>14</v>
      </c>
      <c r="H15" s="568"/>
      <c r="I15" s="314"/>
      <c r="J15" s="314"/>
      <c r="K15" s="9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</row>
    <row r="16" spans="1:258" s="4" customFormat="1" ht="15" x14ac:dyDescent="0.25">
      <c r="A16" s="563" t="s">
        <v>131</v>
      </c>
      <c r="B16" s="563"/>
      <c r="C16" s="563"/>
      <c r="D16" s="563"/>
      <c r="E16" s="563"/>
      <c r="F16" s="94" t="s">
        <v>9</v>
      </c>
      <c r="G16" s="569"/>
      <c r="H16" s="570"/>
      <c r="I16" s="314"/>
      <c r="J16" s="314"/>
      <c r="K16" s="9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7" t="e">
        <v>#REF!</v>
      </c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</row>
    <row r="17" spans="1:258" s="4" customFormat="1" ht="15" x14ac:dyDescent="0.25">
      <c r="A17" s="558" t="s">
        <v>10</v>
      </c>
      <c r="B17" s="558"/>
      <c r="C17" s="558"/>
      <c r="D17" s="558"/>
      <c r="E17" s="558"/>
      <c r="F17" s="92"/>
      <c r="G17" s="567" t="s">
        <v>132</v>
      </c>
      <c r="H17" s="568"/>
      <c r="I17" s="314"/>
      <c r="J17" s="314"/>
      <c r="K17" s="96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</row>
    <row r="18" spans="1:258" s="4" customFormat="1" ht="31.5" customHeight="1" x14ac:dyDescent="0.25">
      <c r="A18" s="563" t="s">
        <v>133</v>
      </c>
      <c r="B18" s="563"/>
      <c r="C18" s="563"/>
      <c r="D18" s="563"/>
      <c r="E18" s="563"/>
      <c r="F18" s="94" t="s">
        <v>9</v>
      </c>
      <c r="G18" s="569"/>
      <c r="H18" s="570"/>
      <c r="I18" s="314"/>
      <c r="J18" s="314"/>
      <c r="K18" s="96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7" t="e">
        <v>#REF!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</row>
    <row r="19" spans="1:258" s="4" customFormat="1" ht="15" x14ac:dyDescent="0.25">
      <c r="A19" s="558" t="s">
        <v>10</v>
      </c>
      <c r="B19" s="558"/>
      <c r="C19" s="558"/>
      <c r="D19" s="558"/>
      <c r="E19" s="558"/>
      <c r="F19" s="97"/>
      <c r="G19" s="559"/>
      <c r="H19" s="560"/>
      <c r="I19" s="312"/>
      <c r="J19" s="312"/>
      <c r="K19" s="9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</row>
    <row r="20" spans="1:258" s="4" customFormat="1" ht="29.25" x14ac:dyDescent="0.25">
      <c r="A20" s="563" t="s">
        <v>134</v>
      </c>
      <c r="B20" s="563"/>
      <c r="C20" s="563"/>
      <c r="D20" s="563"/>
      <c r="E20" s="563"/>
      <c r="F20" s="98"/>
      <c r="G20" s="561"/>
      <c r="H20" s="562"/>
      <c r="I20" s="312"/>
      <c r="J20" s="312"/>
      <c r="K20" s="9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7" t="s">
        <v>19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</row>
    <row r="21" spans="1:258" s="4" customFormat="1" ht="15" x14ac:dyDescent="0.25">
      <c r="A21" s="558" t="s">
        <v>20</v>
      </c>
      <c r="B21" s="558"/>
      <c r="C21" s="558"/>
      <c r="D21" s="558"/>
      <c r="E21" s="558"/>
      <c r="F21" s="97"/>
      <c r="G21" s="559"/>
      <c r="H21" s="560"/>
      <c r="I21" s="312"/>
      <c r="J21" s="312"/>
      <c r="K21" s="9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</row>
    <row r="22" spans="1:258" s="4" customFormat="1" ht="30" customHeight="1" x14ac:dyDescent="0.25">
      <c r="A22" s="563" t="s">
        <v>135</v>
      </c>
      <c r="B22" s="563"/>
      <c r="C22" s="563"/>
      <c r="D22" s="563"/>
      <c r="E22" s="563"/>
      <c r="F22" s="98"/>
      <c r="G22" s="561"/>
      <c r="H22" s="562"/>
      <c r="I22" s="312"/>
      <c r="J22" s="312"/>
      <c r="K22" s="9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8" t="e">
        <v>#REF!</v>
      </c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</row>
    <row r="23" spans="1:258" s="4" customFormat="1" ht="15.75" customHeight="1" x14ac:dyDescent="0.2">
      <c r="A23" s="564" t="s">
        <v>22</v>
      </c>
      <c r="B23" s="564"/>
      <c r="C23" s="564"/>
      <c r="D23" s="564"/>
      <c r="E23" s="564"/>
      <c r="F23" s="93"/>
      <c r="G23" s="93"/>
      <c r="H23" s="93"/>
      <c r="I23" s="93"/>
      <c r="J23" s="93"/>
      <c r="K23" s="99"/>
      <c r="L23" s="92"/>
      <c r="M23" s="92"/>
      <c r="N23" s="92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</row>
    <row r="24" spans="1:258" s="4" customFormat="1" x14ac:dyDescent="0.2">
      <c r="A24" s="92"/>
      <c r="B24" s="92"/>
      <c r="C24" s="92"/>
      <c r="E24" s="94"/>
      <c r="F24" s="94" t="s">
        <v>23</v>
      </c>
      <c r="G24" s="565"/>
      <c r="H24" s="565"/>
      <c r="I24" s="312"/>
      <c r="J24" s="312"/>
      <c r="K24" s="93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</row>
    <row r="25" spans="1:258" s="4" customFormat="1" x14ac:dyDescent="0.2">
      <c r="A25" s="92"/>
      <c r="B25" s="92"/>
      <c r="C25" s="92"/>
      <c r="E25" s="94" t="s">
        <v>24</v>
      </c>
      <c r="F25" s="100" t="s">
        <v>25</v>
      </c>
      <c r="G25" s="565" t="s">
        <v>136</v>
      </c>
      <c r="H25" s="565"/>
      <c r="I25" s="312"/>
      <c r="J25" s="312"/>
      <c r="K25" s="93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</row>
    <row r="26" spans="1:258" s="4" customFormat="1" x14ac:dyDescent="0.2">
      <c r="A26" s="92"/>
      <c r="B26" s="92"/>
      <c r="C26" s="92"/>
      <c r="D26" s="92"/>
      <c r="E26" s="92"/>
      <c r="F26" s="101" t="s">
        <v>26</v>
      </c>
      <c r="G26" s="566">
        <v>43811</v>
      </c>
      <c r="H26" s="566"/>
      <c r="I26" s="315"/>
      <c r="J26" s="315"/>
      <c r="K26" s="102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</row>
    <row r="27" spans="1:258" s="4" customFormat="1" ht="15" customHeight="1" x14ac:dyDescent="0.2">
      <c r="A27" s="92"/>
      <c r="B27" s="92"/>
      <c r="C27" s="92"/>
      <c r="D27" s="92"/>
      <c r="E27" s="92"/>
      <c r="F27" s="94" t="s">
        <v>27</v>
      </c>
      <c r="G27" s="565"/>
      <c r="H27" s="565"/>
      <c r="I27" s="312"/>
      <c r="J27" s="312"/>
      <c r="K27" s="93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</row>
    <row r="28" spans="1:258" x14ac:dyDescent="0.2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103"/>
      <c r="N28" s="103"/>
      <c r="O28" s="104"/>
    </row>
    <row r="29" spans="1:258" ht="12.75" customHeight="1" x14ac:dyDescent="0.2">
      <c r="A29" s="88"/>
      <c r="B29" s="88"/>
      <c r="C29" s="88"/>
      <c r="D29" s="88"/>
      <c r="E29" s="105" t="s">
        <v>28</v>
      </c>
      <c r="F29" s="554" t="s">
        <v>29</v>
      </c>
      <c r="G29" s="556" t="s">
        <v>30</v>
      </c>
      <c r="H29" s="557"/>
      <c r="I29" s="316"/>
      <c r="J29" s="316"/>
      <c r="N29" s="103"/>
      <c r="O29" s="104"/>
    </row>
    <row r="30" spans="1:258" x14ac:dyDescent="0.2">
      <c r="A30" s="88"/>
      <c r="B30" s="88"/>
      <c r="C30" s="88"/>
      <c r="D30" s="88"/>
      <c r="E30" s="106"/>
      <c r="F30" s="555"/>
      <c r="G30" s="107" t="s">
        <v>31</v>
      </c>
      <c r="H30" s="108" t="s">
        <v>32</v>
      </c>
      <c r="I30" s="317"/>
      <c r="J30" s="317"/>
      <c r="N30" s="103"/>
      <c r="O30" s="104"/>
    </row>
    <row r="31" spans="1:258" x14ac:dyDescent="0.2">
      <c r="A31" s="88"/>
      <c r="B31" s="88"/>
      <c r="C31" s="88"/>
      <c r="D31" s="88"/>
      <c r="E31" s="109" t="s">
        <v>118</v>
      </c>
      <c r="F31" s="110">
        <v>44104</v>
      </c>
      <c r="G31" s="110">
        <v>44075</v>
      </c>
      <c r="H31" s="110">
        <f>F31</f>
        <v>44104</v>
      </c>
      <c r="I31" s="318"/>
      <c r="J31" s="318"/>
      <c r="N31" s="103"/>
      <c r="O31" s="104"/>
    </row>
    <row r="32" spans="1:258" x14ac:dyDescent="0.2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104"/>
    </row>
    <row r="33" spans="1:37" s="115" customFormat="1" x14ac:dyDescent="0.2">
      <c r="A33" s="111"/>
      <c r="B33" s="111"/>
      <c r="C33" s="112"/>
      <c r="D33" s="113"/>
      <c r="E33" s="114"/>
      <c r="F33" s="113"/>
      <c r="G33" s="114"/>
      <c r="H33" s="113"/>
      <c r="I33" s="113"/>
      <c r="J33" s="113"/>
    </row>
    <row r="34" spans="1:37" s="115" customFormat="1" ht="16.5" x14ac:dyDescent="0.2">
      <c r="A34" s="533" t="s">
        <v>137</v>
      </c>
      <c r="B34" s="534"/>
      <c r="C34" s="534"/>
      <c r="D34" s="534"/>
      <c r="E34" s="534"/>
      <c r="F34" s="534"/>
      <c r="G34" s="534"/>
      <c r="H34" s="534"/>
      <c r="I34" s="304"/>
      <c r="J34" s="304"/>
    </row>
    <row r="35" spans="1:37" s="115" customFormat="1" ht="16.5" x14ac:dyDescent="0.2">
      <c r="A35" s="533" t="s">
        <v>412</v>
      </c>
      <c r="B35" s="534"/>
      <c r="C35" s="534"/>
      <c r="D35" s="534"/>
      <c r="E35" s="534"/>
      <c r="F35" s="534"/>
      <c r="G35" s="534"/>
      <c r="H35" s="534"/>
      <c r="I35" s="304"/>
      <c r="J35" s="304"/>
    </row>
    <row r="36" spans="1:37" s="115" customFormat="1" ht="17.25" thickBot="1" x14ac:dyDescent="0.25">
      <c r="A36" s="116"/>
      <c r="B36" s="117"/>
      <c r="C36" s="117"/>
      <c r="D36" s="117"/>
      <c r="E36" s="117"/>
      <c r="F36" s="117"/>
      <c r="G36" s="117"/>
      <c r="H36" s="117"/>
      <c r="I36" s="117"/>
      <c r="J36" s="117"/>
    </row>
    <row r="37" spans="1:37" s="115" customFormat="1" ht="22.5" customHeight="1" thickBot="1" x14ac:dyDescent="0.25">
      <c r="A37" s="535" t="s">
        <v>138</v>
      </c>
      <c r="B37" s="538" t="s">
        <v>139</v>
      </c>
      <c r="C37" s="541" t="s">
        <v>140</v>
      </c>
      <c r="D37" s="542"/>
      <c r="E37" s="542"/>
      <c r="F37" s="542"/>
      <c r="G37" s="542"/>
      <c r="H37" s="543"/>
      <c r="I37" s="319"/>
      <c r="J37" s="319"/>
    </row>
    <row r="38" spans="1:37" s="115" customFormat="1" ht="15" x14ac:dyDescent="0.2">
      <c r="A38" s="536"/>
      <c r="B38" s="539"/>
      <c r="C38" s="544" t="s">
        <v>141</v>
      </c>
      <c r="D38" s="545"/>
      <c r="E38" s="544" t="s">
        <v>142</v>
      </c>
      <c r="F38" s="545"/>
      <c r="G38" s="544" t="s">
        <v>143</v>
      </c>
      <c r="H38" s="545"/>
      <c r="I38" s="320"/>
      <c r="J38" s="320"/>
    </row>
    <row r="39" spans="1:37" s="115" customFormat="1" ht="16.5" customHeight="1" x14ac:dyDescent="0.2">
      <c r="A39" s="536"/>
      <c r="B39" s="539"/>
      <c r="C39" s="546"/>
      <c r="D39" s="547"/>
      <c r="E39" s="546"/>
      <c r="F39" s="547"/>
      <c r="G39" s="546"/>
      <c r="H39" s="547"/>
      <c r="I39" s="320"/>
      <c r="J39" s="320"/>
    </row>
    <row r="40" spans="1:37" s="115" customFormat="1" ht="15" x14ac:dyDescent="0.2">
      <c r="A40" s="536"/>
      <c r="B40" s="539"/>
      <c r="C40" s="546" t="s">
        <v>144</v>
      </c>
      <c r="D40" s="549" t="s">
        <v>145</v>
      </c>
      <c r="E40" s="546" t="s">
        <v>144</v>
      </c>
      <c r="F40" s="551" t="s">
        <v>146</v>
      </c>
      <c r="G40" s="546" t="s">
        <v>144</v>
      </c>
      <c r="H40" s="551" t="s">
        <v>146</v>
      </c>
      <c r="I40" s="321"/>
      <c r="J40" s="321"/>
    </row>
    <row r="41" spans="1:37" s="115" customFormat="1" ht="15" x14ac:dyDescent="0.2">
      <c r="A41" s="536"/>
      <c r="B41" s="539"/>
      <c r="C41" s="546"/>
      <c r="D41" s="549"/>
      <c r="E41" s="546"/>
      <c r="F41" s="551"/>
      <c r="G41" s="546"/>
      <c r="H41" s="551"/>
      <c r="I41" s="321"/>
      <c r="J41" s="321"/>
    </row>
    <row r="42" spans="1:37" s="115" customFormat="1" ht="15.75" thickBot="1" x14ac:dyDescent="0.25">
      <c r="A42" s="537"/>
      <c r="B42" s="540"/>
      <c r="C42" s="548"/>
      <c r="D42" s="550"/>
      <c r="E42" s="548"/>
      <c r="F42" s="552"/>
      <c r="G42" s="548"/>
      <c r="H42" s="553"/>
      <c r="I42" s="321"/>
      <c r="J42" s="321"/>
    </row>
    <row r="43" spans="1:37" s="115" customFormat="1" ht="15.75" thickBot="1" x14ac:dyDescent="0.3">
      <c r="A43" s="118">
        <v>1</v>
      </c>
      <c r="B43" s="118">
        <v>2</v>
      </c>
      <c r="C43" s="119">
        <v>3</v>
      </c>
      <c r="D43" s="120">
        <v>4</v>
      </c>
      <c r="E43" s="119">
        <v>5</v>
      </c>
      <c r="F43" s="121">
        <v>6</v>
      </c>
      <c r="G43" s="119">
        <v>7</v>
      </c>
      <c r="H43" s="121">
        <v>8</v>
      </c>
      <c r="I43" s="324" t="s">
        <v>217</v>
      </c>
      <c r="J43" s="322"/>
      <c r="K43" s="115" t="s">
        <v>188</v>
      </c>
      <c r="M43" s="115" t="s">
        <v>147</v>
      </c>
      <c r="N43" s="122"/>
      <c r="O43" s="122"/>
      <c r="P43" s="122"/>
      <c r="Q43" s="122"/>
      <c r="AK43" s="529" t="s">
        <v>421</v>
      </c>
    </row>
    <row r="44" spans="1:37" s="115" customFormat="1" ht="25.5" x14ac:dyDescent="0.2">
      <c r="A44" s="123" t="s">
        <v>115</v>
      </c>
      <c r="B44" s="124" t="s">
        <v>148</v>
      </c>
      <c r="C44" s="125">
        <f ca="1">C46+C49+C50+C53</f>
        <v>7833715</v>
      </c>
      <c r="D44" s="126">
        <f>H44+N44+L44+J44</f>
        <v>36770692.210000001</v>
      </c>
      <c r="E44" s="125">
        <f ca="1">E46+E49+E50+E53</f>
        <v>7833715</v>
      </c>
      <c r="F44" s="127">
        <f>H44+N44+L44+J44</f>
        <v>36770692.210000001</v>
      </c>
      <c r="G44" s="128">
        <f ca="1">G46+G49+G50+G53</f>
        <v>1232140</v>
      </c>
      <c r="H44" s="129">
        <f>H46+H49+H50+H53</f>
        <v>6268019.6299999999</v>
      </c>
      <c r="I44" s="296">
        <v>1613327.58</v>
      </c>
      <c r="J44" s="296">
        <v>7471074.7699999996</v>
      </c>
      <c r="K44" s="295">
        <f>K46+K50</f>
        <v>1392634</v>
      </c>
      <c r="L44" s="296">
        <v>5896690.4100000001</v>
      </c>
      <c r="M44" s="130">
        <v>3595613</v>
      </c>
      <c r="N44" s="130">
        <v>17134907.399999999</v>
      </c>
      <c r="O44" s="131"/>
      <c r="P44" s="132"/>
      <c r="Q44" s="131"/>
      <c r="R44" s="133"/>
      <c r="S44" s="134"/>
    </row>
    <row r="45" spans="1:37" s="115" customFormat="1" ht="15.75" thickBot="1" x14ac:dyDescent="0.25">
      <c r="A45" s="135"/>
      <c r="B45" s="136" t="s">
        <v>149</v>
      </c>
      <c r="C45" s="137"/>
      <c r="D45" s="138"/>
      <c r="E45" s="137"/>
      <c r="F45" s="138"/>
      <c r="G45" s="137"/>
      <c r="H45" s="139"/>
      <c r="I45" s="294"/>
      <c r="J45" s="294"/>
      <c r="K45" s="293"/>
      <c r="L45" s="294"/>
      <c r="M45" s="130"/>
      <c r="N45" s="130"/>
      <c r="O45" s="131"/>
      <c r="P45" s="133"/>
      <c r="Q45" s="131"/>
      <c r="R45" s="133"/>
      <c r="S45" s="122"/>
    </row>
    <row r="46" spans="1:37" s="115" customFormat="1" ht="15" x14ac:dyDescent="0.2">
      <c r="A46" s="140" t="s">
        <v>117</v>
      </c>
      <c r="B46" s="141" t="s">
        <v>69</v>
      </c>
      <c r="C46" s="530">
        <f>G46+M46+K46+I46</f>
        <v>7804418</v>
      </c>
      <c r="D46" s="143">
        <f>H46+N46+L46+J46</f>
        <v>36114130.079999998</v>
      </c>
      <c r="E46" s="530">
        <f>G46+M46+K46+I46</f>
        <v>7804418</v>
      </c>
      <c r="F46" s="144">
        <f>H46+N46+L46+J46</f>
        <v>36114130.079999998</v>
      </c>
      <c r="G46" s="145">
        <f>Реестр!E23</f>
        <v>1226712</v>
      </c>
      <c r="H46" s="146">
        <f>Реестр!G23</f>
        <v>6146353.4500000002</v>
      </c>
      <c r="I46" s="294">
        <v>1607040.98</v>
      </c>
      <c r="J46" s="294">
        <v>7326015.0999999996</v>
      </c>
      <c r="K46" s="297">
        <v>1389383</v>
      </c>
      <c r="L46" s="294">
        <v>5824213.3899999997</v>
      </c>
      <c r="M46" s="130">
        <v>3581282</v>
      </c>
      <c r="N46" s="130">
        <v>16817548.140000001</v>
      </c>
      <c r="O46" s="131"/>
      <c r="P46" s="132"/>
      <c r="Q46" s="131"/>
      <c r="R46" s="133"/>
      <c r="S46" s="122"/>
    </row>
    <row r="47" spans="1:37" s="115" customFormat="1" ht="15" x14ac:dyDescent="0.2">
      <c r="A47" s="147" t="s">
        <v>72</v>
      </c>
      <c r="B47" s="148" t="s">
        <v>150</v>
      </c>
      <c r="C47" s="142"/>
      <c r="D47" s="143">
        <f>H47+N47+L47+J47</f>
        <v>7222826.0199999996</v>
      </c>
      <c r="E47" s="149"/>
      <c r="F47" s="150">
        <f>H47+N47+L47+J47</f>
        <v>7222826.0199999996</v>
      </c>
      <c r="G47" s="142"/>
      <c r="H47" s="151">
        <f>ROUND(H46*0.2,2)</f>
        <v>1229270.69</v>
      </c>
      <c r="I47" s="294"/>
      <c r="J47" s="294">
        <v>1465203.02</v>
      </c>
      <c r="K47" s="293"/>
      <c r="L47" s="294">
        <v>1164842.68</v>
      </c>
      <c r="M47" s="130"/>
      <c r="N47" s="130">
        <v>3363509.63</v>
      </c>
      <c r="O47" s="131"/>
      <c r="P47" s="132"/>
      <c r="Q47" s="131"/>
      <c r="R47" s="133"/>
      <c r="S47" s="122"/>
    </row>
    <row r="48" spans="1:37" s="115" customFormat="1" ht="15.75" thickBot="1" x14ac:dyDescent="0.25">
      <c r="A48" s="135" t="s">
        <v>118</v>
      </c>
      <c r="B48" s="136" t="s">
        <v>151</v>
      </c>
      <c r="C48" s="137"/>
      <c r="D48" s="143">
        <f>H48+N48+L48+J48</f>
        <v>43336956.100000001</v>
      </c>
      <c r="E48" s="137"/>
      <c r="F48" s="138">
        <f>H48+N48+L48+J48</f>
        <v>43336956.100000001</v>
      </c>
      <c r="G48" s="137"/>
      <c r="H48" s="139">
        <f>H46+H47</f>
        <v>7375624.1399999997</v>
      </c>
      <c r="I48" s="294"/>
      <c r="J48" s="294">
        <v>8791218.1199999992</v>
      </c>
      <c r="K48" s="293"/>
      <c r="L48" s="294">
        <v>6989056.0700000003</v>
      </c>
      <c r="M48" s="130"/>
      <c r="N48" s="130">
        <v>20181057.77</v>
      </c>
      <c r="O48" s="131"/>
      <c r="P48" s="132"/>
      <c r="Q48" s="131"/>
      <c r="R48" s="133"/>
      <c r="S48" s="122"/>
    </row>
    <row r="49" spans="1:21" s="115" customFormat="1" ht="15" x14ac:dyDescent="0.2">
      <c r="A49" s="153" t="s">
        <v>152</v>
      </c>
      <c r="B49" s="141" t="s">
        <v>120</v>
      </c>
      <c r="C49" s="154">
        <f>G49+N49</f>
        <v>0</v>
      </c>
      <c r="D49" s="155">
        <f>H49+P49</f>
        <v>0</v>
      </c>
      <c r="E49" s="154">
        <f>G49+P49</f>
        <v>0</v>
      </c>
      <c r="F49" s="156">
        <f>H49+Q49</f>
        <v>0</v>
      </c>
      <c r="G49" s="154">
        <v>0</v>
      </c>
      <c r="H49" s="146">
        <v>0</v>
      </c>
      <c r="I49" s="294">
        <v>0</v>
      </c>
      <c r="J49" s="294">
        <v>0</v>
      </c>
      <c r="K49" s="293">
        <v>0</v>
      </c>
      <c r="L49" s="294">
        <v>0</v>
      </c>
      <c r="M49" s="130">
        <v>0</v>
      </c>
      <c r="N49" s="130">
        <v>0</v>
      </c>
      <c r="O49" s="131"/>
      <c r="P49" s="132"/>
      <c r="Q49" s="131"/>
      <c r="R49" s="133"/>
      <c r="S49" s="122"/>
    </row>
    <row r="50" spans="1:21" s="115" customFormat="1" ht="15" x14ac:dyDescent="0.2">
      <c r="A50" s="157" t="s">
        <v>153</v>
      </c>
      <c r="B50" s="148" t="s">
        <v>71</v>
      </c>
      <c r="C50" s="530">
        <f ca="1">G50+M50+K50+I50</f>
        <v>29297</v>
      </c>
      <c r="D50" s="143">
        <f>H50+N50+L50+J50</f>
        <v>656562.13</v>
      </c>
      <c r="E50" s="530">
        <f ca="1">G50+M50+K50+I50</f>
        <v>29297</v>
      </c>
      <c r="F50" s="144">
        <f>H50+N50+L50+J50</f>
        <v>656562.13</v>
      </c>
      <c r="G50" s="142">
        <f ca="1">Реестр!P23</f>
        <v>5428</v>
      </c>
      <c r="H50" s="151">
        <f>Реестр!R23</f>
        <v>121666.18</v>
      </c>
      <c r="I50" s="293">
        <v>6287</v>
      </c>
      <c r="J50" s="294">
        <v>145059.67000000001</v>
      </c>
      <c r="K50" s="293">
        <v>3251</v>
      </c>
      <c r="L50" s="294">
        <v>72477.02</v>
      </c>
      <c r="M50" s="130">
        <v>14331</v>
      </c>
      <c r="N50" s="130">
        <v>317359.26</v>
      </c>
      <c r="O50" s="131"/>
      <c r="P50" s="132"/>
      <c r="Q50" s="131"/>
      <c r="R50" s="133"/>
      <c r="S50" s="122"/>
    </row>
    <row r="51" spans="1:21" s="115" customFormat="1" ht="15" x14ac:dyDescent="0.2">
      <c r="A51" s="157" t="s">
        <v>154</v>
      </c>
      <c r="B51" s="148" t="s">
        <v>150</v>
      </c>
      <c r="C51" s="142"/>
      <c r="D51" s="143">
        <f>H51+N51+L51+J51</f>
        <v>131312.42000000001</v>
      </c>
      <c r="E51" s="142"/>
      <c r="F51" s="144">
        <f>H51+N51+L51+J51</f>
        <v>131312.42000000001</v>
      </c>
      <c r="G51" s="142"/>
      <c r="H51" s="151">
        <f>ROUND((H49+H50)*0.2,2)</f>
        <v>24333.24</v>
      </c>
      <c r="I51" s="294"/>
      <c r="J51" s="294">
        <v>29011.93</v>
      </c>
      <c r="K51" s="293"/>
      <c r="L51" s="294">
        <v>14495.4</v>
      </c>
      <c r="M51" s="130"/>
      <c r="N51" s="130">
        <v>63471.85</v>
      </c>
      <c r="O51" s="131"/>
      <c r="P51" s="132"/>
      <c r="Q51" s="131"/>
      <c r="R51" s="133"/>
      <c r="S51" s="122"/>
    </row>
    <row r="52" spans="1:21" s="115" customFormat="1" ht="15.75" thickBot="1" x14ac:dyDescent="0.25">
      <c r="A52" s="135" t="s">
        <v>33</v>
      </c>
      <c r="B52" s="136" t="s">
        <v>155</v>
      </c>
      <c r="C52" s="137"/>
      <c r="D52" s="152">
        <f>H52+N52+L52+J52</f>
        <v>787874.55</v>
      </c>
      <c r="E52" s="137"/>
      <c r="F52" s="158">
        <f>H52+N52+L52+J52</f>
        <v>787874.55</v>
      </c>
      <c r="G52" s="137"/>
      <c r="H52" s="139">
        <f>H49+H50+H51</f>
        <v>145999.42000000001</v>
      </c>
      <c r="I52" s="294"/>
      <c r="J52" s="294">
        <v>174071.6</v>
      </c>
      <c r="K52" s="293"/>
      <c r="L52" s="294">
        <v>86972.42</v>
      </c>
      <c r="M52" s="130"/>
      <c r="N52" s="130">
        <v>380831.11</v>
      </c>
      <c r="O52" s="131"/>
      <c r="P52" s="132"/>
      <c r="Q52" s="131"/>
      <c r="R52" s="133"/>
      <c r="S52" s="122"/>
    </row>
    <row r="53" spans="1:21" s="115" customFormat="1" ht="15" x14ac:dyDescent="0.2">
      <c r="A53" s="153" t="s">
        <v>156</v>
      </c>
      <c r="B53" s="141" t="s">
        <v>157</v>
      </c>
      <c r="C53" s="159">
        <v>0</v>
      </c>
      <c r="D53" s="421">
        <f>H53</f>
        <v>0</v>
      </c>
      <c r="E53" s="142">
        <f>G53+Q53</f>
        <v>0</v>
      </c>
      <c r="F53" s="144">
        <f>H53</f>
        <v>0</v>
      </c>
      <c r="G53" s="160">
        <v>0</v>
      </c>
      <c r="H53" s="146">
        <v>0</v>
      </c>
      <c r="I53" s="294">
        <v>0</v>
      </c>
      <c r="J53" s="294">
        <v>0</v>
      </c>
      <c r="K53" s="298">
        <v>0</v>
      </c>
      <c r="L53" s="294">
        <v>0</v>
      </c>
      <c r="M53" s="130">
        <v>0</v>
      </c>
      <c r="N53" s="130">
        <v>0</v>
      </c>
      <c r="O53" s="131"/>
      <c r="P53" s="132"/>
      <c r="Q53" s="131"/>
      <c r="R53" s="133"/>
      <c r="S53" s="122"/>
    </row>
    <row r="54" spans="1:21" s="115" customFormat="1" ht="15" x14ac:dyDescent="0.2">
      <c r="A54" s="157" t="s">
        <v>158</v>
      </c>
      <c r="B54" s="148" t="s">
        <v>150</v>
      </c>
      <c r="C54" s="142"/>
      <c r="D54" s="143">
        <f>H54</f>
        <v>0</v>
      </c>
      <c r="E54" s="142"/>
      <c r="F54" s="144">
        <f>H54+R54</f>
        <v>0</v>
      </c>
      <c r="G54" s="142"/>
      <c r="H54" s="151">
        <f>ROUND(H53*0.2,2)</f>
        <v>0</v>
      </c>
      <c r="I54" s="294"/>
      <c r="J54" s="294">
        <v>0</v>
      </c>
      <c r="K54" s="293"/>
      <c r="L54" s="294">
        <v>0</v>
      </c>
      <c r="M54" s="130"/>
      <c r="N54" s="130">
        <v>0</v>
      </c>
      <c r="O54" s="131"/>
      <c r="P54" s="132"/>
      <c r="Q54" s="131"/>
      <c r="R54" s="133"/>
      <c r="S54" s="122"/>
    </row>
    <row r="55" spans="1:21" s="115" customFormat="1" ht="15.75" thickBot="1" x14ac:dyDescent="0.25">
      <c r="A55" s="135" t="s">
        <v>159</v>
      </c>
      <c r="B55" s="136" t="s">
        <v>160</v>
      </c>
      <c r="C55" s="137"/>
      <c r="D55" s="152">
        <f>H55+P55</f>
        <v>0</v>
      </c>
      <c r="E55" s="137"/>
      <c r="F55" s="158">
        <f>H55+R55</f>
        <v>0</v>
      </c>
      <c r="G55" s="137"/>
      <c r="H55" s="161">
        <f>ROUND((H53+H54),20)</f>
        <v>0</v>
      </c>
      <c r="I55" s="294"/>
      <c r="J55" s="294">
        <v>0</v>
      </c>
      <c r="K55" s="293"/>
      <c r="L55" s="294">
        <v>0</v>
      </c>
      <c r="M55" s="130"/>
      <c r="N55" s="130">
        <v>0</v>
      </c>
      <c r="O55" s="131"/>
      <c r="P55" s="132"/>
      <c r="Q55" s="131"/>
      <c r="R55" s="133"/>
      <c r="S55" s="122"/>
    </row>
    <row r="56" spans="1:21" s="115" customFormat="1" ht="25.5" x14ac:dyDescent="0.2">
      <c r="A56" s="162" t="s">
        <v>161</v>
      </c>
      <c r="B56" s="163" t="s">
        <v>162</v>
      </c>
      <c r="C56" s="164"/>
      <c r="D56" s="165">
        <f>D46+D49+D50+D53</f>
        <v>36770692.210000001</v>
      </c>
      <c r="E56" s="164"/>
      <c r="F56" s="165">
        <f>F46+F49+F50+F53</f>
        <v>36770692.210000001</v>
      </c>
      <c r="G56" s="166"/>
      <c r="H56" s="167">
        <f>H46+H49+H50+H53</f>
        <v>6268019.6299999999</v>
      </c>
      <c r="I56" s="300"/>
      <c r="J56" s="300">
        <v>7471074.7699999996</v>
      </c>
      <c r="K56" s="299"/>
      <c r="L56" s="300">
        <v>5896690.4100000001</v>
      </c>
      <c r="M56" s="130"/>
      <c r="N56" s="130">
        <v>17134907.399999999</v>
      </c>
      <c r="O56" s="168"/>
      <c r="P56" s="169"/>
      <c r="Q56" s="168"/>
      <c r="R56" s="169"/>
      <c r="S56" s="122"/>
    </row>
    <row r="57" spans="1:21" s="115" customFormat="1" ht="15.75" x14ac:dyDescent="0.2">
      <c r="A57" s="170" t="s">
        <v>163</v>
      </c>
      <c r="B57" s="171" t="s">
        <v>164</v>
      </c>
      <c r="C57" s="172"/>
      <c r="D57" s="173">
        <f>ROUND(D47+D51+D54,2)</f>
        <v>7354138.4400000004</v>
      </c>
      <c r="E57" s="172"/>
      <c r="F57" s="173">
        <f>ROUND(F47+F51+F54,2)</f>
        <v>7354138.4400000004</v>
      </c>
      <c r="G57" s="174"/>
      <c r="H57" s="175">
        <f>ROUND(H47+H51+H54,2)</f>
        <v>1253603.93</v>
      </c>
      <c r="I57" s="300"/>
      <c r="J57" s="300">
        <v>1494214.95</v>
      </c>
      <c r="K57" s="299"/>
      <c r="L57" s="300">
        <v>1179338.08</v>
      </c>
      <c r="M57" s="130"/>
      <c r="N57" s="130">
        <v>3426981.48</v>
      </c>
      <c r="O57" s="168"/>
      <c r="P57" s="169"/>
      <c r="Q57" s="168"/>
      <c r="R57" s="169"/>
      <c r="S57" s="122"/>
      <c r="U57" s="176"/>
    </row>
    <row r="58" spans="1:21" s="115" customFormat="1" ht="16.5" thickBot="1" x14ac:dyDescent="0.25">
      <c r="A58" s="177" t="s">
        <v>165</v>
      </c>
      <c r="B58" s="178" t="s">
        <v>166</v>
      </c>
      <c r="C58" s="179"/>
      <c r="D58" s="180">
        <f>ROUND(D48+D52+D55,2)</f>
        <v>44124830.649999999</v>
      </c>
      <c r="E58" s="179"/>
      <c r="F58" s="180">
        <f>ROUND(F48+F52+F55,2)</f>
        <v>44124830.649999999</v>
      </c>
      <c r="G58" s="181"/>
      <c r="H58" s="182">
        <f>ROUND(H48+H52+H55,2)</f>
        <v>7521623.5599999996</v>
      </c>
      <c r="I58" s="300"/>
      <c r="J58" s="300">
        <v>8965289.7200000007</v>
      </c>
      <c r="K58" s="299"/>
      <c r="L58" s="300">
        <v>7076028.4900000002</v>
      </c>
      <c r="M58" s="130"/>
      <c r="N58" s="130">
        <v>20561888.879999999</v>
      </c>
      <c r="O58" s="168"/>
      <c r="P58" s="169"/>
      <c r="Q58" s="168"/>
      <c r="R58" s="169"/>
      <c r="S58" s="122"/>
    </row>
    <row r="59" spans="1:21" s="115" customFormat="1" ht="15" x14ac:dyDescent="0.2">
      <c r="A59" s="153" t="s">
        <v>167</v>
      </c>
      <c r="B59" s="141" t="s">
        <v>168</v>
      </c>
      <c r="C59" s="154"/>
      <c r="D59" s="155"/>
      <c r="E59" s="154"/>
      <c r="F59" s="156"/>
      <c r="G59" s="154"/>
      <c r="H59" s="146"/>
      <c r="I59" s="294"/>
      <c r="J59" s="294"/>
      <c r="K59" s="293"/>
      <c r="L59" s="294"/>
      <c r="M59" s="130"/>
      <c r="N59" s="130"/>
      <c r="O59" s="131"/>
      <c r="P59" s="132"/>
      <c r="Q59" s="131"/>
      <c r="R59" s="133"/>
      <c r="S59" s="122"/>
    </row>
    <row r="60" spans="1:21" s="115" customFormat="1" ht="15.75" thickBot="1" x14ac:dyDescent="0.25">
      <c r="A60" s="183" t="s">
        <v>169</v>
      </c>
      <c r="B60" s="184" t="s">
        <v>170</v>
      </c>
      <c r="C60" s="149">
        <f>E60</f>
        <v>532531</v>
      </c>
      <c r="D60" s="185">
        <f>F60</f>
        <v>2380413.42</v>
      </c>
      <c r="E60" s="149">
        <f>G60+M60</f>
        <v>532531</v>
      </c>
      <c r="F60" s="186">
        <f>H60+N60</f>
        <v>2380413.42</v>
      </c>
      <c r="G60" s="149"/>
      <c r="H60" s="187"/>
      <c r="I60" s="294"/>
      <c r="J60" s="294"/>
      <c r="K60" s="293"/>
      <c r="L60" s="294"/>
      <c r="M60" s="130">
        <v>532531</v>
      </c>
      <c r="N60" s="130">
        <v>2380413.42</v>
      </c>
      <c r="O60" s="131"/>
      <c r="P60" s="132"/>
      <c r="Q60" s="131"/>
      <c r="R60" s="133"/>
      <c r="S60" s="122"/>
    </row>
    <row r="61" spans="1:21" s="115" customFormat="1" ht="13.5" thickBot="1" x14ac:dyDescent="0.25">
      <c r="A61" s="188">
        <v>17</v>
      </c>
      <c r="B61" s="531" t="s">
        <v>171</v>
      </c>
      <c r="C61" s="532"/>
      <c r="D61" s="532"/>
      <c r="E61" s="532"/>
      <c r="F61" s="532"/>
      <c r="G61" s="532"/>
      <c r="H61" s="532"/>
      <c r="I61" s="323"/>
      <c r="J61" s="323"/>
      <c r="K61" s="301"/>
      <c r="L61" s="302"/>
      <c r="M61" s="302"/>
      <c r="N61" s="302"/>
      <c r="O61" s="122"/>
      <c r="P61" s="122"/>
      <c r="Q61" s="122"/>
    </row>
    <row r="62" spans="1:21" s="115" customFormat="1" ht="15" x14ac:dyDescent="0.2">
      <c r="A62" s="189">
        <v>18</v>
      </c>
      <c r="B62" s="190" t="s">
        <v>172</v>
      </c>
      <c r="C62" s="191">
        <v>0</v>
      </c>
      <c r="D62" s="192">
        <f>ROUND(D56*0.02,2)</f>
        <v>735413.84</v>
      </c>
      <c r="E62" s="193">
        <v>0</v>
      </c>
      <c r="F62" s="192">
        <f>ROUND(F56*0.02,2)</f>
        <v>735413.84</v>
      </c>
      <c r="G62" s="193">
        <v>0</v>
      </c>
      <c r="H62" s="194">
        <f>ROUND(H56*0.02,2)</f>
        <v>125360.39</v>
      </c>
      <c r="I62" s="196"/>
      <c r="J62" s="196"/>
      <c r="M62" s="122"/>
      <c r="N62" s="195"/>
      <c r="O62" s="196"/>
      <c r="P62" s="196"/>
      <c r="Q62" s="196"/>
    </row>
    <row r="63" spans="1:21" s="115" customFormat="1" ht="15" x14ac:dyDescent="0.2">
      <c r="A63" s="197">
        <v>19</v>
      </c>
      <c r="B63" s="198" t="s">
        <v>150</v>
      </c>
      <c r="C63" s="199">
        <f>ROUND(C62*0.18,2)</f>
        <v>0</v>
      </c>
      <c r="D63" s="200">
        <f>ROUND(D62*0.2,2)</f>
        <v>147082.76999999999</v>
      </c>
      <c r="E63" s="201">
        <f>ROUND(E62*0.18,2)</f>
        <v>0</v>
      </c>
      <c r="F63" s="200">
        <f>ROUND(F62*0.2,2)</f>
        <v>147082.76999999999</v>
      </c>
      <c r="G63" s="201">
        <f>ROUND(G62*0.18,2)</f>
        <v>0</v>
      </c>
      <c r="H63" s="200">
        <f>ROUND(H62*0.2,2)</f>
        <v>25072.080000000002</v>
      </c>
      <c r="I63" s="196"/>
      <c r="J63" s="196"/>
      <c r="M63" s="122"/>
      <c r="N63" s="195"/>
      <c r="O63" s="196"/>
      <c r="P63" s="196"/>
      <c r="Q63" s="196"/>
    </row>
    <row r="64" spans="1:21" s="115" customFormat="1" ht="26.25" thickBot="1" x14ac:dyDescent="0.25">
      <c r="A64" s="202">
        <v>20</v>
      </c>
      <c r="B64" s="203" t="s">
        <v>173</v>
      </c>
      <c r="C64" s="204">
        <f t="shared" ref="C64:G64" si="0">C62+C63</f>
        <v>0</v>
      </c>
      <c r="D64" s="205">
        <f>D62+D63</f>
        <v>882496.61</v>
      </c>
      <c r="E64" s="206">
        <f t="shared" si="0"/>
        <v>0</v>
      </c>
      <c r="F64" s="205">
        <f>F62+F63</f>
        <v>882496.61</v>
      </c>
      <c r="G64" s="206">
        <f t="shared" si="0"/>
        <v>0</v>
      </c>
      <c r="H64" s="205">
        <f>H62+H63</f>
        <v>150432.47</v>
      </c>
      <c r="I64" s="196"/>
      <c r="J64" s="196"/>
      <c r="M64" s="122"/>
      <c r="N64" s="195"/>
      <c r="O64" s="196"/>
      <c r="P64" s="196"/>
      <c r="Q64" s="196"/>
    </row>
    <row r="65" spans="1:17" s="115" customFormat="1" ht="15" x14ac:dyDescent="0.2">
      <c r="A65" s="207">
        <v>21</v>
      </c>
      <c r="B65" s="208" t="s">
        <v>174</v>
      </c>
      <c r="C65" s="209" t="s">
        <v>175</v>
      </c>
      <c r="D65" s="194">
        <f>D62</f>
        <v>735413.84</v>
      </c>
      <c r="E65" s="210">
        <f t="shared" ref="E65:H67" si="1">E62</f>
        <v>0</v>
      </c>
      <c r="F65" s="194">
        <f>F62</f>
        <v>735413.84</v>
      </c>
      <c r="G65" s="210">
        <f t="shared" si="1"/>
        <v>0</v>
      </c>
      <c r="H65" s="194">
        <f>H62</f>
        <v>125360.39</v>
      </c>
      <c r="I65" s="196"/>
      <c r="J65" s="196"/>
      <c r="M65" s="122"/>
      <c r="N65" s="195"/>
      <c r="O65" s="133"/>
      <c r="P65" s="196"/>
      <c r="Q65" s="133"/>
    </row>
    <row r="66" spans="1:17" s="115" customFormat="1" ht="15" x14ac:dyDescent="0.2">
      <c r="A66" s="197">
        <v>22</v>
      </c>
      <c r="B66" s="211" t="s">
        <v>176</v>
      </c>
      <c r="C66" s="212" t="s">
        <v>175</v>
      </c>
      <c r="D66" s="200">
        <f>D63</f>
        <v>147082.76999999999</v>
      </c>
      <c r="E66" s="201">
        <f t="shared" si="1"/>
        <v>0</v>
      </c>
      <c r="F66" s="200">
        <f t="shared" si="1"/>
        <v>147082.76999999999</v>
      </c>
      <c r="G66" s="201">
        <f t="shared" si="1"/>
        <v>0</v>
      </c>
      <c r="H66" s="200">
        <f t="shared" si="1"/>
        <v>25072.080000000002</v>
      </c>
      <c r="I66" s="196"/>
      <c r="J66" s="196"/>
      <c r="M66" s="122"/>
      <c r="N66" s="195"/>
      <c r="O66" s="133"/>
      <c r="P66" s="196"/>
      <c r="Q66" s="133"/>
    </row>
    <row r="67" spans="1:17" s="115" customFormat="1" ht="27" customHeight="1" thickBot="1" x14ac:dyDescent="0.25">
      <c r="A67" s="213">
        <v>23</v>
      </c>
      <c r="B67" s="214" t="s">
        <v>177</v>
      </c>
      <c r="C67" s="215" t="s">
        <v>175</v>
      </c>
      <c r="D67" s="216">
        <f>D64</f>
        <v>882496.61</v>
      </c>
      <c r="E67" s="217">
        <f t="shared" si="1"/>
        <v>0</v>
      </c>
      <c r="F67" s="216">
        <f t="shared" si="1"/>
        <v>882496.61</v>
      </c>
      <c r="G67" s="217">
        <f t="shared" si="1"/>
        <v>0</v>
      </c>
      <c r="H67" s="216">
        <f t="shared" si="1"/>
        <v>150432.47</v>
      </c>
      <c r="I67" s="228"/>
      <c r="J67" s="228"/>
      <c r="M67" s="122"/>
      <c r="N67" s="195"/>
      <c r="O67" s="133"/>
      <c r="P67" s="196"/>
      <c r="Q67" s="133"/>
    </row>
    <row r="68" spans="1:17" s="115" customFormat="1" ht="15" x14ac:dyDescent="0.2">
      <c r="A68" s="218">
        <v>24</v>
      </c>
      <c r="B68" s="208" t="s">
        <v>178</v>
      </c>
      <c r="C68" s="209" t="s">
        <v>175</v>
      </c>
      <c r="D68" s="194">
        <f>D56-D65</f>
        <v>36035278.369999997</v>
      </c>
      <c r="E68" s="210">
        <f t="shared" ref="E68:G69" si="2">E56-E65</f>
        <v>0</v>
      </c>
      <c r="F68" s="194">
        <f t="shared" si="2"/>
        <v>36035278.369999997</v>
      </c>
      <c r="G68" s="210">
        <f t="shared" si="2"/>
        <v>0</v>
      </c>
      <c r="H68" s="194">
        <f>H56-H65</f>
        <v>6142659.2400000002</v>
      </c>
      <c r="I68" s="196"/>
      <c r="J68" s="196"/>
      <c r="L68" s="219"/>
      <c r="M68" s="122"/>
      <c r="N68" s="195"/>
      <c r="O68" s="133"/>
      <c r="P68" s="196"/>
      <c r="Q68" s="133"/>
    </row>
    <row r="69" spans="1:17" s="115" customFormat="1" ht="15" x14ac:dyDescent="0.2">
      <c r="A69" s="220">
        <v>25</v>
      </c>
      <c r="B69" s="211" t="s">
        <v>179</v>
      </c>
      <c r="C69" s="212" t="s">
        <v>175</v>
      </c>
      <c r="D69" s="200">
        <f>D57-D66</f>
        <v>7207055.6699999999</v>
      </c>
      <c r="E69" s="201">
        <f t="shared" si="2"/>
        <v>0</v>
      </c>
      <c r="F69" s="200">
        <f t="shared" si="2"/>
        <v>7207055.6699999999</v>
      </c>
      <c r="G69" s="201">
        <f t="shared" si="2"/>
        <v>0</v>
      </c>
      <c r="H69" s="200">
        <f>H57-H66</f>
        <v>1228531.8500000001</v>
      </c>
      <c r="I69" s="196"/>
      <c r="J69" s="196"/>
      <c r="M69" s="122"/>
      <c r="N69" s="195"/>
      <c r="O69" s="133"/>
      <c r="P69" s="196"/>
      <c r="Q69" s="133"/>
    </row>
    <row r="70" spans="1:17" s="115" customFormat="1" ht="15" customHeight="1" thickBot="1" x14ac:dyDescent="0.25">
      <c r="A70" s="221">
        <v>26</v>
      </c>
      <c r="B70" s="222" t="s">
        <v>180</v>
      </c>
      <c r="C70" s="223" t="s">
        <v>175</v>
      </c>
      <c r="D70" s="216">
        <f>D58-D67</f>
        <v>43242334.039999999</v>
      </c>
      <c r="E70" s="217">
        <f>E68+E69</f>
        <v>0</v>
      </c>
      <c r="F70" s="216">
        <f>F58-F67</f>
        <v>43242334.039999999</v>
      </c>
      <c r="G70" s="217">
        <f>G68+G69</f>
        <v>0</v>
      </c>
      <c r="H70" s="216">
        <f>H58-H67</f>
        <v>7371191.0899999999</v>
      </c>
      <c r="I70" s="228"/>
      <c r="J70" s="228"/>
      <c r="M70" s="122"/>
      <c r="N70" s="195"/>
      <c r="O70" s="133"/>
      <c r="P70" s="196"/>
      <c r="Q70" s="133"/>
    </row>
    <row r="71" spans="1:17" s="115" customFormat="1" ht="23.25" customHeight="1" x14ac:dyDescent="0.2">
      <c r="A71" s="111"/>
      <c r="B71" s="111"/>
      <c r="C71" s="111"/>
      <c r="D71" s="224"/>
      <c r="E71" s="111"/>
      <c r="F71" s="224"/>
      <c r="G71" s="111"/>
      <c r="H71" s="224"/>
      <c r="I71" s="224"/>
      <c r="J71" s="224"/>
      <c r="M71" s="122"/>
      <c r="N71" s="225"/>
      <c r="O71" s="196"/>
      <c r="P71" s="196"/>
      <c r="Q71" s="196"/>
    </row>
    <row r="72" spans="1:17" s="115" customFormat="1" ht="20.25" customHeight="1" x14ac:dyDescent="0.2">
      <c r="A72" s="111"/>
      <c r="B72" s="111"/>
      <c r="C72" s="111"/>
      <c r="D72" s="224"/>
      <c r="E72" s="111"/>
      <c r="F72" s="224"/>
      <c r="G72" s="111"/>
      <c r="H72" s="224"/>
      <c r="I72" s="224"/>
      <c r="J72" s="224"/>
      <c r="M72" s="122"/>
      <c r="N72" s="225"/>
      <c r="O72" s="196"/>
      <c r="P72" s="196"/>
      <c r="Q72" s="196"/>
    </row>
    <row r="73" spans="1:17" s="115" customFormat="1" ht="17.25" customHeight="1" x14ac:dyDescent="0.2">
      <c r="A73" s="111"/>
      <c r="B73" s="226" t="s">
        <v>15</v>
      </c>
      <c r="C73" s="226"/>
      <c r="D73" s="226"/>
      <c r="E73" s="226"/>
      <c r="F73" s="226"/>
      <c r="G73" s="226"/>
      <c r="H73" s="226"/>
      <c r="I73" s="226"/>
      <c r="J73" s="226"/>
      <c r="M73" s="122"/>
      <c r="N73" s="227"/>
      <c r="O73" s="228"/>
      <c r="P73" s="228"/>
      <c r="Q73" s="228"/>
    </row>
    <row r="74" spans="1:17" s="115" customFormat="1" ht="36" customHeight="1" x14ac:dyDescent="0.25">
      <c r="A74" s="111"/>
      <c r="B74" s="229" t="s">
        <v>181</v>
      </c>
      <c r="C74" s="230" t="s">
        <v>182</v>
      </c>
      <c r="D74" s="230"/>
      <c r="E74" s="230"/>
      <c r="F74" s="230"/>
      <c r="G74" s="230"/>
      <c r="H74" s="231" t="s">
        <v>183</v>
      </c>
      <c r="I74" s="231"/>
      <c r="J74" s="231"/>
      <c r="M74" s="122"/>
      <c r="N74" s="225"/>
      <c r="O74" s="196"/>
      <c r="P74" s="196"/>
      <c r="Q74" s="196"/>
    </row>
    <row r="75" spans="1:17" s="115" customFormat="1" ht="15.75" x14ac:dyDescent="0.2">
      <c r="A75" s="111"/>
      <c r="B75" s="232" t="s">
        <v>184</v>
      </c>
      <c r="C75" s="233"/>
      <c r="D75" s="233"/>
      <c r="E75" s="233"/>
      <c r="F75" s="233"/>
      <c r="G75" s="233"/>
      <c r="H75" s="226"/>
      <c r="I75" s="226"/>
      <c r="J75" s="226"/>
      <c r="M75" s="122"/>
      <c r="N75" s="225"/>
      <c r="O75" s="196"/>
      <c r="P75" s="196"/>
      <c r="Q75" s="196"/>
    </row>
    <row r="76" spans="1:17" s="115" customFormat="1" ht="15.75" x14ac:dyDescent="0.2">
      <c r="A76" s="111"/>
      <c r="B76" s="226"/>
      <c r="C76" s="233"/>
      <c r="D76" s="233"/>
      <c r="E76" s="233"/>
      <c r="F76" s="233"/>
      <c r="G76" s="233"/>
      <c r="H76" s="234"/>
      <c r="I76" s="234"/>
      <c r="J76" s="234"/>
      <c r="M76" s="122"/>
      <c r="N76" s="225"/>
      <c r="O76" s="228"/>
      <c r="P76" s="228"/>
      <c r="Q76" s="228"/>
    </row>
    <row r="77" spans="1:17" s="115" customFormat="1" ht="15" x14ac:dyDescent="0.2">
      <c r="A77" s="111"/>
      <c r="B77" s="226" t="s">
        <v>185</v>
      </c>
      <c r="C77" s="226"/>
      <c r="D77" s="226"/>
      <c r="E77" s="226"/>
      <c r="F77" s="226"/>
      <c r="G77" s="226"/>
      <c r="H77" s="226"/>
      <c r="I77" s="226"/>
      <c r="J77" s="226"/>
      <c r="M77" s="122"/>
      <c r="N77" s="122"/>
      <c r="O77" s="122"/>
      <c r="P77" s="122"/>
      <c r="Q77" s="122"/>
    </row>
    <row r="78" spans="1:17" s="115" customFormat="1" ht="37.5" customHeight="1" x14ac:dyDescent="0.25">
      <c r="A78" s="111"/>
      <c r="B78" s="229" t="s">
        <v>186</v>
      </c>
      <c r="C78" s="230" t="s">
        <v>182</v>
      </c>
      <c r="D78" s="230"/>
      <c r="E78" s="230"/>
      <c r="F78" s="230"/>
      <c r="G78" s="230"/>
      <c r="H78" s="235" t="s">
        <v>187</v>
      </c>
      <c r="I78" s="235"/>
      <c r="J78" s="235"/>
    </row>
    <row r="79" spans="1:17" s="115" customFormat="1" ht="15.75" x14ac:dyDescent="0.25">
      <c r="A79" s="111"/>
      <c r="B79" s="232" t="s">
        <v>184</v>
      </c>
      <c r="C79" s="226"/>
      <c r="D79" s="226"/>
      <c r="E79" s="233"/>
      <c r="F79" s="233"/>
      <c r="G79" s="233"/>
      <c r="H79" s="233"/>
      <c r="I79" s="233"/>
      <c r="J79" s="233"/>
      <c r="N79" s="236"/>
    </row>
  </sheetData>
  <mergeCells count="46">
    <mergeCell ref="G9:H9"/>
    <mergeCell ref="M1:N1"/>
    <mergeCell ref="M2:N2"/>
    <mergeCell ref="G5:H5"/>
    <mergeCell ref="G6:H6"/>
    <mergeCell ref="G7:H7"/>
    <mergeCell ref="G10:H10"/>
    <mergeCell ref="G11:H12"/>
    <mergeCell ref="A12:E12"/>
    <mergeCell ref="A13:E13"/>
    <mergeCell ref="G13:H14"/>
    <mergeCell ref="A14:E14"/>
    <mergeCell ref="A15:E15"/>
    <mergeCell ref="G15:H16"/>
    <mergeCell ref="A16:E16"/>
    <mergeCell ref="A17:E17"/>
    <mergeCell ref="G17:H18"/>
    <mergeCell ref="A18:E18"/>
    <mergeCell ref="F29:F30"/>
    <mergeCell ref="G29:H29"/>
    <mergeCell ref="A19:E19"/>
    <mergeCell ref="G19:H20"/>
    <mergeCell ref="A20:E20"/>
    <mergeCell ref="A21:E21"/>
    <mergeCell ref="G21:H22"/>
    <mergeCell ref="A22:E22"/>
    <mergeCell ref="A23:E23"/>
    <mergeCell ref="G24:H24"/>
    <mergeCell ref="G25:H25"/>
    <mergeCell ref="G26:H26"/>
    <mergeCell ref="G27:H27"/>
    <mergeCell ref="B61:H61"/>
    <mergeCell ref="A34:H34"/>
    <mergeCell ref="A35:H35"/>
    <mergeCell ref="A37:A42"/>
    <mergeCell ref="B37:B42"/>
    <mergeCell ref="C37:H37"/>
    <mergeCell ref="C38:D39"/>
    <mergeCell ref="E38:F39"/>
    <mergeCell ref="G38:H39"/>
    <mergeCell ref="C40:C42"/>
    <mergeCell ref="D40:D42"/>
    <mergeCell ref="E40:E42"/>
    <mergeCell ref="F40:F42"/>
    <mergeCell ref="G40:G42"/>
    <mergeCell ref="H40:H42"/>
  </mergeCells>
  <pageMargins left="0.7" right="0.7" top="0.75" bottom="0.75" header="0.3" footer="0.3"/>
  <pageSetup paperSize="9" scale="5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V218"/>
  <sheetViews>
    <sheetView view="pageBreakPreview" topLeftCell="A159" zoomScale="85" zoomScaleNormal="70" zoomScaleSheetLayoutView="85" workbookViewId="0">
      <selection activeCell="J170" sqref="J170"/>
    </sheetView>
  </sheetViews>
  <sheetFormatPr defaultRowHeight="12.75" x14ac:dyDescent="0.2"/>
  <cols>
    <col min="1" max="2" width="5.7109375" style="422" customWidth="1"/>
    <col min="3" max="3" width="11.7109375" style="422" customWidth="1"/>
    <col min="4" max="4" width="40.7109375" style="422" customWidth="1"/>
    <col min="5" max="6" width="11.7109375" style="422" customWidth="1"/>
    <col min="7" max="7" width="14.140625" style="422" customWidth="1"/>
    <col min="8" max="8" width="12.7109375" style="422" customWidth="1"/>
    <col min="9" max="9" width="13" style="422" customWidth="1"/>
    <col min="10" max="12" width="12.7109375" style="422" customWidth="1"/>
    <col min="13" max="13" width="11.85546875" style="422" bestFit="1" customWidth="1"/>
    <col min="14" max="14" width="9.140625" style="422"/>
    <col min="15" max="35" width="0" style="422" hidden="1" customWidth="1"/>
    <col min="36" max="36" width="99.7109375" style="422" hidden="1" customWidth="1"/>
    <col min="37" max="37" width="155.7109375" style="422" hidden="1" customWidth="1"/>
    <col min="38" max="38" width="109.7109375" style="422" hidden="1" customWidth="1"/>
    <col min="39" max="42" width="0" style="422" hidden="1" customWidth="1"/>
    <col min="43" max="16384" width="9.140625" style="422"/>
  </cols>
  <sheetData>
    <row r="1" spans="1:12" hidden="1" x14ac:dyDescent="0.2">
      <c r="A1" s="449" t="str">
        <f>[89]Source!B1</f>
        <v>Smeta.RU  (495) 974-1589</v>
      </c>
    </row>
    <row r="2" spans="1:12" ht="15" hidden="1" x14ac:dyDescent="0.25">
      <c r="A2" s="423"/>
      <c r="B2" s="423"/>
      <c r="C2" s="450"/>
      <c r="D2" s="450"/>
      <c r="E2" s="450"/>
      <c r="F2" s="423"/>
      <c r="G2" s="423"/>
      <c r="H2" s="423"/>
      <c r="I2" s="713" t="s">
        <v>0</v>
      </c>
      <c r="J2" s="713"/>
      <c r="K2" s="713"/>
      <c r="L2" s="713"/>
    </row>
    <row r="3" spans="1:12" ht="14.25" hidden="1" x14ac:dyDescent="0.2">
      <c r="A3" s="423"/>
      <c r="B3" s="423"/>
      <c r="C3" s="423"/>
      <c r="D3" s="423"/>
      <c r="E3" s="423"/>
      <c r="F3" s="423"/>
      <c r="G3" s="423"/>
      <c r="H3" s="423"/>
      <c r="I3" s="713" t="s">
        <v>1</v>
      </c>
      <c r="J3" s="713"/>
      <c r="K3" s="713"/>
      <c r="L3" s="713"/>
    </row>
    <row r="4" spans="1:12" ht="14.25" hidden="1" x14ac:dyDescent="0.2">
      <c r="A4" s="423"/>
      <c r="B4" s="423"/>
      <c r="C4" s="423"/>
      <c r="D4" s="423"/>
      <c r="E4" s="423"/>
      <c r="F4" s="423"/>
      <c r="G4" s="423"/>
      <c r="H4" s="423"/>
      <c r="I4" s="713" t="s">
        <v>2</v>
      </c>
      <c r="J4" s="713"/>
      <c r="K4" s="713"/>
      <c r="L4" s="713"/>
    </row>
    <row r="5" spans="1:12" ht="14.25" hidden="1" x14ac:dyDescent="0.2">
      <c r="A5" s="423"/>
      <c r="B5" s="423"/>
      <c r="C5" s="423"/>
      <c r="D5" s="423"/>
      <c r="E5" s="423"/>
      <c r="F5" s="423"/>
      <c r="G5" s="423"/>
      <c r="H5" s="423"/>
      <c r="I5" s="423"/>
      <c r="J5" s="423"/>
      <c r="K5" s="423"/>
      <c r="L5" s="423"/>
    </row>
    <row r="6" spans="1:12" ht="14.25" hidden="1" x14ac:dyDescent="0.2">
      <c r="A6" s="423"/>
      <c r="B6" s="423"/>
      <c r="C6" s="423"/>
      <c r="D6" s="423"/>
      <c r="E6" s="423"/>
      <c r="F6" s="423"/>
      <c r="G6" s="423"/>
      <c r="H6" s="423"/>
      <c r="I6" s="423"/>
      <c r="J6" s="690" t="s">
        <v>3</v>
      </c>
      <c r="K6" s="690"/>
      <c r="L6" s="690"/>
    </row>
    <row r="7" spans="1:12" ht="14.25" hidden="1" x14ac:dyDescent="0.2">
      <c r="A7" s="423"/>
      <c r="B7" s="423"/>
      <c r="C7" s="423"/>
      <c r="D7" s="423"/>
      <c r="E7" s="423"/>
      <c r="F7" s="423"/>
      <c r="G7" s="423"/>
      <c r="H7" s="423"/>
      <c r="I7" s="436" t="s">
        <v>4</v>
      </c>
      <c r="J7" s="712" t="s">
        <v>5</v>
      </c>
      <c r="K7" s="712"/>
      <c r="L7" s="712"/>
    </row>
    <row r="8" spans="1:12" ht="14.25" hidden="1" x14ac:dyDescent="0.2">
      <c r="A8" s="423"/>
      <c r="B8" s="423"/>
      <c r="C8" s="423"/>
      <c r="D8" s="423"/>
      <c r="E8" s="423"/>
      <c r="F8" s="423"/>
      <c r="G8" s="423"/>
      <c r="H8" s="423"/>
      <c r="I8" s="423"/>
      <c r="J8" s="711" t="s">
        <v>6</v>
      </c>
      <c r="K8" s="711"/>
      <c r="L8" s="711"/>
    </row>
    <row r="9" spans="1:12" ht="14.25" hidden="1" x14ac:dyDescent="0.2">
      <c r="A9" s="423" t="s">
        <v>218</v>
      </c>
      <c r="B9" s="423"/>
      <c r="C9" s="689" t="s">
        <v>219</v>
      </c>
      <c r="D9" s="689"/>
      <c r="E9" s="689"/>
      <c r="F9" s="689"/>
      <c r="G9" s="689"/>
      <c r="H9" s="689"/>
      <c r="I9" s="436" t="s">
        <v>9</v>
      </c>
      <c r="J9" s="711"/>
      <c r="K9" s="711"/>
      <c r="L9" s="711"/>
    </row>
    <row r="10" spans="1:12" ht="14.25" hidden="1" x14ac:dyDescent="0.2">
      <c r="A10" s="423"/>
      <c r="B10" s="423"/>
      <c r="C10" s="699" t="s">
        <v>10</v>
      </c>
      <c r="D10" s="699"/>
      <c r="E10" s="699"/>
      <c r="F10" s="699"/>
      <c r="G10" s="699"/>
      <c r="H10" s="699"/>
      <c r="I10" s="423"/>
      <c r="J10" s="704" t="s">
        <v>11</v>
      </c>
      <c r="K10" s="705"/>
      <c r="L10" s="706"/>
    </row>
    <row r="11" spans="1:12" ht="14.25" hidden="1" x14ac:dyDescent="0.2">
      <c r="A11" s="423" t="s">
        <v>220</v>
      </c>
      <c r="B11" s="423"/>
      <c r="C11" s="689" t="s">
        <v>221</v>
      </c>
      <c r="D11" s="689"/>
      <c r="E11" s="689"/>
      <c r="F11" s="689"/>
      <c r="G11" s="689"/>
      <c r="H11" s="689"/>
      <c r="I11" s="436" t="s">
        <v>9</v>
      </c>
      <c r="J11" s="707"/>
      <c r="K11" s="708"/>
      <c r="L11" s="709"/>
    </row>
    <row r="12" spans="1:12" ht="14.25" hidden="1" x14ac:dyDescent="0.2">
      <c r="A12" s="423"/>
      <c r="B12" s="423"/>
      <c r="C12" s="699" t="s">
        <v>10</v>
      </c>
      <c r="D12" s="699"/>
      <c r="E12" s="699"/>
      <c r="F12" s="699"/>
      <c r="G12" s="699"/>
      <c r="H12" s="699"/>
      <c r="I12" s="423"/>
      <c r="J12" s="711">
        <v>29478604</v>
      </c>
      <c r="K12" s="711"/>
      <c r="L12" s="711"/>
    </row>
    <row r="13" spans="1:12" ht="14.25" hidden="1" x14ac:dyDescent="0.2">
      <c r="A13" s="423" t="s">
        <v>15</v>
      </c>
      <c r="B13" s="423"/>
      <c r="C13" s="689" t="s">
        <v>222</v>
      </c>
      <c r="D13" s="689"/>
      <c r="E13" s="689"/>
      <c r="F13" s="689"/>
      <c r="G13" s="689"/>
      <c r="H13" s="689"/>
      <c r="I13" s="436" t="s">
        <v>9</v>
      </c>
      <c r="J13" s="711"/>
      <c r="K13" s="711"/>
      <c r="L13" s="711"/>
    </row>
    <row r="14" spans="1:12" ht="14.25" hidden="1" x14ac:dyDescent="0.2">
      <c r="A14" s="423"/>
      <c r="B14" s="423"/>
      <c r="C14" s="699" t="s">
        <v>10</v>
      </c>
      <c r="D14" s="699"/>
      <c r="E14" s="699"/>
      <c r="F14" s="699"/>
      <c r="G14" s="699"/>
      <c r="H14" s="699"/>
      <c r="I14" s="423"/>
      <c r="J14" s="704" t="s">
        <v>132</v>
      </c>
      <c r="K14" s="705"/>
      <c r="L14" s="706"/>
    </row>
    <row r="15" spans="1:12" ht="14.25" hidden="1" customHeight="1" x14ac:dyDescent="0.2">
      <c r="A15" s="423" t="s">
        <v>185</v>
      </c>
      <c r="B15" s="423"/>
      <c r="C15" s="689" t="s">
        <v>213</v>
      </c>
      <c r="D15" s="689"/>
      <c r="E15" s="689"/>
      <c r="F15" s="689"/>
      <c r="G15" s="689"/>
      <c r="H15" s="689"/>
      <c r="I15" s="436" t="s">
        <v>9</v>
      </c>
      <c r="J15" s="707"/>
      <c r="K15" s="708"/>
      <c r="L15" s="709"/>
    </row>
    <row r="16" spans="1:12" ht="14.25" hidden="1" x14ac:dyDescent="0.2">
      <c r="A16" s="423"/>
      <c r="B16" s="423"/>
      <c r="C16" s="699" t="s">
        <v>10</v>
      </c>
      <c r="D16" s="699"/>
      <c r="E16" s="699"/>
      <c r="F16" s="699"/>
      <c r="G16" s="699"/>
      <c r="H16" s="699"/>
      <c r="I16" s="423"/>
      <c r="J16" s="472"/>
      <c r="K16" s="473"/>
      <c r="L16" s="474"/>
    </row>
    <row r="17" spans="1:36" ht="33.75" hidden="1" customHeight="1" x14ac:dyDescent="0.2">
      <c r="A17" s="423" t="s">
        <v>17</v>
      </c>
      <c r="B17" s="423"/>
      <c r="C17" s="710" t="s">
        <v>223</v>
      </c>
      <c r="D17" s="710"/>
      <c r="E17" s="710"/>
      <c r="F17" s="710"/>
      <c r="G17" s="710"/>
      <c r="H17" s="710"/>
      <c r="I17" s="423"/>
      <c r="J17" s="475"/>
      <c r="K17" s="476"/>
      <c r="L17" s="477"/>
      <c r="AJ17" s="451" t="s">
        <v>224</v>
      </c>
    </row>
    <row r="18" spans="1:36" ht="14.25" hidden="1" x14ac:dyDescent="0.2">
      <c r="A18" s="423"/>
      <c r="B18" s="423"/>
      <c r="C18" s="699" t="s">
        <v>20</v>
      </c>
      <c r="D18" s="699"/>
      <c r="E18" s="699"/>
      <c r="F18" s="699"/>
      <c r="G18" s="699"/>
      <c r="H18" s="699"/>
      <c r="I18" s="423"/>
      <c r="J18" s="690" t="str">
        <f>IF([80]Source!CP15 &lt;&gt; "", [80]Source!CP15, "")</f>
        <v/>
      </c>
      <c r="K18" s="690"/>
      <c r="L18" s="690"/>
    </row>
    <row r="19" spans="1:36" ht="27.75" hidden="1" customHeight="1" x14ac:dyDescent="0.2">
      <c r="A19" s="423" t="s">
        <v>21</v>
      </c>
      <c r="B19" s="423"/>
      <c r="C19" s="710" t="s">
        <v>223</v>
      </c>
      <c r="D19" s="710"/>
      <c r="E19" s="710"/>
      <c r="F19" s="710"/>
      <c r="G19" s="710"/>
      <c r="H19" s="710"/>
      <c r="I19" s="423"/>
      <c r="J19" s="690"/>
      <c r="K19" s="690"/>
      <c r="L19" s="690"/>
      <c r="AJ19" s="452" t="str">
        <f>IF([80]Source!G12&lt;&gt;"Новый объект", [80]Source!G12, "")</f>
        <v>12-4017-Л-Р-8.3.1-ВК-СМ1 Инженерные системы. Тонельный водопровод и водоотвод</v>
      </c>
    </row>
    <row r="20" spans="1:36" ht="14.25" hidden="1" x14ac:dyDescent="0.2">
      <c r="A20" s="423"/>
      <c r="B20" s="423"/>
      <c r="C20" s="699" t="s">
        <v>22</v>
      </c>
      <c r="D20" s="699"/>
      <c r="E20" s="699"/>
      <c r="F20" s="699"/>
      <c r="G20" s="699"/>
      <c r="H20" s="699"/>
      <c r="I20" s="423"/>
      <c r="J20" s="423"/>
      <c r="K20" s="423"/>
      <c r="L20" s="423"/>
    </row>
    <row r="21" spans="1:36" ht="14.25" hidden="1" x14ac:dyDescent="0.2">
      <c r="A21" s="423"/>
      <c r="B21" s="423"/>
      <c r="C21" s="423"/>
      <c r="D21" s="423"/>
      <c r="E21" s="423"/>
      <c r="F21" s="423"/>
      <c r="G21" s="700" t="s">
        <v>23</v>
      </c>
      <c r="H21" s="700"/>
      <c r="I21" s="701"/>
      <c r="J21" s="690" t="str">
        <f>IF([80]Source!CQ15 &lt;&gt; "", [80]Source!CQ15, "")</f>
        <v/>
      </c>
      <c r="K21" s="690"/>
      <c r="L21" s="690"/>
    </row>
    <row r="22" spans="1:36" ht="14.25" hidden="1" x14ac:dyDescent="0.2">
      <c r="A22" s="423"/>
      <c r="B22" s="423"/>
      <c r="C22" s="423"/>
      <c r="D22" s="423"/>
      <c r="E22" s="423"/>
      <c r="F22" s="423"/>
      <c r="G22" s="700" t="s">
        <v>24</v>
      </c>
      <c r="H22" s="702"/>
      <c r="I22" s="453" t="s">
        <v>25</v>
      </c>
      <c r="J22" s="690" t="s">
        <v>225</v>
      </c>
      <c r="K22" s="690"/>
      <c r="L22" s="690"/>
    </row>
    <row r="23" spans="1:36" ht="14.25" hidden="1" x14ac:dyDescent="0.2">
      <c r="A23" s="423"/>
      <c r="B23" s="423"/>
      <c r="C23" s="423"/>
      <c r="D23" s="423"/>
      <c r="E23" s="423"/>
      <c r="F23" s="423"/>
      <c r="G23" s="423"/>
      <c r="H23" s="423"/>
      <c r="I23" s="454" t="s">
        <v>26</v>
      </c>
      <c r="J23" s="703">
        <v>43713</v>
      </c>
      <c r="K23" s="703"/>
      <c r="L23" s="703"/>
    </row>
    <row r="24" spans="1:36" ht="14.25" hidden="1" x14ac:dyDescent="0.2">
      <c r="A24" s="423"/>
      <c r="B24" s="423"/>
      <c r="C24" s="423"/>
      <c r="D24" s="423"/>
      <c r="E24" s="423"/>
      <c r="F24" s="423"/>
      <c r="G24" s="423"/>
      <c r="H24" s="423"/>
      <c r="I24" s="436" t="s">
        <v>27</v>
      </c>
      <c r="J24" s="690" t="str">
        <f>IF([80]Source!CT15 &lt;&gt; "", [80]Source!CT15, "")</f>
        <v/>
      </c>
      <c r="K24" s="690"/>
      <c r="L24" s="690"/>
    </row>
    <row r="25" spans="1:36" ht="14.25" hidden="1" x14ac:dyDescent="0.2">
      <c r="A25" s="423"/>
      <c r="B25" s="423"/>
      <c r="C25" s="423"/>
      <c r="D25" s="423"/>
      <c r="E25" s="423"/>
      <c r="F25" s="423"/>
      <c r="G25" s="423"/>
      <c r="H25" s="423"/>
      <c r="I25" s="423"/>
      <c r="J25" s="423"/>
      <c r="K25" s="423"/>
      <c r="L25" s="423"/>
    </row>
    <row r="26" spans="1:36" ht="14.25" hidden="1" x14ac:dyDescent="0.2">
      <c r="A26" s="423"/>
      <c r="B26" s="423"/>
      <c r="C26" s="423"/>
      <c r="D26" s="423"/>
      <c r="E26" s="423"/>
      <c r="F26" s="423"/>
      <c r="G26" s="691" t="s">
        <v>28</v>
      </c>
      <c r="H26" s="693" t="s">
        <v>29</v>
      </c>
      <c r="I26" s="693" t="s">
        <v>30</v>
      </c>
      <c r="J26" s="695"/>
      <c r="K26" s="423"/>
      <c r="L26" s="423"/>
    </row>
    <row r="27" spans="1:36" ht="14.25" hidden="1" x14ac:dyDescent="0.2">
      <c r="A27" s="423"/>
      <c r="B27" s="423"/>
      <c r="C27" s="423"/>
      <c r="D27" s="423"/>
      <c r="E27" s="423"/>
      <c r="F27" s="423"/>
      <c r="G27" s="692"/>
      <c r="H27" s="694"/>
      <c r="I27" s="438" t="s">
        <v>31</v>
      </c>
      <c r="J27" s="455" t="s">
        <v>32</v>
      </c>
      <c r="K27" s="423"/>
      <c r="L27" s="423"/>
    </row>
    <row r="28" spans="1:36" ht="14.25" hidden="1" x14ac:dyDescent="0.2">
      <c r="A28" s="423"/>
      <c r="B28" s="423"/>
      <c r="C28" s="423"/>
      <c r="D28" s="423"/>
      <c r="E28" s="423"/>
      <c r="F28" s="423"/>
      <c r="G28" s="424">
        <v>44085</v>
      </c>
      <c r="H28" s="424">
        <v>44012</v>
      </c>
      <c r="I28" s="424" t="s">
        <v>237</v>
      </c>
      <c r="J28" s="456" t="s">
        <v>238</v>
      </c>
      <c r="K28" s="423"/>
      <c r="L28" s="423"/>
    </row>
    <row r="29" spans="1:36" ht="14.25" hidden="1" x14ac:dyDescent="0.2">
      <c r="A29" s="423"/>
      <c r="B29" s="423"/>
      <c r="C29" s="423"/>
      <c r="D29" s="423"/>
      <c r="E29" s="423"/>
      <c r="F29" s="423"/>
      <c r="G29" s="423"/>
      <c r="H29" s="423"/>
      <c r="I29" s="423"/>
      <c r="J29" s="423"/>
      <c r="K29" s="423"/>
      <c r="L29" s="423"/>
    </row>
    <row r="30" spans="1:36" ht="18" hidden="1" x14ac:dyDescent="0.25">
      <c r="A30" s="696" t="s">
        <v>34</v>
      </c>
      <c r="B30" s="696"/>
      <c r="C30" s="696"/>
      <c r="D30" s="696"/>
      <c r="E30" s="696"/>
      <c r="F30" s="696"/>
      <c r="G30" s="696"/>
      <c r="H30" s="696"/>
      <c r="I30" s="696"/>
      <c r="J30" s="696"/>
      <c r="K30" s="696"/>
      <c r="L30" s="696"/>
    </row>
    <row r="31" spans="1:36" ht="18" hidden="1" x14ac:dyDescent="0.25">
      <c r="A31" s="696" t="s">
        <v>35</v>
      </c>
      <c r="B31" s="696"/>
      <c r="C31" s="696"/>
      <c r="D31" s="696"/>
      <c r="E31" s="696"/>
      <c r="F31" s="696"/>
      <c r="G31" s="696"/>
      <c r="H31" s="696"/>
      <c r="I31" s="696"/>
      <c r="J31" s="696"/>
      <c r="K31" s="696"/>
      <c r="L31" s="696"/>
    </row>
    <row r="32" spans="1:36" ht="15" x14ac:dyDescent="0.25">
      <c r="A32" s="697" t="s">
        <v>393</v>
      </c>
      <c r="B32" s="697"/>
      <c r="C32" s="697"/>
      <c r="D32" s="697"/>
      <c r="E32" s="697"/>
      <c r="F32" s="697"/>
      <c r="G32" s="697"/>
      <c r="H32" s="697"/>
      <c r="I32" s="697"/>
      <c r="J32" s="697"/>
      <c r="K32" s="697"/>
      <c r="L32" s="697"/>
    </row>
    <row r="33" spans="1:37" ht="15" customHeight="1" x14ac:dyDescent="0.25">
      <c r="A33" s="679" t="s">
        <v>294</v>
      </c>
      <c r="B33" s="679"/>
      <c r="C33" s="679"/>
      <c r="D33" s="679"/>
      <c r="E33" s="679"/>
      <c r="F33" s="679"/>
      <c r="G33" s="679"/>
      <c r="H33" s="679"/>
      <c r="I33" s="679"/>
      <c r="J33" s="679"/>
      <c r="K33" s="679"/>
      <c r="L33" s="679"/>
    </row>
    <row r="34" spans="1:37" ht="28.5" x14ac:dyDescent="0.2">
      <c r="A34" s="689" t="s">
        <v>226</v>
      </c>
      <c r="B34" s="689"/>
      <c r="C34" s="689"/>
      <c r="D34" s="689"/>
      <c r="E34" s="689"/>
      <c r="F34" s="689"/>
      <c r="G34" s="689"/>
      <c r="H34" s="689"/>
      <c r="I34" s="689"/>
      <c r="J34" s="689"/>
      <c r="K34" s="689"/>
      <c r="L34" s="689"/>
      <c r="AK34" s="451" t="s">
        <v>226</v>
      </c>
    </row>
    <row r="35" spans="1:37" ht="14.25" x14ac:dyDescent="0.2">
      <c r="A35" s="687" t="s">
        <v>36</v>
      </c>
      <c r="B35" s="687"/>
      <c r="C35" s="687" t="s">
        <v>37</v>
      </c>
      <c r="D35" s="687" t="s">
        <v>38</v>
      </c>
      <c r="E35" s="687" t="s">
        <v>39</v>
      </c>
      <c r="F35" s="687" t="s">
        <v>40</v>
      </c>
      <c r="G35" s="687" t="s">
        <v>41</v>
      </c>
      <c r="H35" s="684" t="s">
        <v>42</v>
      </c>
      <c r="I35" s="684" t="s">
        <v>43</v>
      </c>
      <c r="J35" s="687" t="s">
        <v>227</v>
      </c>
      <c r="K35" s="687" t="s">
        <v>44</v>
      </c>
      <c r="L35" s="687" t="s">
        <v>45</v>
      </c>
    </row>
    <row r="36" spans="1:37" x14ac:dyDescent="0.2">
      <c r="A36" s="684" t="s">
        <v>46</v>
      </c>
      <c r="B36" s="684" t="s">
        <v>47</v>
      </c>
      <c r="C36" s="687"/>
      <c r="D36" s="687"/>
      <c r="E36" s="687"/>
      <c r="F36" s="687"/>
      <c r="G36" s="687"/>
      <c r="H36" s="685"/>
      <c r="I36" s="685"/>
      <c r="J36" s="687"/>
      <c r="K36" s="687"/>
      <c r="L36" s="687"/>
    </row>
    <row r="37" spans="1:37" x14ac:dyDescent="0.2">
      <c r="A37" s="685"/>
      <c r="B37" s="685"/>
      <c r="C37" s="687"/>
      <c r="D37" s="687"/>
      <c r="E37" s="687"/>
      <c r="F37" s="687"/>
      <c r="G37" s="687"/>
      <c r="H37" s="685"/>
      <c r="I37" s="685"/>
      <c r="J37" s="687"/>
      <c r="K37" s="687"/>
      <c r="L37" s="687"/>
    </row>
    <row r="38" spans="1:37" ht="20.100000000000001" customHeight="1" x14ac:dyDescent="0.2">
      <c r="A38" s="685"/>
      <c r="B38" s="685"/>
      <c r="C38" s="687"/>
      <c r="D38" s="687"/>
      <c r="E38" s="687"/>
      <c r="F38" s="687"/>
      <c r="G38" s="687"/>
      <c r="H38" s="685"/>
      <c r="I38" s="685"/>
      <c r="J38" s="687"/>
      <c r="K38" s="687"/>
      <c r="L38" s="687"/>
    </row>
    <row r="39" spans="1:37" ht="20.100000000000001" customHeight="1" x14ac:dyDescent="0.2">
      <c r="A39" s="686"/>
      <c r="B39" s="686"/>
      <c r="C39" s="687"/>
      <c r="D39" s="687"/>
      <c r="E39" s="687"/>
      <c r="F39" s="687"/>
      <c r="G39" s="687"/>
      <c r="H39" s="686"/>
      <c r="I39" s="686"/>
      <c r="J39" s="687"/>
      <c r="K39" s="687"/>
      <c r="L39" s="687"/>
    </row>
    <row r="40" spans="1:37" ht="14.25" x14ac:dyDescent="0.2">
      <c r="A40" s="425">
        <v>1</v>
      </c>
      <c r="B40" s="425">
        <v>2</v>
      </c>
      <c r="C40" s="425">
        <v>3</v>
      </c>
      <c r="D40" s="425">
        <v>4</v>
      </c>
      <c r="E40" s="425">
        <v>5</v>
      </c>
      <c r="F40" s="425">
        <v>6</v>
      </c>
      <c r="G40" s="425">
        <v>7</v>
      </c>
      <c r="H40" s="425">
        <v>8</v>
      </c>
      <c r="I40" s="425">
        <v>9</v>
      </c>
      <c r="J40" s="425">
        <v>10</v>
      </c>
      <c r="K40" s="425">
        <v>11</v>
      </c>
      <c r="L40" s="425">
        <v>12</v>
      </c>
    </row>
    <row r="42" spans="1:37" ht="15.75" x14ac:dyDescent="0.25">
      <c r="A42" s="688" t="s">
        <v>48</v>
      </c>
      <c r="B42" s="688"/>
      <c r="C42" s="688"/>
      <c r="D42" s="688"/>
      <c r="E42" s="688"/>
      <c r="F42" s="688"/>
      <c r="G42" s="688"/>
      <c r="H42" s="688"/>
      <c r="I42" s="688"/>
      <c r="J42" s="688"/>
      <c r="K42" s="688"/>
      <c r="L42" s="688"/>
    </row>
    <row r="43" spans="1:37" ht="15.75" x14ac:dyDescent="0.25">
      <c r="A43" s="688" t="s">
        <v>394</v>
      </c>
      <c r="B43" s="688"/>
      <c r="C43" s="688"/>
      <c r="D43" s="688"/>
      <c r="E43" s="688"/>
      <c r="F43" s="688"/>
      <c r="G43" s="688"/>
      <c r="H43" s="688"/>
      <c r="I43" s="688"/>
      <c r="J43" s="688"/>
      <c r="K43" s="688"/>
      <c r="L43" s="688"/>
    </row>
    <row r="44" spans="1:37" ht="15.75" x14ac:dyDescent="0.25">
      <c r="A44" s="688" t="s">
        <v>395</v>
      </c>
      <c r="B44" s="688"/>
      <c r="C44" s="688"/>
      <c r="D44" s="688"/>
      <c r="E44" s="688"/>
      <c r="F44" s="688"/>
      <c r="G44" s="688"/>
      <c r="H44" s="688"/>
      <c r="I44" s="688"/>
      <c r="J44" s="688"/>
      <c r="K44" s="688"/>
      <c r="L44" s="688"/>
    </row>
    <row r="45" spans="1:37" ht="15.75" hidden="1" x14ac:dyDescent="0.25">
      <c r="A45" s="680" t="s">
        <v>49</v>
      </c>
      <c r="B45" s="681"/>
      <c r="C45" s="681"/>
      <c r="D45" s="681"/>
      <c r="E45" s="681"/>
      <c r="F45" s="681"/>
      <c r="G45" s="681"/>
      <c r="H45" s="681"/>
      <c r="I45" s="681"/>
      <c r="J45" s="681"/>
      <c r="K45" s="681"/>
      <c r="L45" s="682"/>
    </row>
    <row r="46" spans="1:37" ht="15.75" hidden="1" x14ac:dyDescent="0.2">
      <c r="A46" s="683" t="s">
        <v>50</v>
      </c>
      <c r="B46" s="683"/>
      <c r="C46" s="683"/>
      <c r="D46" s="683"/>
      <c r="E46" s="683"/>
      <c r="F46" s="683"/>
      <c r="G46" s="683"/>
      <c r="H46" s="683"/>
      <c r="I46" s="683"/>
      <c r="J46" s="683"/>
      <c r="K46" s="683"/>
      <c r="L46" s="683"/>
    </row>
    <row r="47" spans="1:37" ht="15.75" hidden="1" x14ac:dyDescent="0.2">
      <c r="A47" s="683" t="s">
        <v>51</v>
      </c>
      <c r="B47" s="683"/>
      <c r="C47" s="683"/>
      <c r="D47" s="683"/>
      <c r="E47" s="683"/>
      <c r="F47" s="683"/>
      <c r="G47" s="683"/>
      <c r="H47" s="683"/>
      <c r="I47" s="683"/>
      <c r="J47" s="683"/>
      <c r="K47" s="683"/>
      <c r="L47" s="683"/>
    </row>
    <row r="48" spans="1:37" ht="14.25" x14ac:dyDescent="0.2">
      <c r="A48" s="458" t="s">
        <v>379</v>
      </c>
      <c r="B48" s="426"/>
      <c r="C48" s="426"/>
      <c r="D48" s="426"/>
      <c r="E48" s="426"/>
      <c r="F48" s="426"/>
      <c r="G48" s="426"/>
      <c r="H48" s="426"/>
      <c r="I48" s="426"/>
      <c r="J48" s="426"/>
      <c r="K48" s="426"/>
      <c r="L48" s="426"/>
    </row>
    <row r="49" spans="1:27" ht="14.25" x14ac:dyDescent="0.2">
      <c r="A49" s="479"/>
      <c r="B49" s="480"/>
      <c r="C49" s="480"/>
      <c r="D49" s="480"/>
      <c r="E49" s="480"/>
      <c r="F49" s="480"/>
      <c r="G49" s="480"/>
      <c r="H49" s="480"/>
      <c r="I49" s="480"/>
      <c r="J49" s="480"/>
      <c r="K49" s="480"/>
      <c r="L49" s="480"/>
    </row>
    <row r="50" spans="1:27" ht="16.5" x14ac:dyDescent="0.25">
      <c r="A50" s="679" t="str">
        <f>CONCATENATE("Раздел: ",IF([89]Source!G24&lt;&gt;"Новый раздел", [89]Source!G24, ""))</f>
        <v>Раздел: Хозяйственно-питьевой, производственный и противопожарный водопровод (В1)</v>
      </c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</row>
    <row r="51" spans="1:27" ht="57" x14ac:dyDescent="0.2">
      <c r="A51" s="400">
        <v>1</v>
      </c>
      <c r="B51" s="400" t="str">
        <f>[89]Source!E29</f>
        <v>1</v>
      </c>
      <c r="C51" s="460" t="str">
        <f>[89]Source!F29</f>
        <v>3.16-15-3</v>
      </c>
      <c r="D51" s="460" t="s">
        <v>73</v>
      </c>
      <c r="E51" s="428" t="str">
        <f>[89]Source!H29</f>
        <v>шт.</v>
      </c>
      <c r="F51" s="436">
        <f>[89]Source!I29</f>
        <v>1</v>
      </c>
      <c r="G51" s="461"/>
      <c r="H51" s="427"/>
      <c r="I51" s="436"/>
      <c r="J51" s="437"/>
      <c r="K51" s="436"/>
      <c r="L51" s="437"/>
      <c r="Q51" s="422">
        <f>ROUND(([89]Source!DN29/100)*ROUND((ROUND(([89]Source!AF29*[89]Source!AV29*[89]Source!I29),2)),2), 2)</f>
        <v>70.59</v>
      </c>
      <c r="R51" s="422">
        <f>[89]Source!X29</f>
        <v>1368.27</v>
      </c>
      <c r="S51" s="422">
        <f>ROUND(([89]Source!DO29/100)*ROUND((ROUND(([89]Source!AF29*[89]Source!AV29*[89]Source!I29),2)),2), 2)</f>
        <v>53.08</v>
      </c>
      <c r="T51" s="422">
        <f>[89]Source!Y29</f>
        <v>615.72</v>
      </c>
      <c r="U51" s="422">
        <f>ROUND((175/100)*ROUND((ROUND(([89]Source!AE29*[89]Source!AV29*[89]Source!I29),2)),2), 2)</f>
        <v>4.71</v>
      </c>
      <c r="V51" s="422">
        <f>ROUND((157/100)*ROUND(ROUND((ROUND(([89]Source!AE29*[89]Source!AV29*[89]Source!I29),2)*[89]Source!BS29),2), 2), 2)</f>
        <v>102.33</v>
      </c>
    </row>
    <row r="52" spans="1:27" ht="14.25" x14ac:dyDescent="0.2">
      <c r="A52" s="400"/>
      <c r="B52" s="400"/>
      <c r="C52" s="460"/>
      <c r="D52" s="460" t="s">
        <v>52</v>
      </c>
      <c r="E52" s="428"/>
      <c r="F52" s="436"/>
      <c r="G52" s="461">
        <f>[89]Source!AO29</f>
        <v>31.69</v>
      </c>
      <c r="H52" s="427" t="str">
        <f>[89]Source!DG29</f>
        <v>*1,67</v>
      </c>
      <c r="I52" s="436">
        <f>[89]Source!AV29</f>
        <v>1.0669999999999999</v>
      </c>
      <c r="J52" s="437">
        <f>ROUND((ROUND(([89]Source!AF29*[89]Source!AV29*[89]Source!I29),2)),2)</f>
        <v>56.47</v>
      </c>
      <c r="K52" s="436">
        <f>IF([89]Source!BA29&lt;&gt; 0, [89]Source!BA29, 1)</f>
        <v>24.23</v>
      </c>
      <c r="L52" s="437">
        <f>[89]Source!S29</f>
        <v>1368.27</v>
      </c>
      <c r="W52" s="422">
        <f>J52</f>
        <v>56.47</v>
      </c>
    </row>
    <row r="53" spans="1:27" ht="14.25" x14ac:dyDescent="0.2">
      <c r="A53" s="400"/>
      <c r="B53" s="400"/>
      <c r="C53" s="460"/>
      <c r="D53" s="460" t="s">
        <v>53</v>
      </c>
      <c r="E53" s="428"/>
      <c r="F53" s="436"/>
      <c r="G53" s="461">
        <f>[89]Source!AM29</f>
        <v>8.85</v>
      </c>
      <c r="H53" s="427">
        <f>[89]Source!DE29</f>
        <v>0</v>
      </c>
      <c r="I53" s="436">
        <f>[89]Source!AV29</f>
        <v>1.0669999999999999</v>
      </c>
      <c r="J53" s="437">
        <f>(ROUND((ROUND((([89]Source!ET29)*[89]Source!AV29*[89]Source!I29),2)),2)+ROUND((ROUND((([89]Source!AE29-([89]Source!EU29))*[89]Source!AV29*[89]Source!I29),2)),2))-J62</f>
        <v>9.44</v>
      </c>
      <c r="K53" s="436">
        <f>IF([89]Source!BB29&lt;&gt; 0, [89]Source!BB29, 1)</f>
        <v>8.75</v>
      </c>
      <c r="L53" s="437">
        <f>[89]Source!Q29-L62</f>
        <v>82.61</v>
      </c>
    </row>
    <row r="54" spans="1:27" ht="14.25" x14ac:dyDescent="0.2">
      <c r="A54" s="400"/>
      <c r="B54" s="400"/>
      <c r="C54" s="460"/>
      <c r="D54" s="460" t="s">
        <v>54</v>
      </c>
      <c r="E54" s="428"/>
      <c r="F54" s="436"/>
      <c r="G54" s="461">
        <f>[89]Source!AN29</f>
        <v>1.51</v>
      </c>
      <c r="H54" s="427">
        <f>[89]Source!DE29</f>
        <v>0</v>
      </c>
      <c r="I54" s="436">
        <f>[89]Source!AV29</f>
        <v>1.0669999999999999</v>
      </c>
      <c r="J54" s="435">
        <f>ROUND((ROUND(([89]Source!AE29*[89]Source!AV29*[89]Source!I29),2)),2)-J63</f>
        <v>1.61</v>
      </c>
      <c r="K54" s="436">
        <f>IF([89]Source!BS29&lt;&gt; 0, [89]Source!BS29, 1)</f>
        <v>24.23</v>
      </c>
      <c r="L54" s="435">
        <f>[89]Source!R29-L63</f>
        <v>39.020000000000003</v>
      </c>
      <c r="W54" s="422">
        <f>J54</f>
        <v>1.61</v>
      </c>
    </row>
    <row r="55" spans="1:27" ht="14.25" x14ac:dyDescent="0.2">
      <c r="A55" s="400"/>
      <c r="B55" s="400"/>
      <c r="C55" s="460"/>
      <c r="D55" s="460" t="s">
        <v>55</v>
      </c>
      <c r="E55" s="428"/>
      <c r="F55" s="436"/>
      <c r="G55" s="461">
        <f>[89]Source!AL29</f>
        <v>39.46</v>
      </c>
      <c r="H55" s="427">
        <f>[89]Source!DD29</f>
        <v>0</v>
      </c>
      <c r="I55" s="436">
        <f>[89]Source!AW29</f>
        <v>1</v>
      </c>
      <c r="J55" s="437">
        <f>ROUND((ROUND(([89]Source!AC29*[89]Source!AW29*[89]Source!I29),2)),2)</f>
        <v>39.46</v>
      </c>
      <c r="K55" s="436">
        <f>IF([89]Source!BC29&lt;&gt; 0, [89]Source!BC29, 1)</f>
        <v>4.3600000000000003</v>
      </c>
      <c r="L55" s="437">
        <f>[89]Source!P29</f>
        <v>172.05</v>
      </c>
    </row>
    <row r="56" spans="1:27" ht="14.25" x14ac:dyDescent="0.2">
      <c r="A56" s="400"/>
      <c r="B56" s="400"/>
      <c r="C56" s="460"/>
      <c r="D56" s="460" t="s">
        <v>56</v>
      </c>
      <c r="E56" s="428" t="s">
        <v>57</v>
      </c>
      <c r="F56" s="436">
        <f>[89]Source!DN29</f>
        <v>125</v>
      </c>
      <c r="G56" s="461"/>
      <c r="H56" s="427"/>
      <c r="I56" s="436"/>
      <c r="J56" s="437">
        <f>SUM(Q51:Q55)</f>
        <v>70.59</v>
      </c>
      <c r="K56" s="436">
        <f>[89]Source!BZ29</f>
        <v>100</v>
      </c>
      <c r="L56" s="437">
        <f>SUM(R51:R55)</f>
        <v>1368.27</v>
      </c>
    </row>
    <row r="57" spans="1:27" ht="14.25" x14ac:dyDescent="0.2">
      <c r="A57" s="400"/>
      <c r="B57" s="400"/>
      <c r="C57" s="460"/>
      <c r="D57" s="460" t="s">
        <v>58</v>
      </c>
      <c r="E57" s="428" t="s">
        <v>57</v>
      </c>
      <c r="F57" s="436">
        <f>[89]Source!DO29</f>
        <v>94</v>
      </c>
      <c r="G57" s="461"/>
      <c r="H57" s="427"/>
      <c r="I57" s="436"/>
      <c r="J57" s="437">
        <f>SUM(S51:S56)</f>
        <v>53.08</v>
      </c>
      <c r="K57" s="436">
        <f>[89]Source!CA29</f>
        <v>45</v>
      </c>
      <c r="L57" s="437">
        <f>SUM(T51:T56)</f>
        <v>615.72</v>
      </c>
    </row>
    <row r="58" spans="1:27" ht="14.25" x14ac:dyDescent="0.2">
      <c r="A58" s="400"/>
      <c r="B58" s="400"/>
      <c r="C58" s="460"/>
      <c r="D58" s="460" t="s">
        <v>59</v>
      </c>
      <c r="E58" s="428" t="s">
        <v>57</v>
      </c>
      <c r="F58" s="436">
        <f>175</f>
        <v>175</v>
      </c>
      <c r="G58" s="461"/>
      <c r="H58" s="427"/>
      <c r="I58" s="436"/>
      <c r="J58" s="437">
        <f>SUM(U51:U57)-J64</f>
        <v>2.82</v>
      </c>
      <c r="K58" s="436">
        <f>157</f>
        <v>157</v>
      </c>
      <c r="L58" s="437">
        <f>SUM(V51:V57)-L64</f>
        <v>61.26</v>
      </c>
    </row>
    <row r="59" spans="1:27" ht="14.25" x14ac:dyDescent="0.2">
      <c r="A59" s="400"/>
      <c r="B59" s="400"/>
      <c r="C59" s="460"/>
      <c r="D59" s="460" t="s">
        <v>60</v>
      </c>
      <c r="E59" s="428" t="s">
        <v>61</v>
      </c>
      <c r="F59" s="436">
        <f>[89]Source!AQ29</f>
        <v>2.6</v>
      </c>
      <c r="G59" s="461"/>
      <c r="H59" s="427">
        <f>[89]Source!DI29</f>
        <v>0</v>
      </c>
      <c r="I59" s="436">
        <f>[89]Source!AV29</f>
        <v>1.0669999999999999</v>
      </c>
      <c r="J59" s="437">
        <f>[89]Source!U29</f>
        <v>2.77</v>
      </c>
      <c r="K59" s="436"/>
      <c r="L59" s="437"/>
    </row>
    <row r="60" spans="1:27" ht="15" x14ac:dyDescent="0.25">
      <c r="I60" s="678">
        <f>J52+J53+J55+J56+J57+J58</f>
        <v>231.86</v>
      </c>
      <c r="J60" s="678"/>
      <c r="K60" s="678">
        <f>L52+L53+L55+L56+L57+L58</f>
        <v>3668.18</v>
      </c>
      <c r="L60" s="678"/>
      <c r="O60" s="462">
        <f>J52+J53+J55+J56+J57+J58</f>
        <v>231.86</v>
      </c>
      <c r="P60" s="462">
        <f>L52+L53+L55+L56+L57+L58</f>
        <v>3668.18</v>
      </c>
      <c r="X60" s="422">
        <f>IF([89]Source!BI29&lt;=1,J52+J53+J55+J56+J57+J58-0, 0)</f>
        <v>231.86</v>
      </c>
      <c r="Y60" s="422">
        <f>IF([89]Source!BI29=2,J52+J53+J55+J56+J57+J58-0, 0)</f>
        <v>0</v>
      </c>
      <c r="Z60" s="422">
        <f>IF([89]Source!BI29=3,J52+J53+J55+J56+J57+J58-0, 0)</f>
        <v>0</v>
      </c>
      <c r="AA60" s="422">
        <f>IF([89]Source!BI29=4,J52+J53+J55+J56+J57+J58,0)</f>
        <v>0</v>
      </c>
    </row>
    <row r="61" spans="1:27" ht="28.5" x14ac:dyDescent="0.2">
      <c r="A61" s="463"/>
      <c r="B61" s="463"/>
      <c r="C61" s="464"/>
      <c r="D61" s="464" t="s">
        <v>62</v>
      </c>
      <c r="E61" s="428"/>
      <c r="F61" s="434"/>
      <c r="G61" s="465"/>
      <c r="H61" s="428"/>
      <c r="I61" s="434"/>
      <c r="J61" s="435"/>
      <c r="K61" s="434"/>
      <c r="L61" s="435"/>
    </row>
    <row r="62" spans="1:27" ht="14.25" x14ac:dyDescent="0.2">
      <c r="A62" s="463"/>
      <c r="B62" s="463"/>
      <c r="C62" s="464"/>
      <c r="D62" s="464" t="s">
        <v>53</v>
      </c>
      <c r="E62" s="428"/>
      <c r="F62" s="434"/>
      <c r="G62" s="465">
        <f t="shared" ref="G62:L62" si="0">G63</f>
        <v>1.51</v>
      </c>
      <c r="H62" s="429" t="str">
        <f t="shared" si="0"/>
        <v>)*(1.67-1)</v>
      </c>
      <c r="I62" s="434">
        <f t="shared" si="0"/>
        <v>1.0669999999999999</v>
      </c>
      <c r="J62" s="435">
        <f t="shared" si="0"/>
        <v>1.08</v>
      </c>
      <c r="K62" s="434">
        <f t="shared" si="0"/>
        <v>24.23</v>
      </c>
      <c r="L62" s="435">
        <f t="shared" si="0"/>
        <v>26.16</v>
      </c>
    </row>
    <row r="63" spans="1:27" ht="14.25" x14ac:dyDescent="0.2">
      <c r="A63" s="463"/>
      <c r="B63" s="463"/>
      <c r="C63" s="464"/>
      <c r="D63" s="464" t="s">
        <v>54</v>
      </c>
      <c r="E63" s="428"/>
      <c r="F63" s="434"/>
      <c r="G63" s="465">
        <f>[89]Source!AN29</f>
        <v>1.51</v>
      </c>
      <c r="H63" s="429" t="s">
        <v>63</v>
      </c>
      <c r="I63" s="434">
        <f>[89]Source!AV29</f>
        <v>1.0669999999999999</v>
      </c>
      <c r="J63" s="435">
        <f>ROUND(F51*G63*I63*(1.67-1), 2)</f>
        <v>1.08</v>
      </c>
      <c r="K63" s="434">
        <f>IF([89]Source!BS29&lt;&gt; 0, [89]Source!BS29, 1)</f>
        <v>24.23</v>
      </c>
      <c r="L63" s="435">
        <f>ROUND(F51*G63*I63*(1.67-1)*K63, 2)</f>
        <v>26.16</v>
      </c>
      <c r="W63" s="422">
        <f>J63</f>
        <v>1.08</v>
      </c>
    </row>
    <row r="64" spans="1:27" ht="14.25" x14ac:dyDescent="0.2">
      <c r="A64" s="463"/>
      <c r="B64" s="463"/>
      <c r="C64" s="464"/>
      <c r="D64" s="464" t="s">
        <v>59</v>
      </c>
      <c r="E64" s="428" t="s">
        <v>57</v>
      </c>
      <c r="F64" s="434">
        <f>175</f>
        <v>175</v>
      </c>
      <c r="G64" s="465"/>
      <c r="H64" s="428"/>
      <c r="I64" s="434"/>
      <c r="J64" s="435">
        <f>ROUND(J63*(F64/100), 2)</f>
        <v>1.89</v>
      </c>
      <c r="K64" s="434">
        <f>157</f>
        <v>157</v>
      </c>
      <c r="L64" s="435">
        <f>ROUND(L63*(K64/100), 2)</f>
        <v>41.07</v>
      </c>
    </row>
    <row r="65" spans="1:27" ht="15" x14ac:dyDescent="0.25">
      <c r="I65" s="678">
        <f>J64+J63</f>
        <v>2.97</v>
      </c>
      <c r="J65" s="678"/>
      <c r="K65" s="678">
        <f>L64+L63</f>
        <v>67.23</v>
      </c>
      <c r="L65" s="678"/>
      <c r="O65" s="462">
        <f>I65</f>
        <v>2.97</v>
      </c>
      <c r="P65" s="462">
        <f>K65</f>
        <v>67.23</v>
      </c>
      <c r="X65" s="422">
        <f>IF([89]Source!BI29&lt;=1,I65, 0)</f>
        <v>2.97</v>
      </c>
      <c r="Y65" s="422">
        <f>IF([89]Source!BI29=2,I65, 0)</f>
        <v>0</v>
      </c>
      <c r="Z65" s="422">
        <f>IF([89]Source!BI29=3,I65, 0)</f>
        <v>0</v>
      </c>
      <c r="AA65" s="422">
        <f>IF([89]Source!BI29=4,I65, 0)</f>
        <v>0</v>
      </c>
    </row>
    <row r="67" spans="1:27" ht="15" x14ac:dyDescent="0.25">
      <c r="A67" s="466"/>
      <c r="B67" s="466"/>
      <c r="C67" s="467"/>
      <c r="D67" s="467" t="s">
        <v>64</v>
      </c>
      <c r="E67" s="468"/>
      <c r="F67" s="469"/>
      <c r="G67" s="470"/>
      <c r="H67" s="430"/>
      <c r="I67" s="678">
        <f>I60+I65</f>
        <v>234.83</v>
      </c>
      <c r="J67" s="678"/>
      <c r="K67" s="678">
        <f>K60+K65</f>
        <v>3735.41</v>
      </c>
      <c r="L67" s="678"/>
    </row>
    <row r="68" spans="1:27" ht="82.5" x14ac:dyDescent="0.2">
      <c r="A68" s="400">
        <v>2</v>
      </c>
      <c r="B68" s="400" t="str">
        <f>[89]Source!E31</f>
        <v>2</v>
      </c>
      <c r="C68" s="460" t="str">
        <f>[89]Source!F31</f>
        <v>МКЭ-33-1709/7-1  28.09.2017</v>
      </c>
      <c r="D68" s="460" t="s">
        <v>295</v>
      </c>
      <c r="E68" s="428" t="str">
        <f>[89]Source!H31</f>
        <v>шт.</v>
      </c>
      <c r="F68" s="436">
        <f>[89]Source!I31</f>
        <v>1</v>
      </c>
      <c r="G68" s="437">
        <f>J68/F68</f>
        <v>4659.0600000000004</v>
      </c>
      <c r="H68" s="427">
        <f>[89]Source!DD31</f>
        <v>0</v>
      </c>
      <c r="I68" s="436">
        <f>[89]Source!AW31</f>
        <v>1</v>
      </c>
      <c r="J68" s="437">
        <f>L68/K68</f>
        <v>4659.0600000000004</v>
      </c>
      <c r="K68" s="436">
        <f>IF([89]Source!BC31&lt;&gt; 0, [89]Source!BC31, 1)</f>
        <v>5.58</v>
      </c>
      <c r="L68" s="437">
        <v>25997.55</v>
      </c>
      <c r="M68" s="457" t="s">
        <v>417</v>
      </c>
      <c r="Q68" s="422">
        <f>ROUND(([89]Source!DN31/100)*ROUND((ROUND(([89]Source!AF31*[89]Source!AV31*[89]Source!I31),2)),2), 2)</f>
        <v>0</v>
      </c>
      <c r="R68" s="422">
        <f>[89]Source!X31</f>
        <v>0</v>
      </c>
      <c r="S68" s="422">
        <f>ROUND(([89]Source!DO31/100)*ROUND((ROUND(([89]Source!AF31*[89]Source!AV31*[89]Source!I31),2)),2), 2)</f>
        <v>0</v>
      </c>
      <c r="T68" s="422">
        <f>[89]Source!Y31</f>
        <v>0</v>
      </c>
      <c r="U68" s="422">
        <f>ROUND((175/100)*ROUND((ROUND(([89]Source!AE31*[89]Source!AV31*[89]Source!I31),2)),2), 2)</f>
        <v>0</v>
      </c>
      <c r="V68" s="422">
        <f>ROUND((157/100)*ROUND(ROUND((ROUND(([89]Source!AE31*[89]Source!AV31*[89]Source!I31),2)*[89]Source!BS31),2), 2), 2)</f>
        <v>0</v>
      </c>
    </row>
    <row r="69" spans="1:27" ht="15" x14ac:dyDescent="0.25">
      <c r="A69" s="431"/>
      <c r="B69" s="431"/>
      <c r="C69" s="431"/>
      <c r="D69" s="431"/>
      <c r="E69" s="431"/>
      <c r="F69" s="431"/>
      <c r="G69" s="431"/>
      <c r="H69" s="431"/>
      <c r="I69" s="678">
        <f>J68</f>
        <v>4659.0600000000004</v>
      </c>
      <c r="J69" s="678"/>
      <c r="K69" s="678">
        <f>L68</f>
        <v>25997.55</v>
      </c>
      <c r="L69" s="678"/>
      <c r="O69" s="462">
        <f>J68</f>
        <v>4659.0600000000004</v>
      </c>
      <c r="P69" s="462">
        <f>L68</f>
        <v>25997.55</v>
      </c>
      <c r="X69" s="422">
        <f>IF([89]Source!BI31&lt;=1,J68-0, 0)</f>
        <v>0</v>
      </c>
      <c r="Y69" s="422">
        <f>IF([89]Source!BI31=2,J68-0, 0)</f>
        <v>4659.0600000000004</v>
      </c>
      <c r="Z69" s="422">
        <f>IF([89]Source!BI31=3,J68-0, 0)</f>
        <v>0</v>
      </c>
      <c r="AA69" s="422">
        <f>IF([89]Source!BI31=4,J68,0)</f>
        <v>0</v>
      </c>
    </row>
    <row r="70" spans="1:27" ht="85.5" x14ac:dyDescent="0.2">
      <c r="A70" s="400">
        <v>3</v>
      </c>
      <c r="B70" s="400" t="str">
        <f>[89]Source!E33</f>
        <v>3</v>
      </c>
      <c r="C70" s="460" t="str">
        <f>[89]Source!F33</f>
        <v>1.12-9-53</v>
      </c>
      <c r="D70" s="460" t="s">
        <v>296</v>
      </c>
      <c r="E70" s="428" t="str">
        <f>[89]Source!H33</f>
        <v>КОМПЛЕКТ</v>
      </c>
      <c r="F70" s="436">
        <f>[89]Source!I33</f>
        <v>1</v>
      </c>
      <c r="G70" s="461">
        <f>[89]Source!AL33</f>
        <v>504</v>
      </c>
      <c r="H70" s="427">
        <f>[89]Source!DD33</f>
        <v>0</v>
      </c>
      <c r="I70" s="436">
        <f>[89]Source!AW33</f>
        <v>1</v>
      </c>
      <c r="J70" s="437">
        <f>ROUND((ROUND(([89]Source!AC33*[89]Source!AW33*[89]Source!I33),2)),2)</f>
        <v>504</v>
      </c>
      <c r="K70" s="436">
        <f>IF([89]Source!BC33&lt;&gt; 0, [89]Source!BC33, 1)</f>
        <v>3.2</v>
      </c>
      <c r="L70" s="437">
        <f>[89]Source!P33</f>
        <v>1612.8</v>
      </c>
      <c r="Q70" s="422">
        <f>ROUND(([89]Source!DN33/100)*ROUND((ROUND(([89]Source!AF33*[89]Source!AV33*[89]Source!I33),2)),2), 2)</f>
        <v>0</v>
      </c>
      <c r="R70" s="422">
        <f>[89]Source!X33</f>
        <v>0</v>
      </c>
      <c r="S70" s="422">
        <f>ROUND(([89]Source!DO33/100)*ROUND((ROUND(([89]Source!AF33*[89]Source!AV33*[89]Source!I33),2)),2), 2)</f>
        <v>0</v>
      </c>
      <c r="T70" s="422">
        <f>[89]Source!Y33</f>
        <v>0</v>
      </c>
      <c r="U70" s="422">
        <f>ROUND((175/100)*ROUND((ROUND(([89]Source!AE33*[89]Source!AV33*[89]Source!I33),2)),2), 2)</f>
        <v>0</v>
      </c>
      <c r="V70" s="422">
        <f>ROUND((157/100)*ROUND(ROUND((ROUND(([89]Source!AE33*[89]Source!AV33*[89]Source!I33),2)*[89]Source!BS33),2), 2), 2)</f>
        <v>0</v>
      </c>
    </row>
    <row r="71" spans="1:27" ht="15" x14ac:dyDescent="0.25">
      <c r="A71" s="431"/>
      <c r="B71" s="431"/>
      <c r="C71" s="431"/>
      <c r="D71" s="431"/>
      <c r="E71" s="431"/>
      <c r="F71" s="431"/>
      <c r="G71" s="431"/>
      <c r="H71" s="431"/>
      <c r="I71" s="678">
        <f>J70</f>
        <v>504</v>
      </c>
      <c r="J71" s="678"/>
      <c r="K71" s="678">
        <f>L70</f>
        <v>1612.8</v>
      </c>
      <c r="L71" s="678"/>
      <c r="O71" s="462">
        <f>J70</f>
        <v>504</v>
      </c>
      <c r="P71" s="462">
        <f>L70</f>
        <v>1612.8</v>
      </c>
      <c r="X71" s="422">
        <f>IF([89]Source!BI33&lt;=1,J70-0, 0)</f>
        <v>504</v>
      </c>
      <c r="Y71" s="422">
        <f>IF([89]Source!BI33=2,J70-0, 0)</f>
        <v>0</v>
      </c>
      <c r="Z71" s="422">
        <f>IF([89]Source!BI33=3,J70-0, 0)</f>
        <v>0</v>
      </c>
      <c r="AA71" s="422">
        <f>IF([89]Source!BI33=4,J70,0)</f>
        <v>0</v>
      </c>
    </row>
    <row r="72" spans="1:27" ht="65.25" x14ac:dyDescent="0.2">
      <c r="A72" s="400">
        <v>4</v>
      </c>
      <c r="B72" s="400" t="str">
        <f>[89]Source!E69</f>
        <v>19</v>
      </c>
      <c r="C72" s="460" t="s">
        <v>297</v>
      </c>
      <c r="D72" s="460" t="s">
        <v>298</v>
      </c>
      <c r="E72" s="428" t="str">
        <f>[89]Source!H69</f>
        <v>100 м трубопровода</v>
      </c>
      <c r="F72" s="436">
        <f>[89]Source!I69</f>
        <v>1.5</v>
      </c>
      <c r="G72" s="461"/>
      <c r="H72" s="427"/>
      <c r="I72" s="436"/>
      <c r="J72" s="437"/>
      <c r="K72" s="436"/>
      <c r="L72" s="437"/>
      <c r="Q72" s="422">
        <f>ROUND(([89]Source!DN69/100)*ROUND((ROUND(([89]Source!AF69*[89]Source!AV69*[89]Source!I69),2)),2), 2)</f>
        <v>3056.89</v>
      </c>
      <c r="R72" s="422">
        <f>[89]Source!X69</f>
        <v>59254.71</v>
      </c>
      <c r="S72" s="422">
        <f>ROUND(([89]Source!DO69/100)*ROUND((ROUND(([89]Source!AF69*[89]Source!AV69*[89]Source!I69),2)),2), 2)</f>
        <v>2298.7800000000002</v>
      </c>
      <c r="T72" s="422">
        <f>[89]Source!Y69</f>
        <v>26664.62</v>
      </c>
      <c r="U72" s="422">
        <f>ROUND((175/100)*ROUND((ROUND(([89]Source!AE69*[89]Source!AV69*[89]Source!I69),2)),2), 2)</f>
        <v>145.15</v>
      </c>
      <c r="V72" s="422">
        <f>ROUND((157/100)*ROUND(ROUND((ROUND(([89]Source!AE69*[89]Source!AV69*[89]Source!I69),2)*[89]Source!BS69),2), 2), 2)</f>
        <v>3155.13</v>
      </c>
    </row>
    <row r="73" spans="1:27" ht="14.25" x14ac:dyDescent="0.2">
      <c r="A73" s="400"/>
      <c r="B73" s="400"/>
      <c r="C73" s="460"/>
      <c r="D73" s="460" t="s">
        <v>52</v>
      </c>
      <c r="E73" s="428"/>
      <c r="F73" s="436"/>
      <c r="G73" s="461">
        <f>[89]Source!AO69</f>
        <v>914.95</v>
      </c>
      <c r="H73" s="427" t="str">
        <f>[89]Source!DG69</f>
        <v>)*1,67</v>
      </c>
      <c r="I73" s="436">
        <f>[89]Source!AV69</f>
        <v>1.0669999999999999</v>
      </c>
      <c r="J73" s="437">
        <f>ROUND((ROUND(([89]Source!AF69*[89]Source!AV69*[89]Source!I69),2)),2)</f>
        <v>2445.5100000000002</v>
      </c>
      <c r="K73" s="436">
        <f>IF([89]Source!BA69&lt;&gt; 0, [89]Source!BA69, 1)</f>
        <v>24.23</v>
      </c>
      <c r="L73" s="437">
        <f>[89]Source!S69</f>
        <v>59254.71</v>
      </c>
      <c r="W73" s="422">
        <f>J73</f>
        <v>2445.5100000000002</v>
      </c>
    </row>
    <row r="74" spans="1:27" ht="14.25" x14ac:dyDescent="0.2">
      <c r="A74" s="400"/>
      <c r="B74" s="400"/>
      <c r="C74" s="460"/>
      <c r="D74" s="460" t="s">
        <v>53</v>
      </c>
      <c r="E74" s="428"/>
      <c r="F74" s="436"/>
      <c r="G74" s="461">
        <f>[89]Source!AM69</f>
        <v>218.14</v>
      </c>
      <c r="H74" s="427">
        <f>[89]Source!DE69</f>
        <v>0</v>
      </c>
      <c r="I74" s="436">
        <f>[89]Source!AV69</f>
        <v>1.0669999999999999</v>
      </c>
      <c r="J74" s="437">
        <f>(ROUND((ROUND((([89]Source!ET69)*[89]Source!AV69*[89]Source!I69),2)),2)+ROUND((ROUND((([89]Source!AE69-([89]Source!EU69))*[89]Source!AV69*[89]Source!I69),2)),2))-J83</f>
        <v>349.13</v>
      </c>
      <c r="K74" s="436">
        <f>IF([89]Source!BB69&lt;&gt; 0, [89]Source!BB69, 1)</f>
        <v>8.2200000000000006</v>
      </c>
      <c r="L74" s="437">
        <f>[89]Source!Q69-L83</f>
        <v>2869.74</v>
      </c>
    </row>
    <row r="75" spans="1:27" ht="14.25" x14ac:dyDescent="0.2">
      <c r="A75" s="400"/>
      <c r="B75" s="400"/>
      <c r="C75" s="460"/>
      <c r="D75" s="460" t="s">
        <v>54</v>
      </c>
      <c r="E75" s="428"/>
      <c r="F75" s="436"/>
      <c r="G75" s="461">
        <f>[89]Source!AN69</f>
        <v>31.03</v>
      </c>
      <c r="H75" s="427">
        <f>[89]Source!DE69</f>
        <v>0</v>
      </c>
      <c r="I75" s="436">
        <f>[89]Source!AV69</f>
        <v>1.0669999999999999</v>
      </c>
      <c r="J75" s="435">
        <f>ROUND((ROUND(([89]Source!AE69*[89]Source!AV69*[89]Source!I69),2)),2)-J84</f>
        <v>49.67</v>
      </c>
      <c r="K75" s="436">
        <f>IF([89]Source!BS69&lt;&gt; 0, [89]Source!BS69, 1)</f>
        <v>24.23</v>
      </c>
      <c r="L75" s="435">
        <f>[89]Source!R69-L84</f>
        <v>1203.4000000000001</v>
      </c>
      <c r="W75" s="422">
        <f>J75</f>
        <v>49.67</v>
      </c>
    </row>
    <row r="76" spans="1:27" ht="14.25" x14ac:dyDescent="0.2">
      <c r="A76" s="400"/>
      <c r="B76" s="400"/>
      <c r="C76" s="460"/>
      <c r="D76" s="460" t="s">
        <v>55</v>
      </c>
      <c r="E76" s="428"/>
      <c r="F76" s="436"/>
      <c r="G76" s="461">
        <f>[89]Source!AL69</f>
        <v>51.59</v>
      </c>
      <c r="H76" s="427">
        <f>[89]Source!DD69</f>
        <v>0</v>
      </c>
      <c r="I76" s="436">
        <f>[89]Source!AW69</f>
        <v>1</v>
      </c>
      <c r="J76" s="437">
        <f>ROUND((ROUND(([89]Source!AC69*[89]Source!AW69*[89]Source!I69),2)),2)</f>
        <v>77.39</v>
      </c>
      <c r="K76" s="436">
        <f>IF([89]Source!BC69&lt;&gt; 0, [89]Source!BC69, 1)</f>
        <v>5.58</v>
      </c>
      <c r="L76" s="437">
        <f>[89]Source!P69</f>
        <v>431.84</v>
      </c>
    </row>
    <row r="77" spans="1:27" ht="14.25" x14ac:dyDescent="0.2">
      <c r="A77" s="400"/>
      <c r="B77" s="400"/>
      <c r="C77" s="460"/>
      <c r="D77" s="460" t="s">
        <v>56</v>
      </c>
      <c r="E77" s="428" t="s">
        <v>57</v>
      </c>
      <c r="F77" s="436">
        <f>[89]Source!DN69</f>
        <v>125</v>
      </c>
      <c r="G77" s="461"/>
      <c r="H77" s="427"/>
      <c r="I77" s="436"/>
      <c r="J77" s="437">
        <f>SUM(Q72:Q76)</f>
        <v>3056.89</v>
      </c>
      <c r="K77" s="436">
        <f>[89]Source!BZ69</f>
        <v>100</v>
      </c>
      <c r="L77" s="437">
        <f>SUM(R72:R76)</f>
        <v>59254.71</v>
      </c>
    </row>
    <row r="78" spans="1:27" ht="14.25" x14ac:dyDescent="0.2">
      <c r="A78" s="400"/>
      <c r="B78" s="400"/>
      <c r="C78" s="460"/>
      <c r="D78" s="460" t="s">
        <v>58</v>
      </c>
      <c r="E78" s="428" t="s">
        <v>57</v>
      </c>
      <c r="F78" s="436">
        <f>[89]Source!DO69</f>
        <v>94</v>
      </c>
      <c r="G78" s="461"/>
      <c r="H78" s="427"/>
      <c r="I78" s="436"/>
      <c r="J78" s="437">
        <f>SUM(S72:S77)</f>
        <v>2298.7800000000002</v>
      </c>
      <c r="K78" s="436">
        <f>[89]Source!CA69</f>
        <v>45</v>
      </c>
      <c r="L78" s="437">
        <f>SUM(T72:T77)</f>
        <v>26664.62</v>
      </c>
    </row>
    <row r="79" spans="1:27" ht="14.25" x14ac:dyDescent="0.2">
      <c r="A79" s="400"/>
      <c r="B79" s="400"/>
      <c r="C79" s="460"/>
      <c r="D79" s="460" t="s">
        <v>59</v>
      </c>
      <c r="E79" s="428" t="s">
        <v>57</v>
      </c>
      <c r="F79" s="436">
        <f>175</f>
        <v>175</v>
      </c>
      <c r="G79" s="461"/>
      <c r="H79" s="427"/>
      <c r="I79" s="436"/>
      <c r="J79" s="437">
        <f>SUM(U72:U78)-J85</f>
        <v>86.93</v>
      </c>
      <c r="K79" s="436">
        <f>157</f>
        <v>157</v>
      </c>
      <c r="L79" s="437">
        <f>SUM(V72:V78)-L85</f>
        <v>1889.33</v>
      </c>
    </row>
    <row r="80" spans="1:27" ht="14.25" x14ac:dyDescent="0.2">
      <c r="A80" s="400"/>
      <c r="B80" s="400"/>
      <c r="C80" s="460"/>
      <c r="D80" s="460" t="s">
        <v>60</v>
      </c>
      <c r="E80" s="428" t="s">
        <v>61</v>
      </c>
      <c r="F80" s="436">
        <f>[89]Source!AQ69</f>
        <v>72.5</v>
      </c>
      <c r="G80" s="461"/>
      <c r="H80" s="427">
        <f>[89]Source!DI69</f>
        <v>0</v>
      </c>
      <c r="I80" s="436">
        <f>[89]Source!AV69</f>
        <v>1.0669999999999999</v>
      </c>
      <c r="J80" s="437">
        <f>[89]Source!U69</f>
        <v>116.04</v>
      </c>
      <c r="K80" s="436"/>
      <c r="L80" s="437"/>
    </row>
    <row r="81" spans="1:27" ht="15" x14ac:dyDescent="0.25">
      <c r="I81" s="678">
        <f>J73+J74+J76+J77+J78+J79</f>
        <v>8314.6299999999992</v>
      </c>
      <c r="J81" s="678"/>
      <c r="K81" s="678">
        <f>L73+L74+L76+L77+L78+L79</f>
        <v>150364.95000000001</v>
      </c>
      <c r="L81" s="678"/>
      <c r="O81" s="462">
        <f>J73+J74+J76+J77+J78+J79</f>
        <v>8314.6299999999992</v>
      </c>
      <c r="P81" s="462">
        <f>L73+L74+L76+L77+L78+L79</f>
        <v>150364.95000000001</v>
      </c>
      <c r="X81" s="422">
        <f>IF([89]Source!BI69&lt;=1,J73+J74+J76+J77+J78+J79-0, 0)</f>
        <v>8314.6299999999992</v>
      </c>
      <c r="Y81" s="422">
        <f>IF([89]Source!BI69=2,J73+J74+J76+J77+J78+J79-0, 0)</f>
        <v>0</v>
      </c>
      <c r="Z81" s="422">
        <f>IF([89]Source!BI69=3,J73+J74+J76+J77+J78+J79-0, 0)</f>
        <v>0</v>
      </c>
      <c r="AA81" s="422">
        <f>IF([89]Source!BI69=4,J73+J74+J76+J77+J78+J79,0)</f>
        <v>0</v>
      </c>
    </row>
    <row r="82" spans="1:27" ht="28.5" x14ac:dyDescent="0.2">
      <c r="A82" s="463"/>
      <c r="B82" s="463"/>
      <c r="C82" s="464"/>
      <c r="D82" s="464" t="s">
        <v>62</v>
      </c>
      <c r="E82" s="428"/>
      <c r="F82" s="434"/>
      <c r="G82" s="465"/>
      <c r="H82" s="428"/>
      <c r="I82" s="434"/>
      <c r="J82" s="435"/>
      <c r="K82" s="434"/>
      <c r="L82" s="435"/>
    </row>
    <row r="83" spans="1:27" ht="14.25" x14ac:dyDescent="0.2">
      <c r="A83" s="463"/>
      <c r="B83" s="463"/>
      <c r="C83" s="464"/>
      <c r="D83" s="464" t="s">
        <v>53</v>
      </c>
      <c r="E83" s="428"/>
      <c r="F83" s="434"/>
      <c r="G83" s="465">
        <f t="shared" ref="G83:L83" si="1">G84</f>
        <v>31.03</v>
      </c>
      <c r="H83" s="429" t="str">
        <f t="shared" si="1"/>
        <v>)*(1.67-1)</v>
      </c>
      <c r="I83" s="434">
        <f t="shared" si="1"/>
        <v>1.0669999999999999</v>
      </c>
      <c r="J83" s="435">
        <f t="shared" si="1"/>
        <v>33.270000000000003</v>
      </c>
      <c r="K83" s="434">
        <f t="shared" si="1"/>
        <v>24.23</v>
      </c>
      <c r="L83" s="435">
        <f t="shared" si="1"/>
        <v>806.24</v>
      </c>
    </row>
    <row r="84" spans="1:27" ht="14.25" x14ac:dyDescent="0.2">
      <c r="A84" s="463"/>
      <c r="B84" s="463"/>
      <c r="C84" s="464"/>
      <c r="D84" s="464" t="s">
        <v>54</v>
      </c>
      <c r="E84" s="428"/>
      <c r="F84" s="434"/>
      <c r="G84" s="465">
        <f>[89]Source!AN69</f>
        <v>31.03</v>
      </c>
      <c r="H84" s="429" t="s">
        <v>63</v>
      </c>
      <c r="I84" s="434">
        <f>[89]Source!AV69</f>
        <v>1.0669999999999999</v>
      </c>
      <c r="J84" s="435">
        <f>ROUND(F72*G84*I84*(1.67-1), 2)</f>
        <v>33.270000000000003</v>
      </c>
      <c r="K84" s="434">
        <f>IF([89]Source!BS69&lt;&gt; 0, [89]Source!BS69, 1)</f>
        <v>24.23</v>
      </c>
      <c r="L84" s="435">
        <f>ROUND(F72*G84*I84*(1.67-1)*K84, 2)</f>
        <v>806.24</v>
      </c>
      <c r="W84" s="422">
        <f>J84</f>
        <v>33.270000000000003</v>
      </c>
    </row>
    <row r="85" spans="1:27" ht="14.25" x14ac:dyDescent="0.2">
      <c r="A85" s="463"/>
      <c r="B85" s="463"/>
      <c r="C85" s="464"/>
      <c r="D85" s="464" t="s">
        <v>59</v>
      </c>
      <c r="E85" s="428" t="s">
        <v>57</v>
      </c>
      <c r="F85" s="434">
        <f>175</f>
        <v>175</v>
      </c>
      <c r="G85" s="465"/>
      <c r="H85" s="428"/>
      <c r="I85" s="434"/>
      <c r="J85" s="435">
        <f>ROUND(J84*(F85/100), 2)</f>
        <v>58.22</v>
      </c>
      <c r="K85" s="434">
        <f>157</f>
        <v>157</v>
      </c>
      <c r="L85" s="435">
        <f>ROUND(L84*(K85/100), 2)</f>
        <v>1265.8</v>
      </c>
    </row>
    <row r="86" spans="1:27" ht="15" x14ac:dyDescent="0.25">
      <c r="I86" s="678">
        <f>J85+J84</f>
        <v>91.49</v>
      </c>
      <c r="J86" s="678"/>
      <c r="K86" s="678">
        <f>L85+L84</f>
        <v>2072.04</v>
      </c>
      <c r="L86" s="678"/>
      <c r="O86" s="462">
        <f>I86</f>
        <v>91.49</v>
      </c>
      <c r="P86" s="462">
        <f>K86</f>
        <v>2072.04</v>
      </c>
      <c r="X86" s="422">
        <f>IF([89]Source!BI69&lt;=1,I86, 0)</f>
        <v>91.49</v>
      </c>
      <c r="Y86" s="422">
        <f>IF([89]Source!BI69=2,I86, 0)</f>
        <v>0</v>
      </c>
      <c r="Z86" s="422">
        <f>IF([89]Source!BI69=3,I86, 0)</f>
        <v>0</v>
      </c>
      <c r="AA86" s="422">
        <f>IF([89]Source!BI69=4,I86, 0)</f>
        <v>0</v>
      </c>
    </row>
    <row r="88" spans="1:27" ht="15" x14ac:dyDescent="0.25">
      <c r="A88" s="466"/>
      <c r="B88" s="466"/>
      <c r="C88" s="467"/>
      <c r="D88" s="467" t="s">
        <v>64</v>
      </c>
      <c r="E88" s="468"/>
      <c r="F88" s="469"/>
      <c r="G88" s="470"/>
      <c r="H88" s="430"/>
      <c r="I88" s="678">
        <f>I81+I86</f>
        <v>8406.1200000000008</v>
      </c>
      <c r="J88" s="678"/>
      <c r="K88" s="678">
        <f>K81+K86</f>
        <v>152436.99</v>
      </c>
      <c r="L88" s="678"/>
    </row>
    <row r="89" spans="1:27" ht="71.25" x14ac:dyDescent="0.2">
      <c r="A89" s="400">
        <v>5</v>
      </c>
      <c r="B89" s="400" t="str">
        <f>[89]Source!E71</f>
        <v>20</v>
      </c>
      <c r="C89" s="460" t="str">
        <f>[89]Source!F71</f>
        <v>1.12-7-128</v>
      </c>
      <c r="D89" s="460" t="s">
        <v>256</v>
      </c>
      <c r="E89" s="428" t="str">
        <f>[89]Source!H71</f>
        <v>м</v>
      </c>
      <c r="F89" s="436">
        <f>[89]Source!I71</f>
        <v>150</v>
      </c>
      <c r="G89" s="461">
        <f>[89]Source!AL71</f>
        <v>575.89</v>
      </c>
      <c r="H89" s="427">
        <f>[89]Source!DD71</f>
        <v>0</v>
      </c>
      <c r="I89" s="436">
        <f>[89]Source!AW71</f>
        <v>1</v>
      </c>
      <c r="J89" s="437">
        <f>ROUND((ROUND(([89]Source!AC71*[89]Source!AW71*[89]Source!I71),2)),2)</f>
        <v>86383.5</v>
      </c>
      <c r="K89" s="436">
        <f>IF([89]Source!BC71&lt;&gt; 0, [89]Source!BC71, 1)</f>
        <v>3.46</v>
      </c>
      <c r="L89" s="437">
        <f>[89]Source!P71</f>
        <v>298886.90999999997</v>
      </c>
      <c r="Q89" s="422">
        <f>ROUND(([89]Source!DN71/100)*ROUND((ROUND(([89]Source!AF71*[89]Source!AV71*[89]Source!I71),2)),2), 2)</f>
        <v>0</v>
      </c>
      <c r="R89" s="422">
        <f>[89]Source!X71</f>
        <v>0</v>
      </c>
      <c r="S89" s="422">
        <f>ROUND(([89]Source!DO71/100)*ROUND((ROUND(([89]Source!AF71*[89]Source!AV71*[89]Source!I71),2)),2), 2)</f>
        <v>0</v>
      </c>
      <c r="T89" s="422">
        <f>[89]Source!Y71</f>
        <v>0</v>
      </c>
      <c r="U89" s="422">
        <f>ROUND((175/100)*ROUND((ROUND(([89]Source!AE71*[89]Source!AV71*[89]Source!I71),2)),2), 2)</f>
        <v>0</v>
      </c>
      <c r="V89" s="422">
        <f>ROUND((157/100)*ROUND(ROUND((ROUND(([89]Source!AE71*[89]Source!AV71*[89]Source!I71),2)*[89]Source!BS71),2), 2), 2)</f>
        <v>0</v>
      </c>
    </row>
    <row r="90" spans="1:27" ht="15" x14ac:dyDescent="0.25">
      <c r="A90" s="431"/>
      <c r="B90" s="431"/>
      <c r="C90" s="431"/>
      <c r="D90" s="431"/>
      <c r="E90" s="431"/>
      <c r="F90" s="431"/>
      <c r="G90" s="431"/>
      <c r="H90" s="431"/>
      <c r="I90" s="678">
        <f>J89</f>
        <v>86383.5</v>
      </c>
      <c r="J90" s="678"/>
      <c r="K90" s="678">
        <f>L89</f>
        <v>298886.90999999997</v>
      </c>
      <c r="L90" s="678"/>
      <c r="O90" s="462">
        <f>J89</f>
        <v>86383.5</v>
      </c>
      <c r="P90" s="462">
        <f>L89</f>
        <v>298886.90999999997</v>
      </c>
      <c r="X90" s="422">
        <f>IF([89]Source!BI71&lt;=1,J89-0, 0)</f>
        <v>86383.5</v>
      </c>
      <c r="Y90" s="422">
        <f>IF([89]Source!BI71=2,J89-0, 0)</f>
        <v>0</v>
      </c>
      <c r="Z90" s="422">
        <f>IF([89]Source!BI71=3,J89-0, 0)</f>
        <v>0</v>
      </c>
      <c r="AA90" s="422">
        <f>IF([89]Source!BI71=4,J89,0)</f>
        <v>0</v>
      </c>
    </row>
    <row r="91" spans="1:27" ht="57" x14ac:dyDescent="0.2">
      <c r="A91" s="400">
        <v>6</v>
      </c>
      <c r="B91" s="400" t="str">
        <f>[89]Source!E77</f>
        <v>23</v>
      </c>
      <c r="C91" s="460" t="str">
        <f>[89]Source!F77</f>
        <v>3.16-7-1</v>
      </c>
      <c r="D91" s="460" t="s">
        <v>299</v>
      </c>
      <c r="E91" s="428" t="str">
        <f>[89]Source!H77</f>
        <v>100 м трубопровода</v>
      </c>
      <c r="F91" s="436">
        <f>[89]Source!I77</f>
        <v>0.1394</v>
      </c>
      <c r="G91" s="461"/>
      <c r="H91" s="427"/>
      <c r="I91" s="436"/>
      <c r="J91" s="437"/>
      <c r="K91" s="436"/>
      <c r="L91" s="437"/>
      <c r="Q91" s="422">
        <f>ROUND(([89]Source!DN77/100)*ROUND((ROUND(([89]Source!AF77*[89]Source!AV77*[89]Source!I77),2)),2), 2)</f>
        <v>132.05000000000001</v>
      </c>
      <c r="R91" s="422">
        <f>[89]Source!X77</f>
        <v>2559.66</v>
      </c>
      <c r="S91" s="422">
        <f>ROUND(([89]Source!DO77/100)*ROUND((ROUND(([89]Source!AF77*[89]Source!AV77*[89]Source!I77),2)),2), 2)</f>
        <v>99.3</v>
      </c>
      <c r="T91" s="422">
        <f>[89]Source!Y77</f>
        <v>1151.8499999999999</v>
      </c>
      <c r="U91" s="422">
        <f>ROUND((175/100)*ROUND((ROUND(([89]Source!AE77*[89]Source!AV77*[89]Source!I77),2)),2), 2)</f>
        <v>3.13</v>
      </c>
      <c r="V91" s="422">
        <f>ROUND((157/100)*ROUND(ROUND((ROUND(([89]Source!AE77*[89]Source!AV77*[89]Source!I77),2)*[89]Source!BS77),2), 2), 2)</f>
        <v>68.09</v>
      </c>
    </row>
    <row r="92" spans="1:27" ht="14.25" x14ac:dyDescent="0.2">
      <c r="A92" s="400"/>
      <c r="B92" s="400"/>
      <c r="C92" s="460"/>
      <c r="D92" s="460" t="s">
        <v>52</v>
      </c>
      <c r="E92" s="428"/>
      <c r="F92" s="436"/>
      <c r="G92" s="461">
        <f>[89]Source!AO77</f>
        <v>425.29</v>
      </c>
      <c r="H92" s="427" t="str">
        <f>[89]Source!DG77</f>
        <v>)*1,67</v>
      </c>
      <c r="I92" s="436">
        <f>[89]Source!AV77</f>
        <v>1.0669999999999999</v>
      </c>
      <c r="J92" s="437">
        <f>ROUND((ROUND(([89]Source!AF77*[89]Source!AV77*[89]Source!I77),2)),2)</f>
        <v>105.64</v>
      </c>
      <c r="K92" s="436">
        <f>IF([89]Source!BA77&lt;&gt; 0, [89]Source!BA77, 1)</f>
        <v>24.23</v>
      </c>
      <c r="L92" s="437">
        <f>[89]Source!S77</f>
        <v>2559.66</v>
      </c>
      <c r="W92" s="422">
        <f>J92</f>
        <v>105.64</v>
      </c>
    </row>
    <row r="93" spans="1:27" ht="14.25" x14ac:dyDescent="0.2">
      <c r="A93" s="400"/>
      <c r="B93" s="400"/>
      <c r="C93" s="460"/>
      <c r="D93" s="460" t="s">
        <v>53</v>
      </c>
      <c r="E93" s="428"/>
      <c r="F93" s="436"/>
      <c r="G93" s="461">
        <f>[89]Source!AM77</f>
        <v>50.52</v>
      </c>
      <c r="H93" s="427">
        <f>[89]Source!DE77</f>
        <v>0</v>
      </c>
      <c r="I93" s="436">
        <f>[89]Source!AV77</f>
        <v>1.0669999999999999</v>
      </c>
      <c r="J93" s="437">
        <f>(ROUND((ROUND((([89]Source!ET77)*[89]Source!AV77*[89]Source!I77),2)),2)+ROUND((ROUND((([89]Source!AE77-([89]Source!EU77))*[89]Source!AV77*[89]Source!I77),2)),2))-J103</f>
        <v>7.51</v>
      </c>
      <c r="K93" s="436">
        <f>IF([89]Source!BB77&lt;&gt; 0, [89]Source!BB77, 1)</f>
        <v>9.11</v>
      </c>
      <c r="L93" s="437">
        <f>[89]Source!Q77-L103</f>
        <v>68.48</v>
      </c>
    </row>
    <row r="94" spans="1:27" ht="14.25" x14ac:dyDescent="0.2">
      <c r="A94" s="400"/>
      <c r="B94" s="400"/>
      <c r="C94" s="460"/>
      <c r="D94" s="460" t="s">
        <v>54</v>
      </c>
      <c r="E94" s="428"/>
      <c r="F94" s="436"/>
      <c r="G94" s="461">
        <f>[89]Source!AN77</f>
        <v>7.2</v>
      </c>
      <c r="H94" s="427">
        <f>[89]Source!DE77</f>
        <v>0</v>
      </c>
      <c r="I94" s="436">
        <f>[89]Source!AV77</f>
        <v>1.0669999999999999</v>
      </c>
      <c r="J94" s="435">
        <f>ROUND((ROUND(([89]Source!AE77*[89]Source!AV77*[89]Source!I77),2)),2)-J104</f>
        <v>1.07</v>
      </c>
      <c r="K94" s="436">
        <f>IF([89]Source!BS77&lt;&gt; 0, [89]Source!BS77, 1)</f>
        <v>24.23</v>
      </c>
      <c r="L94" s="435">
        <f>[89]Source!R77-L104</f>
        <v>25.98</v>
      </c>
      <c r="W94" s="422">
        <f>J94</f>
        <v>1.07</v>
      </c>
    </row>
    <row r="95" spans="1:27" ht="14.25" x14ac:dyDescent="0.2">
      <c r="A95" s="400"/>
      <c r="B95" s="400"/>
      <c r="C95" s="460"/>
      <c r="D95" s="460" t="s">
        <v>55</v>
      </c>
      <c r="E95" s="428"/>
      <c r="F95" s="436"/>
      <c r="G95" s="461">
        <f>[89]Source!AL77</f>
        <v>44.64</v>
      </c>
      <c r="H95" s="427">
        <f>[89]Source!DD77</f>
        <v>0</v>
      </c>
      <c r="I95" s="436">
        <f>[89]Source!AW77</f>
        <v>1</v>
      </c>
      <c r="J95" s="437">
        <f>ROUND((ROUND(([89]Source!AC77*[89]Source!AW77*[89]Source!I77),2)),2)</f>
        <v>6.22</v>
      </c>
      <c r="K95" s="436">
        <f>IF([89]Source!BC77&lt;&gt; 0, [89]Source!BC77, 1)</f>
        <v>3.66</v>
      </c>
      <c r="L95" s="437">
        <f>[89]Source!P77</f>
        <v>22.77</v>
      </c>
    </row>
    <row r="96" spans="1:27" ht="71.25" x14ac:dyDescent="0.2">
      <c r="A96" s="400">
        <v>7</v>
      </c>
      <c r="B96" s="400" t="str">
        <f>[89]Source!E79</f>
        <v>23,1</v>
      </c>
      <c r="C96" s="460" t="str">
        <f>[89]Source!F79</f>
        <v>1.12-6-665</v>
      </c>
      <c r="D96" s="460" t="s">
        <v>300</v>
      </c>
      <c r="E96" s="428" t="str">
        <f>[89]Source!H79</f>
        <v>м</v>
      </c>
      <c r="F96" s="436">
        <f>[89]Source!I79</f>
        <v>13.94</v>
      </c>
      <c r="G96" s="461">
        <f>[89]Source!AK79</f>
        <v>15.2</v>
      </c>
      <c r="H96" s="432" t="s">
        <v>74</v>
      </c>
      <c r="I96" s="436">
        <f>[89]Source!AW79</f>
        <v>1</v>
      </c>
      <c r="J96" s="437">
        <f>ROUND((ROUND(([89]Source!AC79*[89]Source!AW79*[89]Source!I79),2)),2)+(ROUND((ROUND((([89]Source!ET79)*[89]Source!AV79*[89]Source!I79),2)),2)+ROUND((ROUND((([89]Source!AE79-([89]Source!EU79))*[89]Source!AV79*[89]Source!I79),2)),2))+ROUND((ROUND(([89]Source!AF79*[89]Source!AV79*[89]Source!I79),2)),2)</f>
        <v>211.89</v>
      </c>
      <c r="K96" s="436">
        <f>IF([89]Source!BC79&lt;&gt; 0, [89]Source!BC79, 1)</f>
        <v>4.66</v>
      </c>
      <c r="L96" s="437">
        <f>[89]Source!O79</f>
        <v>987.41</v>
      </c>
      <c r="Q96" s="422">
        <f>ROUND(([89]Source!DN79/100)*ROUND((ROUND(([89]Source!AF79*[89]Source!AV79*[89]Source!I79),2)),2), 2)</f>
        <v>0</v>
      </c>
      <c r="R96" s="422">
        <f>[89]Source!X79</f>
        <v>0</v>
      </c>
      <c r="S96" s="422">
        <f>ROUND(([89]Source!DO79/100)*ROUND((ROUND(([89]Source!AF79*[89]Source!AV79*[89]Source!I79),2)),2), 2)</f>
        <v>0</v>
      </c>
      <c r="T96" s="422">
        <f>[89]Source!Y79</f>
        <v>0</v>
      </c>
      <c r="U96" s="422">
        <f>ROUND((175/100)*ROUND((ROUND(([89]Source!AE79*[89]Source!AV79*[89]Source!I79),2)),2), 2)</f>
        <v>0</v>
      </c>
      <c r="V96" s="422">
        <f>ROUND((157/100)*ROUND(ROUND((ROUND(([89]Source!AE79*[89]Source!AV79*[89]Source!I79),2)*[89]Source!BS79),2), 2), 2)</f>
        <v>0</v>
      </c>
      <c r="X96" s="422">
        <f>IF([89]Source!BI79&lt;=1,J96, 0)</f>
        <v>211.89</v>
      </c>
      <c r="Y96" s="422">
        <f>IF([89]Source!BI79=2,J96, 0)</f>
        <v>0</v>
      </c>
      <c r="Z96" s="422">
        <f>IF([89]Source!BI79=3,J96, 0)</f>
        <v>0</v>
      </c>
      <c r="AA96" s="422">
        <f>IF([89]Source!BI79=4,J96, 0)</f>
        <v>0</v>
      </c>
    </row>
    <row r="97" spans="1:27" ht="14.25" x14ac:dyDescent="0.2">
      <c r="A97" s="400"/>
      <c r="B97" s="400"/>
      <c r="C97" s="460"/>
      <c r="D97" s="460" t="s">
        <v>56</v>
      </c>
      <c r="E97" s="428" t="s">
        <v>57</v>
      </c>
      <c r="F97" s="436">
        <f>[89]Source!DN77</f>
        <v>125</v>
      </c>
      <c r="G97" s="461"/>
      <c r="H97" s="427"/>
      <c r="I97" s="436"/>
      <c r="J97" s="437">
        <f>SUM(Q91:Q96)</f>
        <v>132.05000000000001</v>
      </c>
      <c r="K97" s="436">
        <f>[89]Source!BZ77</f>
        <v>100</v>
      </c>
      <c r="L97" s="437">
        <f>SUM(R91:R96)</f>
        <v>2559.66</v>
      </c>
    </row>
    <row r="98" spans="1:27" ht="14.25" x14ac:dyDescent="0.2">
      <c r="A98" s="400"/>
      <c r="B98" s="400"/>
      <c r="C98" s="460"/>
      <c r="D98" s="460" t="s">
        <v>58</v>
      </c>
      <c r="E98" s="428" t="s">
        <v>57</v>
      </c>
      <c r="F98" s="436">
        <f>[89]Source!DO77</f>
        <v>94</v>
      </c>
      <c r="G98" s="461"/>
      <c r="H98" s="427"/>
      <c r="I98" s="436"/>
      <c r="J98" s="437">
        <f>SUM(S91:S97)</f>
        <v>99.3</v>
      </c>
      <c r="K98" s="436">
        <f>[89]Source!CA77</f>
        <v>45</v>
      </c>
      <c r="L98" s="437">
        <f>SUM(T91:T97)</f>
        <v>1151.8499999999999</v>
      </c>
    </row>
    <row r="99" spans="1:27" ht="14.25" x14ac:dyDescent="0.2">
      <c r="A99" s="400"/>
      <c r="B99" s="400"/>
      <c r="C99" s="460"/>
      <c r="D99" s="460" t="s">
        <v>59</v>
      </c>
      <c r="E99" s="428" t="s">
        <v>57</v>
      </c>
      <c r="F99" s="436">
        <f>175</f>
        <v>175</v>
      </c>
      <c r="G99" s="461"/>
      <c r="H99" s="427"/>
      <c r="I99" s="436"/>
      <c r="J99" s="437">
        <f>SUM(U91:U98)-J105</f>
        <v>1.87</v>
      </c>
      <c r="K99" s="436">
        <f>157</f>
        <v>157</v>
      </c>
      <c r="L99" s="437">
        <f>SUM(V91:V98)-L105</f>
        <v>40.79</v>
      </c>
    </row>
    <row r="100" spans="1:27" ht="14.25" x14ac:dyDescent="0.2">
      <c r="A100" s="400"/>
      <c r="B100" s="400"/>
      <c r="C100" s="460"/>
      <c r="D100" s="460" t="s">
        <v>60</v>
      </c>
      <c r="E100" s="428" t="s">
        <v>61</v>
      </c>
      <c r="F100" s="436">
        <f>[89]Source!AQ77</f>
        <v>33.700000000000003</v>
      </c>
      <c r="G100" s="461"/>
      <c r="H100" s="427">
        <f>[89]Source!DI77</f>
        <v>0</v>
      </c>
      <c r="I100" s="436">
        <f>[89]Source!AV77</f>
        <v>1.0669999999999999</v>
      </c>
      <c r="J100" s="437">
        <f>[89]Source!U77</f>
        <v>5.01</v>
      </c>
      <c r="K100" s="436"/>
      <c r="L100" s="437"/>
    </row>
    <row r="101" spans="1:27" ht="15" x14ac:dyDescent="0.25">
      <c r="I101" s="678">
        <f>J92+J93+J95+J97+J98+J99+SUM(J96:J96)</f>
        <v>564.48</v>
      </c>
      <c r="J101" s="678"/>
      <c r="K101" s="678">
        <f>L92+L93+L95+L97+L98+L99+SUM(L96:L96)</f>
        <v>7390.62</v>
      </c>
      <c r="L101" s="678"/>
      <c r="O101" s="462">
        <f>J92+J93+J95+J97+J98+J99+SUM(J96:J96)</f>
        <v>564.48</v>
      </c>
      <c r="P101" s="462">
        <f>L92+L93+L95+L97+L98+L99+SUM(L96:L96)</f>
        <v>7390.62</v>
      </c>
      <c r="X101" s="422">
        <f>IF([89]Source!BI77&lt;=1,J92+J93+J95+J97+J98+J99-0, 0)</f>
        <v>352.59</v>
      </c>
      <c r="Y101" s="422">
        <f>IF([89]Source!BI77=2,J92+J93+J95+J97+J98+J99-0, 0)</f>
        <v>0</v>
      </c>
      <c r="Z101" s="422">
        <f>IF([89]Source!BI77=3,J92+J93+J95+J97+J98+J99-0, 0)</f>
        <v>0</v>
      </c>
      <c r="AA101" s="422">
        <f>IF([89]Source!BI77=4,J92+J93+J95+J97+J98+J99,0)</f>
        <v>0</v>
      </c>
    </row>
    <row r="102" spans="1:27" ht="28.5" x14ac:dyDescent="0.2">
      <c r="A102" s="463"/>
      <c r="B102" s="463"/>
      <c r="C102" s="464"/>
      <c r="D102" s="464" t="s">
        <v>62</v>
      </c>
      <c r="E102" s="428"/>
      <c r="F102" s="434"/>
      <c r="G102" s="465"/>
      <c r="H102" s="428"/>
      <c r="I102" s="434"/>
      <c r="J102" s="435"/>
      <c r="K102" s="434"/>
      <c r="L102" s="435"/>
    </row>
    <row r="103" spans="1:27" ht="14.25" x14ac:dyDescent="0.2">
      <c r="A103" s="463"/>
      <c r="B103" s="463"/>
      <c r="C103" s="464"/>
      <c r="D103" s="464" t="s">
        <v>53</v>
      </c>
      <c r="E103" s="428"/>
      <c r="F103" s="434"/>
      <c r="G103" s="465">
        <f t="shared" ref="G103:L103" si="2">G104</f>
        <v>7.2</v>
      </c>
      <c r="H103" s="429" t="str">
        <f t="shared" si="2"/>
        <v>)*(1.67-1)</v>
      </c>
      <c r="I103" s="434">
        <f t="shared" si="2"/>
        <v>1.0669999999999999</v>
      </c>
      <c r="J103" s="435">
        <f t="shared" si="2"/>
        <v>0.72</v>
      </c>
      <c r="K103" s="434">
        <f t="shared" si="2"/>
        <v>24.23</v>
      </c>
      <c r="L103" s="435">
        <f t="shared" si="2"/>
        <v>17.39</v>
      </c>
    </row>
    <row r="104" spans="1:27" ht="14.25" x14ac:dyDescent="0.2">
      <c r="A104" s="463"/>
      <c r="B104" s="463"/>
      <c r="C104" s="464"/>
      <c r="D104" s="464" t="s">
        <v>54</v>
      </c>
      <c r="E104" s="428"/>
      <c r="F104" s="434"/>
      <c r="G104" s="465">
        <f>[89]Source!AN77</f>
        <v>7.2</v>
      </c>
      <c r="H104" s="429" t="s">
        <v>63</v>
      </c>
      <c r="I104" s="434">
        <f>[89]Source!AV77</f>
        <v>1.0669999999999999</v>
      </c>
      <c r="J104" s="435">
        <f>ROUND(F91*G104*I104*(1.67-1), 2)</f>
        <v>0.72</v>
      </c>
      <c r="K104" s="434">
        <f>IF([89]Source!BS77&lt;&gt; 0, [89]Source!BS77, 1)</f>
        <v>24.23</v>
      </c>
      <c r="L104" s="435">
        <f>ROUND(F91*G104*I104*(1.67-1)*K104, 2)</f>
        <v>17.39</v>
      </c>
      <c r="W104" s="422">
        <f>J104</f>
        <v>0.72</v>
      </c>
    </row>
    <row r="105" spans="1:27" ht="14.25" x14ac:dyDescent="0.2">
      <c r="A105" s="463"/>
      <c r="B105" s="463"/>
      <c r="C105" s="464"/>
      <c r="D105" s="464" t="s">
        <v>59</v>
      </c>
      <c r="E105" s="428" t="s">
        <v>57</v>
      </c>
      <c r="F105" s="434">
        <f>175</f>
        <v>175</v>
      </c>
      <c r="G105" s="465"/>
      <c r="H105" s="428"/>
      <c r="I105" s="434"/>
      <c r="J105" s="435">
        <f>ROUND(J104*(F105/100), 2)</f>
        <v>1.26</v>
      </c>
      <c r="K105" s="434">
        <f>157</f>
        <v>157</v>
      </c>
      <c r="L105" s="435">
        <f>ROUND(L104*(K105/100), 2)</f>
        <v>27.3</v>
      </c>
    </row>
    <row r="106" spans="1:27" ht="15" x14ac:dyDescent="0.25">
      <c r="I106" s="678">
        <f>J105+J104</f>
        <v>1.98</v>
      </c>
      <c r="J106" s="678"/>
      <c r="K106" s="678">
        <f>L105+L104</f>
        <v>44.69</v>
      </c>
      <c r="L106" s="678"/>
      <c r="O106" s="462">
        <f>I106</f>
        <v>1.98</v>
      </c>
      <c r="P106" s="462">
        <f>K106</f>
        <v>44.69</v>
      </c>
      <c r="X106" s="422">
        <f>IF([89]Source!BI77&lt;=1,I106, 0)</f>
        <v>1.98</v>
      </c>
      <c r="Y106" s="422">
        <f>IF([89]Source!BI77=2,I106, 0)</f>
        <v>0</v>
      </c>
      <c r="Z106" s="422">
        <f>IF([89]Source!BI77=3,I106, 0)</f>
        <v>0</v>
      </c>
      <c r="AA106" s="422">
        <f>IF([89]Source!BI77=4,I106, 0)</f>
        <v>0</v>
      </c>
    </row>
    <row r="108" spans="1:27" ht="15" x14ac:dyDescent="0.25">
      <c r="A108" s="466"/>
      <c r="B108" s="466"/>
      <c r="C108" s="467"/>
      <c r="D108" s="467" t="s">
        <v>64</v>
      </c>
      <c r="E108" s="468"/>
      <c r="F108" s="469"/>
      <c r="G108" s="470"/>
      <c r="H108" s="430"/>
      <c r="I108" s="678">
        <f>I101+I106</f>
        <v>566.46</v>
      </c>
      <c r="J108" s="678"/>
      <c r="K108" s="678">
        <f>K101+K106</f>
        <v>7435.31</v>
      </c>
      <c r="L108" s="678"/>
    </row>
    <row r="109" spans="1:27" ht="57" x14ac:dyDescent="0.2">
      <c r="A109" s="400">
        <v>8</v>
      </c>
      <c r="B109" s="400" t="str">
        <f>[89]Source!E81</f>
        <v>24</v>
      </c>
      <c r="C109" s="460" t="str">
        <f>[89]Source!F81</f>
        <v>3.16-7-2</v>
      </c>
      <c r="D109" s="460" t="s">
        <v>301</v>
      </c>
      <c r="E109" s="428" t="str">
        <f>[89]Source!H81</f>
        <v>100 м трубопровода</v>
      </c>
      <c r="F109" s="436">
        <f>[89]Source!I81</f>
        <v>0.3952</v>
      </c>
      <c r="G109" s="461"/>
      <c r="H109" s="427"/>
      <c r="I109" s="436"/>
      <c r="J109" s="437"/>
      <c r="K109" s="436"/>
      <c r="L109" s="437"/>
      <c r="Q109" s="422">
        <f>ROUND(([89]Source!DN81/100)*ROUND((ROUND(([89]Source!AF81*[89]Source!AV81*[89]Source!I81),2)),2), 2)</f>
        <v>374.36</v>
      </c>
      <c r="R109" s="422">
        <f>[89]Source!X81</f>
        <v>7256.64</v>
      </c>
      <c r="S109" s="422">
        <f>ROUND(([89]Source!DO81/100)*ROUND((ROUND(([89]Source!AF81*[89]Source!AV81*[89]Source!I81),2)),2), 2)</f>
        <v>281.52</v>
      </c>
      <c r="T109" s="422">
        <f>[89]Source!Y81</f>
        <v>3265.49</v>
      </c>
      <c r="U109" s="422">
        <f>ROUND((175/100)*ROUND((ROUND(([89]Source!AE81*[89]Source!AV81*[89]Source!I81),2)),2), 2)</f>
        <v>8.8699999999999992</v>
      </c>
      <c r="V109" s="422">
        <f>ROUND((157/100)*ROUND(ROUND((ROUND(([89]Source!AE81*[89]Source!AV81*[89]Source!I81),2)*[89]Source!BS81),2), 2), 2)</f>
        <v>192.87</v>
      </c>
    </row>
    <row r="110" spans="1:27" ht="14.25" x14ac:dyDescent="0.2">
      <c r="A110" s="400"/>
      <c r="B110" s="400"/>
      <c r="C110" s="460"/>
      <c r="D110" s="460" t="s">
        <v>52</v>
      </c>
      <c r="E110" s="428"/>
      <c r="F110" s="436"/>
      <c r="G110" s="461">
        <f>[89]Source!AO81</f>
        <v>425.29</v>
      </c>
      <c r="H110" s="427" t="str">
        <f>[89]Source!DG81</f>
        <v>)*1,67</v>
      </c>
      <c r="I110" s="436">
        <f>[89]Source!AV81</f>
        <v>1.0669999999999999</v>
      </c>
      <c r="J110" s="437">
        <f>ROUND((ROUND(([89]Source!AF81*[89]Source!AV81*[89]Source!I81),2)),2)</f>
        <v>299.49</v>
      </c>
      <c r="K110" s="436">
        <f>IF([89]Source!BA81&lt;&gt; 0, [89]Source!BA81, 1)</f>
        <v>24.23</v>
      </c>
      <c r="L110" s="437">
        <f>[89]Source!S81</f>
        <v>7256.64</v>
      </c>
      <c r="W110" s="422">
        <f>J110</f>
        <v>299.49</v>
      </c>
    </row>
    <row r="111" spans="1:27" ht="14.25" x14ac:dyDescent="0.2">
      <c r="A111" s="400"/>
      <c r="B111" s="400"/>
      <c r="C111" s="460"/>
      <c r="D111" s="460" t="s">
        <v>53</v>
      </c>
      <c r="E111" s="428"/>
      <c r="F111" s="436"/>
      <c r="G111" s="461">
        <f>[89]Source!AM81</f>
        <v>50.52</v>
      </c>
      <c r="H111" s="427">
        <f>[89]Source!DE81</f>
        <v>0</v>
      </c>
      <c r="I111" s="436">
        <f>[89]Source!AV81</f>
        <v>1.0669999999999999</v>
      </c>
      <c r="J111" s="437">
        <f>(ROUND((ROUND((([89]Source!ET81)*[89]Source!AV81*[89]Source!I81),2)),2)+ROUND((ROUND((([89]Source!AE81-([89]Source!EU81))*[89]Source!AV81*[89]Source!I81),2)),2))-J121</f>
        <v>21.3</v>
      </c>
      <c r="K111" s="436">
        <f>IF([89]Source!BB81&lt;&gt; 0, [89]Source!BB81, 1)</f>
        <v>9.11</v>
      </c>
      <c r="L111" s="437">
        <f>[89]Source!Q81-L121</f>
        <v>193.94</v>
      </c>
    </row>
    <row r="112" spans="1:27" ht="14.25" x14ac:dyDescent="0.2">
      <c r="A112" s="400"/>
      <c r="B112" s="400"/>
      <c r="C112" s="460"/>
      <c r="D112" s="460" t="s">
        <v>54</v>
      </c>
      <c r="E112" s="428"/>
      <c r="F112" s="436"/>
      <c r="G112" s="461">
        <f>[89]Source!AN81</f>
        <v>7.2</v>
      </c>
      <c r="H112" s="427">
        <f>[89]Source!DE81</f>
        <v>0</v>
      </c>
      <c r="I112" s="436">
        <f>[89]Source!AV81</f>
        <v>1.0669999999999999</v>
      </c>
      <c r="J112" s="435">
        <f>ROUND((ROUND(([89]Source!AE81*[89]Source!AV81*[89]Source!I81),2)),2)-J122</f>
        <v>3.04</v>
      </c>
      <c r="K112" s="436">
        <f>IF([89]Source!BS81&lt;&gt; 0, [89]Source!BS81, 1)</f>
        <v>24.23</v>
      </c>
      <c r="L112" s="435">
        <f>[89]Source!R81-L122</f>
        <v>73.56</v>
      </c>
      <c r="W112" s="422">
        <f>J112</f>
        <v>3.04</v>
      </c>
    </row>
    <row r="113" spans="1:27" ht="14.25" x14ac:dyDescent="0.2">
      <c r="A113" s="400"/>
      <c r="B113" s="400"/>
      <c r="C113" s="460"/>
      <c r="D113" s="460" t="s">
        <v>55</v>
      </c>
      <c r="E113" s="428"/>
      <c r="F113" s="436"/>
      <c r="G113" s="461">
        <f>[89]Source!AL81</f>
        <v>44.83</v>
      </c>
      <c r="H113" s="427">
        <f>[89]Source!DD81</f>
        <v>0</v>
      </c>
      <c r="I113" s="436">
        <f>[89]Source!AW81</f>
        <v>1</v>
      </c>
      <c r="J113" s="437">
        <f>ROUND((ROUND(([89]Source!AC81*[89]Source!AW81*[89]Source!I81),2)),2)</f>
        <v>17.72</v>
      </c>
      <c r="K113" s="436">
        <f>IF([89]Source!BC81&lt;&gt; 0, [89]Source!BC81, 1)</f>
        <v>3.67</v>
      </c>
      <c r="L113" s="437">
        <f>[89]Source!P81</f>
        <v>65.03</v>
      </c>
    </row>
    <row r="114" spans="1:27" ht="71.25" x14ac:dyDescent="0.2">
      <c r="A114" s="400">
        <v>9</v>
      </c>
      <c r="B114" s="400" t="str">
        <f>[89]Source!E83</f>
        <v>24,1</v>
      </c>
      <c r="C114" s="460" t="str">
        <f>[89]Source!F83</f>
        <v>1.12-6-666</v>
      </c>
      <c r="D114" s="460" t="s">
        <v>302</v>
      </c>
      <c r="E114" s="428" t="str">
        <f>[89]Source!H83</f>
        <v>м</v>
      </c>
      <c r="F114" s="436">
        <f>[89]Source!I83</f>
        <v>39.520000000000003</v>
      </c>
      <c r="G114" s="461">
        <f>[89]Source!AK83</f>
        <v>19.88</v>
      </c>
      <c r="H114" s="432" t="s">
        <v>74</v>
      </c>
      <c r="I114" s="436">
        <f>[89]Source!AW83</f>
        <v>1</v>
      </c>
      <c r="J114" s="437">
        <f>ROUND((ROUND(([89]Source!AC83*[89]Source!AW83*[89]Source!I83),2)),2)+(ROUND((ROUND((([89]Source!ET83)*[89]Source!AV83*[89]Source!I83),2)),2)+ROUND((ROUND((([89]Source!AE83-([89]Source!EU83))*[89]Source!AV83*[89]Source!I83),2)),2))+ROUND((ROUND(([89]Source!AF83*[89]Source!AV83*[89]Source!I83),2)),2)</f>
        <v>785.66</v>
      </c>
      <c r="K114" s="436">
        <f>IF([89]Source!BC83&lt;&gt; 0, [89]Source!BC83, 1)</f>
        <v>4.34</v>
      </c>
      <c r="L114" s="437">
        <f>[89]Source!O83</f>
        <v>3409.76</v>
      </c>
      <c r="Q114" s="422">
        <f>ROUND(([89]Source!DN83/100)*ROUND((ROUND(([89]Source!AF83*[89]Source!AV83*[89]Source!I83),2)),2), 2)</f>
        <v>0</v>
      </c>
      <c r="R114" s="422">
        <f>[89]Source!X83</f>
        <v>0</v>
      </c>
      <c r="S114" s="422">
        <f>ROUND(([89]Source!DO83/100)*ROUND((ROUND(([89]Source!AF83*[89]Source!AV83*[89]Source!I83),2)),2), 2)</f>
        <v>0</v>
      </c>
      <c r="T114" s="422">
        <f>[89]Source!Y83</f>
        <v>0</v>
      </c>
      <c r="U114" s="422">
        <f>ROUND((175/100)*ROUND((ROUND(([89]Source!AE83*[89]Source!AV83*[89]Source!I83),2)),2), 2)</f>
        <v>0</v>
      </c>
      <c r="V114" s="422">
        <f>ROUND((157/100)*ROUND(ROUND((ROUND(([89]Source!AE83*[89]Source!AV83*[89]Source!I83),2)*[89]Source!BS83),2), 2), 2)</f>
        <v>0</v>
      </c>
      <c r="X114" s="422">
        <f>IF([89]Source!BI83&lt;=1,J114, 0)</f>
        <v>785.66</v>
      </c>
      <c r="Y114" s="422">
        <f>IF([89]Source!BI83=2,J114, 0)</f>
        <v>0</v>
      </c>
      <c r="Z114" s="422">
        <f>IF([89]Source!BI83=3,J114, 0)</f>
        <v>0</v>
      </c>
      <c r="AA114" s="422">
        <f>IF([89]Source!BI83=4,J114, 0)</f>
        <v>0</v>
      </c>
    </row>
    <row r="115" spans="1:27" ht="14.25" x14ac:dyDescent="0.2">
      <c r="A115" s="400"/>
      <c r="B115" s="400"/>
      <c r="C115" s="460"/>
      <c r="D115" s="460" t="s">
        <v>56</v>
      </c>
      <c r="E115" s="428" t="s">
        <v>57</v>
      </c>
      <c r="F115" s="436">
        <f>[89]Source!DN81</f>
        <v>125</v>
      </c>
      <c r="G115" s="461"/>
      <c r="H115" s="427"/>
      <c r="I115" s="436"/>
      <c r="J115" s="437">
        <f>SUM(Q109:Q114)</f>
        <v>374.36</v>
      </c>
      <c r="K115" s="436">
        <f>[89]Source!BZ81</f>
        <v>100</v>
      </c>
      <c r="L115" s="437">
        <f>SUM(R109:R114)</f>
        <v>7256.64</v>
      </c>
    </row>
    <row r="116" spans="1:27" ht="14.25" x14ac:dyDescent="0.2">
      <c r="A116" s="400"/>
      <c r="B116" s="400"/>
      <c r="C116" s="460"/>
      <c r="D116" s="460" t="s">
        <v>58</v>
      </c>
      <c r="E116" s="428" t="s">
        <v>57</v>
      </c>
      <c r="F116" s="436">
        <f>[89]Source!DO81</f>
        <v>94</v>
      </c>
      <c r="G116" s="461"/>
      <c r="H116" s="427"/>
      <c r="I116" s="436"/>
      <c r="J116" s="437">
        <f>SUM(S109:S115)</f>
        <v>281.52</v>
      </c>
      <c r="K116" s="436">
        <f>[89]Source!CA81</f>
        <v>45</v>
      </c>
      <c r="L116" s="437">
        <f>SUM(T109:T115)</f>
        <v>3265.49</v>
      </c>
    </row>
    <row r="117" spans="1:27" ht="14.25" x14ac:dyDescent="0.2">
      <c r="A117" s="400"/>
      <c r="B117" s="400"/>
      <c r="C117" s="460"/>
      <c r="D117" s="460" t="s">
        <v>59</v>
      </c>
      <c r="E117" s="428" t="s">
        <v>57</v>
      </c>
      <c r="F117" s="436">
        <f>175</f>
        <v>175</v>
      </c>
      <c r="G117" s="461"/>
      <c r="H117" s="427"/>
      <c r="I117" s="436"/>
      <c r="J117" s="437">
        <f>SUM(U109:U116)-J123</f>
        <v>5.32</v>
      </c>
      <c r="K117" s="436">
        <f>157</f>
        <v>157</v>
      </c>
      <c r="L117" s="437">
        <f>SUM(V109:V116)-L123</f>
        <v>115.48</v>
      </c>
    </row>
    <row r="118" spans="1:27" ht="14.25" x14ac:dyDescent="0.2">
      <c r="A118" s="400"/>
      <c r="B118" s="400"/>
      <c r="C118" s="460"/>
      <c r="D118" s="460" t="s">
        <v>60</v>
      </c>
      <c r="E118" s="428" t="s">
        <v>61</v>
      </c>
      <c r="F118" s="436">
        <f>[89]Source!AQ81</f>
        <v>33.700000000000003</v>
      </c>
      <c r="G118" s="461"/>
      <c r="H118" s="427">
        <f>[89]Source!DI81</f>
        <v>0</v>
      </c>
      <c r="I118" s="436">
        <f>[89]Source!AV81</f>
        <v>1.0669999999999999</v>
      </c>
      <c r="J118" s="437">
        <f>[89]Source!U81</f>
        <v>14.21</v>
      </c>
      <c r="K118" s="436"/>
      <c r="L118" s="437"/>
    </row>
    <row r="119" spans="1:27" ht="15" x14ac:dyDescent="0.25">
      <c r="I119" s="678">
        <f>J110+J111+J113+J115+J116+J117+SUM(J114:J114)</f>
        <v>1785.37</v>
      </c>
      <c r="J119" s="678"/>
      <c r="K119" s="678">
        <f>L110+L111+L113+L115+L116+L117+SUM(L114:L114)</f>
        <v>21562.98</v>
      </c>
      <c r="L119" s="678"/>
      <c r="O119" s="462">
        <f>J110+J111+J113+J115+J116+J117+SUM(J114:J114)</f>
        <v>1785.37</v>
      </c>
      <c r="P119" s="462">
        <f>L110+L111+L113+L115+L116+L117+SUM(L114:L114)</f>
        <v>21562.98</v>
      </c>
      <c r="X119" s="422">
        <f>IF([89]Source!BI81&lt;=1,J110+J111+J113+J115+J116+J117-0, 0)</f>
        <v>999.71</v>
      </c>
      <c r="Y119" s="422">
        <f>IF([89]Source!BI81=2,J110+J111+J113+J115+J116+J117-0, 0)</f>
        <v>0</v>
      </c>
      <c r="Z119" s="422">
        <f>IF([89]Source!BI81=3,J110+J111+J113+J115+J116+J117-0, 0)</f>
        <v>0</v>
      </c>
      <c r="AA119" s="422">
        <f>IF([89]Source!BI81=4,J110+J111+J113+J115+J116+J117,0)</f>
        <v>0</v>
      </c>
    </row>
    <row r="120" spans="1:27" ht="28.5" x14ac:dyDescent="0.2">
      <c r="A120" s="463"/>
      <c r="B120" s="463"/>
      <c r="C120" s="464"/>
      <c r="D120" s="464" t="s">
        <v>62</v>
      </c>
      <c r="E120" s="428"/>
      <c r="F120" s="434"/>
      <c r="G120" s="465"/>
      <c r="H120" s="428"/>
      <c r="I120" s="434"/>
      <c r="J120" s="435"/>
      <c r="K120" s="434"/>
      <c r="L120" s="435"/>
    </row>
    <row r="121" spans="1:27" ht="14.25" x14ac:dyDescent="0.2">
      <c r="A121" s="463"/>
      <c r="B121" s="463"/>
      <c r="C121" s="464"/>
      <c r="D121" s="464" t="s">
        <v>53</v>
      </c>
      <c r="E121" s="428"/>
      <c r="F121" s="434"/>
      <c r="G121" s="465">
        <f t="shared" ref="G121:L121" si="3">G122</f>
        <v>7.2</v>
      </c>
      <c r="H121" s="429" t="str">
        <f t="shared" si="3"/>
        <v>)*(1.67-1)</v>
      </c>
      <c r="I121" s="434">
        <f t="shared" si="3"/>
        <v>1.0669999999999999</v>
      </c>
      <c r="J121" s="435">
        <f t="shared" si="3"/>
        <v>2.0299999999999998</v>
      </c>
      <c r="K121" s="434">
        <f t="shared" si="3"/>
        <v>24.23</v>
      </c>
      <c r="L121" s="435">
        <f t="shared" si="3"/>
        <v>49.29</v>
      </c>
    </row>
    <row r="122" spans="1:27" ht="14.25" x14ac:dyDescent="0.2">
      <c r="A122" s="463"/>
      <c r="B122" s="463"/>
      <c r="C122" s="464"/>
      <c r="D122" s="464" t="s">
        <v>54</v>
      </c>
      <c r="E122" s="428"/>
      <c r="F122" s="434"/>
      <c r="G122" s="465">
        <f>[89]Source!AN81</f>
        <v>7.2</v>
      </c>
      <c r="H122" s="429" t="s">
        <v>63</v>
      </c>
      <c r="I122" s="434">
        <f>[89]Source!AV81</f>
        <v>1.0669999999999999</v>
      </c>
      <c r="J122" s="435">
        <f>ROUND(F109*G122*I122*(1.67-1), 2)</f>
        <v>2.0299999999999998</v>
      </c>
      <c r="K122" s="434">
        <f>IF([89]Source!BS81&lt;&gt; 0, [89]Source!BS81, 1)</f>
        <v>24.23</v>
      </c>
      <c r="L122" s="435">
        <f>ROUND(F109*G122*I122*(1.67-1)*K122, 2)</f>
        <v>49.29</v>
      </c>
      <c r="W122" s="422">
        <f>J122</f>
        <v>2.0299999999999998</v>
      </c>
    </row>
    <row r="123" spans="1:27" ht="14.25" x14ac:dyDescent="0.2">
      <c r="A123" s="463"/>
      <c r="B123" s="463"/>
      <c r="C123" s="464"/>
      <c r="D123" s="464" t="s">
        <v>59</v>
      </c>
      <c r="E123" s="428" t="s">
        <v>57</v>
      </c>
      <c r="F123" s="434">
        <f>175</f>
        <v>175</v>
      </c>
      <c r="G123" s="465"/>
      <c r="H123" s="428"/>
      <c r="I123" s="434"/>
      <c r="J123" s="435">
        <f>ROUND(J122*(F123/100), 2)</f>
        <v>3.55</v>
      </c>
      <c r="K123" s="434">
        <f>157</f>
        <v>157</v>
      </c>
      <c r="L123" s="435">
        <f>ROUND(L122*(K123/100), 2)</f>
        <v>77.39</v>
      </c>
    </row>
    <row r="124" spans="1:27" ht="15" x14ac:dyDescent="0.25">
      <c r="I124" s="678">
        <f>J123+J122</f>
        <v>5.58</v>
      </c>
      <c r="J124" s="678"/>
      <c r="K124" s="678">
        <f>L123+L122</f>
        <v>126.68</v>
      </c>
      <c r="L124" s="678"/>
      <c r="O124" s="462">
        <f>I124</f>
        <v>5.58</v>
      </c>
      <c r="P124" s="462">
        <f>K124</f>
        <v>126.68</v>
      </c>
      <c r="X124" s="422">
        <f>IF([89]Source!BI81&lt;=1,I124, 0)</f>
        <v>5.58</v>
      </c>
      <c r="Y124" s="422">
        <f>IF([89]Source!BI81=2,I124, 0)</f>
        <v>0</v>
      </c>
      <c r="Z124" s="422">
        <f>IF([89]Source!BI81=3,I124, 0)</f>
        <v>0</v>
      </c>
      <c r="AA124" s="422">
        <f>IF([89]Source!BI81=4,I124, 0)</f>
        <v>0</v>
      </c>
    </row>
    <row r="126" spans="1:27" ht="15" x14ac:dyDescent="0.25">
      <c r="A126" s="466"/>
      <c r="B126" s="466"/>
      <c r="C126" s="467"/>
      <c r="D126" s="467" t="s">
        <v>64</v>
      </c>
      <c r="E126" s="468"/>
      <c r="F126" s="469"/>
      <c r="G126" s="470"/>
      <c r="H126" s="430"/>
      <c r="I126" s="678">
        <f>I119+I124</f>
        <v>1790.95</v>
      </c>
      <c r="J126" s="678"/>
      <c r="K126" s="678">
        <f>K119+K124</f>
        <v>21689.66</v>
      </c>
      <c r="L126" s="678"/>
    </row>
    <row r="127" spans="1:27" ht="57" x14ac:dyDescent="0.2">
      <c r="A127" s="400">
        <v>10</v>
      </c>
      <c r="B127" s="400" t="str">
        <f>[89]Source!E85</f>
        <v>25</v>
      </c>
      <c r="C127" s="460" t="str">
        <f>[89]Source!F85</f>
        <v>3.16-7-6</v>
      </c>
      <c r="D127" s="460" t="s">
        <v>303</v>
      </c>
      <c r="E127" s="428" t="str">
        <f>[89]Source!H85</f>
        <v>100 м трубопровода</v>
      </c>
      <c r="F127" s="436">
        <f>[89]Source!I85</f>
        <v>0.16500000000000001</v>
      </c>
      <c r="G127" s="461"/>
      <c r="H127" s="427"/>
      <c r="I127" s="436"/>
      <c r="J127" s="437"/>
      <c r="K127" s="436"/>
      <c r="L127" s="437"/>
      <c r="Q127" s="422">
        <f>ROUND(([89]Source!DN85/100)*ROUND((ROUND(([89]Source!AF85*[89]Source!AV85*[89]Source!I85),2)),2), 2)</f>
        <v>200.83</v>
      </c>
      <c r="R127" s="422">
        <f>[89]Source!X85</f>
        <v>3892.79</v>
      </c>
      <c r="S127" s="422">
        <f>ROUND(([89]Source!DO85/100)*ROUND((ROUND(([89]Source!AF85*[89]Source!AV85*[89]Source!I85),2)),2), 2)</f>
        <v>151.02000000000001</v>
      </c>
      <c r="T127" s="422">
        <f>[89]Source!Y85</f>
        <v>1751.76</v>
      </c>
      <c r="U127" s="422">
        <f>ROUND((175/100)*ROUND((ROUND(([89]Source!AE85*[89]Source!AV85*[89]Source!I85),2)),2), 2)</f>
        <v>6.67</v>
      </c>
      <c r="V127" s="422">
        <f>ROUND((157/100)*ROUND(ROUND((ROUND(([89]Source!AE85*[89]Source!AV85*[89]Source!I85),2)*[89]Source!BS85),2), 2), 2)</f>
        <v>144.94</v>
      </c>
    </row>
    <row r="128" spans="1:27" ht="14.25" x14ac:dyDescent="0.2">
      <c r="A128" s="400"/>
      <c r="B128" s="400"/>
      <c r="C128" s="460"/>
      <c r="D128" s="460" t="s">
        <v>52</v>
      </c>
      <c r="E128" s="428"/>
      <c r="F128" s="436"/>
      <c r="G128" s="461">
        <f>[89]Source!AO85</f>
        <v>546.45000000000005</v>
      </c>
      <c r="H128" s="427" t="str">
        <f>[89]Source!DG85</f>
        <v>)*1,67</v>
      </c>
      <c r="I128" s="436">
        <f>[89]Source!AV85</f>
        <v>1.0669999999999999</v>
      </c>
      <c r="J128" s="437">
        <f>ROUND((ROUND(([89]Source!AF85*[89]Source!AV85*[89]Source!I85),2)),2)</f>
        <v>160.66</v>
      </c>
      <c r="K128" s="436">
        <f>IF([89]Source!BA85&lt;&gt; 0, [89]Source!BA85, 1)</f>
        <v>24.23</v>
      </c>
      <c r="L128" s="437">
        <f>[89]Source!S85</f>
        <v>3892.79</v>
      </c>
      <c r="W128" s="422">
        <f>J128</f>
        <v>160.66</v>
      </c>
    </row>
    <row r="129" spans="1:27" ht="14.25" x14ac:dyDescent="0.2">
      <c r="A129" s="400"/>
      <c r="B129" s="400"/>
      <c r="C129" s="460"/>
      <c r="D129" s="460" t="s">
        <v>53</v>
      </c>
      <c r="E129" s="428"/>
      <c r="F129" s="436"/>
      <c r="G129" s="461">
        <f>[89]Source!AM85</f>
        <v>83.98</v>
      </c>
      <c r="H129" s="427">
        <f>[89]Source!DE85</f>
        <v>0</v>
      </c>
      <c r="I129" s="436">
        <f>[89]Source!AV85</f>
        <v>1.0669999999999999</v>
      </c>
      <c r="J129" s="437">
        <f>(ROUND((ROUND((([89]Source!ET85)*[89]Source!AV85*[89]Source!I85),2)),2)+ROUND((ROUND((([89]Source!AE85-([89]Source!EU85))*[89]Source!AV85*[89]Source!I85),2)),2))-J139</f>
        <v>14.79</v>
      </c>
      <c r="K129" s="436">
        <f>IF([89]Source!BB85&lt;&gt; 0, [89]Source!BB85, 1)</f>
        <v>9.1999999999999993</v>
      </c>
      <c r="L129" s="437">
        <f>[89]Source!Q85-L139</f>
        <v>136.1</v>
      </c>
    </row>
    <row r="130" spans="1:27" ht="14.25" x14ac:dyDescent="0.2">
      <c r="A130" s="400"/>
      <c r="B130" s="400"/>
      <c r="C130" s="460"/>
      <c r="D130" s="460" t="s">
        <v>54</v>
      </c>
      <c r="E130" s="428"/>
      <c r="F130" s="436"/>
      <c r="G130" s="461">
        <f>[89]Source!AN85</f>
        <v>12.96</v>
      </c>
      <c r="H130" s="427">
        <f>[89]Source!DE85</f>
        <v>0</v>
      </c>
      <c r="I130" s="436">
        <f>[89]Source!AV85</f>
        <v>1.0669999999999999</v>
      </c>
      <c r="J130" s="435">
        <f>ROUND((ROUND(([89]Source!AE85*[89]Source!AV85*[89]Source!I85),2)),2)-J140</f>
        <v>2.2799999999999998</v>
      </c>
      <c r="K130" s="436">
        <f>IF([89]Source!BS85&lt;&gt; 0, [89]Source!BS85, 1)</f>
        <v>24.23</v>
      </c>
      <c r="L130" s="435">
        <f>[89]Source!R85-L140</f>
        <v>55.28</v>
      </c>
      <c r="W130" s="422">
        <f>J130</f>
        <v>2.2799999999999998</v>
      </c>
    </row>
    <row r="131" spans="1:27" ht="14.25" x14ac:dyDescent="0.2">
      <c r="A131" s="400"/>
      <c r="B131" s="400"/>
      <c r="C131" s="460"/>
      <c r="D131" s="460" t="s">
        <v>55</v>
      </c>
      <c r="E131" s="428"/>
      <c r="F131" s="436"/>
      <c r="G131" s="461">
        <f>[89]Source!AL85</f>
        <v>61.03</v>
      </c>
      <c r="H131" s="427">
        <f>[89]Source!DD85</f>
        <v>0</v>
      </c>
      <c r="I131" s="436">
        <f>[89]Source!AW85</f>
        <v>1</v>
      </c>
      <c r="J131" s="437">
        <f>ROUND((ROUND(([89]Source!AC85*[89]Source!AW85*[89]Source!I85),2)),2)</f>
        <v>10.07</v>
      </c>
      <c r="K131" s="436">
        <f>IF([89]Source!BC85&lt;&gt; 0, [89]Source!BC85, 1)</f>
        <v>4.28</v>
      </c>
      <c r="L131" s="437">
        <f>[89]Source!P85</f>
        <v>43.1</v>
      </c>
    </row>
    <row r="132" spans="1:27" ht="71.25" x14ac:dyDescent="0.2">
      <c r="A132" s="400">
        <v>11</v>
      </c>
      <c r="B132" s="400" t="str">
        <f>[89]Source!E87</f>
        <v>25,1</v>
      </c>
      <c r="C132" s="460" t="str">
        <f>[89]Source!F87</f>
        <v>1.12-6-670</v>
      </c>
      <c r="D132" s="460" t="s">
        <v>304</v>
      </c>
      <c r="E132" s="428" t="str">
        <f>[89]Source!H87</f>
        <v>м</v>
      </c>
      <c r="F132" s="436">
        <f>[89]Source!I87</f>
        <v>16.5</v>
      </c>
      <c r="G132" s="461">
        <f>[89]Source!AK87</f>
        <v>52.67</v>
      </c>
      <c r="H132" s="432" t="s">
        <v>74</v>
      </c>
      <c r="I132" s="436">
        <f>[89]Source!AW87</f>
        <v>1</v>
      </c>
      <c r="J132" s="437">
        <f>ROUND((ROUND(([89]Source!AC87*[89]Source!AW87*[89]Source!I87),2)),2)+(ROUND((ROUND((([89]Source!ET87)*[89]Source!AV87*[89]Source!I87),2)),2)+ROUND((ROUND((([89]Source!AE87-([89]Source!EU87))*[89]Source!AV87*[89]Source!I87),2)),2))+ROUND((ROUND(([89]Source!AF87*[89]Source!AV87*[89]Source!I87),2)),2)</f>
        <v>869.06</v>
      </c>
      <c r="K132" s="436">
        <f>IF([89]Source!BC87&lt;&gt; 0, [89]Source!BC87, 1)</f>
        <v>4.33</v>
      </c>
      <c r="L132" s="437">
        <f>[89]Source!O87</f>
        <v>3763.03</v>
      </c>
      <c r="Q132" s="422">
        <f>ROUND(([89]Source!DN87/100)*ROUND((ROUND(([89]Source!AF87*[89]Source!AV87*[89]Source!I87),2)),2), 2)</f>
        <v>0</v>
      </c>
      <c r="R132" s="422">
        <f>[89]Source!X87</f>
        <v>0</v>
      </c>
      <c r="S132" s="422">
        <f>ROUND(([89]Source!DO87/100)*ROUND((ROUND(([89]Source!AF87*[89]Source!AV87*[89]Source!I87),2)),2), 2)</f>
        <v>0</v>
      </c>
      <c r="T132" s="422">
        <f>[89]Source!Y87</f>
        <v>0</v>
      </c>
      <c r="U132" s="422">
        <f>ROUND((175/100)*ROUND((ROUND(([89]Source!AE87*[89]Source!AV87*[89]Source!I87),2)),2), 2)</f>
        <v>0</v>
      </c>
      <c r="V132" s="422">
        <f>ROUND((157/100)*ROUND(ROUND((ROUND(([89]Source!AE87*[89]Source!AV87*[89]Source!I87),2)*[89]Source!BS87),2), 2), 2)</f>
        <v>0</v>
      </c>
      <c r="X132" s="422">
        <f>IF([89]Source!BI87&lt;=1,J132, 0)</f>
        <v>869.06</v>
      </c>
      <c r="Y132" s="422">
        <f>IF([89]Source!BI87=2,J132, 0)</f>
        <v>0</v>
      </c>
      <c r="Z132" s="422">
        <f>IF([89]Source!BI87=3,J132, 0)</f>
        <v>0</v>
      </c>
      <c r="AA132" s="422">
        <f>IF([89]Source!BI87=4,J132, 0)</f>
        <v>0</v>
      </c>
    </row>
    <row r="133" spans="1:27" ht="14.25" x14ac:dyDescent="0.2">
      <c r="A133" s="400"/>
      <c r="B133" s="400"/>
      <c r="C133" s="460"/>
      <c r="D133" s="460" t="s">
        <v>56</v>
      </c>
      <c r="E133" s="428" t="s">
        <v>57</v>
      </c>
      <c r="F133" s="436">
        <f>[89]Source!DN85</f>
        <v>125</v>
      </c>
      <c r="G133" s="461"/>
      <c r="H133" s="427"/>
      <c r="I133" s="436"/>
      <c r="J133" s="437">
        <f>SUM(Q127:Q132)</f>
        <v>200.83</v>
      </c>
      <c r="K133" s="436">
        <f>[89]Source!BZ85</f>
        <v>100</v>
      </c>
      <c r="L133" s="437">
        <f>SUM(R127:R132)</f>
        <v>3892.79</v>
      </c>
    </row>
    <row r="134" spans="1:27" ht="14.25" x14ac:dyDescent="0.2">
      <c r="A134" s="400"/>
      <c r="B134" s="400"/>
      <c r="C134" s="460"/>
      <c r="D134" s="460" t="s">
        <v>58</v>
      </c>
      <c r="E134" s="428" t="s">
        <v>57</v>
      </c>
      <c r="F134" s="436">
        <f>[89]Source!DO85</f>
        <v>94</v>
      </c>
      <c r="G134" s="461"/>
      <c r="H134" s="427"/>
      <c r="I134" s="436"/>
      <c r="J134" s="437">
        <f>SUM(S127:S133)</f>
        <v>151.02000000000001</v>
      </c>
      <c r="K134" s="436">
        <f>[89]Source!CA85</f>
        <v>45</v>
      </c>
      <c r="L134" s="437">
        <f>SUM(T127:T133)</f>
        <v>1751.76</v>
      </c>
    </row>
    <row r="135" spans="1:27" ht="14.25" x14ac:dyDescent="0.2">
      <c r="A135" s="400"/>
      <c r="B135" s="400"/>
      <c r="C135" s="460"/>
      <c r="D135" s="460" t="s">
        <v>59</v>
      </c>
      <c r="E135" s="428" t="s">
        <v>57</v>
      </c>
      <c r="F135" s="436">
        <f>175</f>
        <v>175</v>
      </c>
      <c r="G135" s="461"/>
      <c r="H135" s="427"/>
      <c r="I135" s="436"/>
      <c r="J135" s="437">
        <f>SUM(U127:U134)-J141</f>
        <v>3.99</v>
      </c>
      <c r="K135" s="436">
        <f>157</f>
        <v>157</v>
      </c>
      <c r="L135" s="437">
        <f>SUM(V127:V134)-L141</f>
        <v>86.79</v>
      </c>
    </row>
    <row r="136" spans="1:27" ht="14.25" x14ac:dyDescent="0.2">
      <c r="A136" s="400"/>
      <c r="B136" s="400"/>
      <c r="C136" s="460"/>
      <c r="D136" s="460" t="s">
        <v>60</v>
      </c>
      <c r="E136" s="428" t="s">
        <v>61</v>
      </c>
      <c r="F136" s="436">
        <f>[89]Source!AQ85</f>
        <v>43.3</v>
      </c>
      <c r="G136" s="461"/>
      <c r="H136" s="427">
        <f>[89]Source!DI85</f>
        <v>0</v>
      </c>
      <c r="I136" s="436">
        <f>[89]Source!AV85</f>
        <v>1.0669999999999999</v>
      </c>
      <c r="J136" s="437">
        <f>[89]Source!U85</f>
        <v>7.62</v>
      </c>
      <c r="K136" s="436"/>
      <c r="L136" s="437"/>
    </row>
    <row r="137" spans="1:27" ht="15" x14ac:dyDescent="0.25">
      <c r="I137" s="678">
        <f>J128+J129+J131+J133+J134+J135+SUM(J132:J132)</f>
        <v>1410.42</v>
      </c>
      <c r="J137" s="678"/>
      <c r="K137" s="678">
        <f>L128+L129+L131+L133+L134+L135+SUM(L132:L132)</f>
        <v>13566.36</v>
      </c>
      <c r="L137" s="678"/>
      <c r="O137" s="462">
        <f>J128+J129+J131+J133+J134+J135+SUM(J132:J132)</f>
        <v>1410.42</v>
      </c>
      <c r="P137" s="462">
        <f>L128+L129+L131+L133+L134+L135+SUM(L132:L132)</f>
        <v>13566.36</v>
      </c>
      <c r="X137" s="422">
        <f>IF([89]Source!BI85&lt;=1,J128+J129+J131+J133+J134+J135-0, 0)</f>
        <v>541.36</v>
      </c>
      <c r="Y137" s="422">
        <f>IF([89]Source!BI85=2,J128+J129+J131+J133+J134+J135-0, 0)</f>
        <v>0</v>
      </c>
      <c r="Z137" s="422">
        <f>IF([89]Source!BI85=3,J128+J129+J131+J133+J134+J135-0, 0)</f>
        <v>0</v>
      </c>
      <c r="AA137" s="422">
        <f>IF([89]Source!BI85=4,J128+J129+J131+J133+J134+J135,0)</f>
        <v>0</v>
      </c>
    </row>
    <row r="138" spans="1:27" ht="28.5" x14ac:dyDescent="0.2">
      <c r="A138" s="463"/>
      <c r="B138" s="463"/>
      <c r="C138" s="464"/>
      <c r="D138" s="464" t="s">
        <v>62</v>
      </c>
      <c r="E138" s="428"/>
      <c r="F138" s="434"/>
      <c r="G138" s="465"/>
      <c r="H138" s="428"/>
      <c r="I138" s="434"/>
      <c r="J138" s="435"/>
      <c r="K138" s="434"/>
      <c r="L138" s="435"/>
    </row>
    <row r="139" spans="1:27" ht="14.25" x14ac:dyDescent="0.2">
      <c r="A139" s="463"/>
      <c r="B139" s="463"/>
      <c r="C139" s="464"/>
      <c r="D139" s="464" t="s">
        <v>53</v>
      </c>
      <c r="E139" s="428"/>
      <c r="F139" s="434"/>
      <c r="G139" s="465">
        <f t="shared" ref="G139:L139" si="4">G140</f>
        <v>12.96</v>
      </c>
      <c r="H139" s="429" t="str">
        <f t="shared" si="4"/>
        <v>)*(1.67-1)</v>
      </c>
      <c r="I139" s="434">
        <f t="shared" si="4"/>
        <v>1.0669999999999999</v>
      </c>
      <c r="J139" s="435">
        <f t="shared" si="4"/>
        <v>1.53</v>
      </c>
      <c r="K139" s="434">
        <f t="shared" si="4"/>
        <v>24.23</v>
      </c>
      <c r="L139" s="435">
        <f t="shared" si="4"/>
        <v>37.04</v>
      </c>
    </row>
    <row r="140" spans="1:27" ht="14.25" x14ac:dyDescent="0.2">
      <c r="A140" s="463"/>
      <c r="B140" s="463"/>
      <c r="C140" s="464"/>
      <c r="D140" s="464" t="s">
        <v>54</v>
      </c>
      <c r="E140" s="428"/>
      <c r="F140" s="434"/>
      <c r="G140" s="465">
        <f>[89]Source!AN85</f>
        <v>12.96</v>
      </c>
      <c r="H140" s="429" t="s">
        <v>63</v>
      </c>
      <c r="I140" s="434">
        <f>[89]Source!AV85</f>
        <v>1.0669999999999999</v>
      </c>
      <c r="J140" s="435">
        <f>ROUND(F127*G140*I140*(1.67-1), 2)</f>
        <v>1.53</v>
      </c>
      <c r="K140" s="434">
        <f>IF([89]Source!BS85&lt;&gt; 0, [89]Source!BS85, 1)</f>
        <v>24.23</v>
      </c>
      <c r="L140" s="435">
        <f>ROUND(F127*G140*I140*(1.67-1)*K140, 2)</f>
        <v>37.04</v>
      </c>
      <c r="W140" s="422">
        <f>J140</f>
        <v>1.53</v>
      </c>
    </row>
    <row r="141" spans="1:27" ht="14.25" x14ac:dyDescent="0.2">
      <c r="A141" s="463"/>
      <c r="B141" s="463"/>
      <c r="C141" s="464"/>
      <c r="D141" s="464" t="s">
        <v>59</v>
      </c>
      <c r="E141" s="428" t="s">
        <v>57</v>
      </c>
      <c r="F141" s="434">
        <f>175</f>
        <v>175</v>
      </c>
      <c r="G141" s="465"/>
      <c r="H141" s="428"/>
      <c r="I141" s="434"/>
      <c r="J141" s="435">
        <f>ROUND(J140*(F141/100), 2)</f>
        <v>2.68</v>
      </c>
      <c r="K141" s="434">
        <f>157</f>
        <v>157</v>
      </c>
      <c r="L141" s="435">
        <f>ROUND(L140*(K141/100), 2)</f>
        <v>58.15</v>
      </c>
    </row>
    <row r="142" spans="1:27" ht="15" x14ac:dyDescent="0.25">
      <c r="I142" s="678">
        <f>J141+J140</f>
        <v>4.21</v>
      </c>
      <c r="J142" s="678"/>
      <c r="K142" s="678">
        <f>L141+L140</f>
        <v>95.19</v>
      </c>
      <c r="L142" s="678"/>
      <c r="O142" s="462">
        <f>I142</f>
        <v>4.21</v>
      </c>
      <c r="P142" s="462">
        <f>K142</f>
        <v>95.19</v>
      </c>
      <c r="X142" s="422">
        <f>IF([89]Source!BI85&lt;=1,I142, 0)</f>
        <v>4.21</v>
      </c>
      <c r="Y142" s="422">
        <f>IF([89]Source!BI85=2,I142, 0)</f>
        <v>0</v>
      </c>
      <c r="Z142" s="422">
        <f>IF([89]Source!BI85=3,I142, 0)</f>
        <v>0</v>
      </c>
      <c r="AA142" s="422">
        <f>IF([89]Source!BI85=4,I142, 0)</f>
        <v>0</v>
      </c>
    </row>
    <row r="144" spans="1:27" ht="15" x14ac:dyDescent="0.25">
      <c r="A144" s="466"/>
      <c r="B144" s="466"/>
      <c r="C144" s="467"/>
      <c r="D144" s="467" t="s">
        <v>64</v>
      </c>
      <c r="E144" s="468"/>
      <c r="F144" s="469"/>
      <c r="G144" s="470"/>
      <c r="H144" s="430"/>
      <c r="I144" s="678">
        <f>I137+I142</f>
        <v>1414.63</v>
      </c>
      <c r="J144" s="678"/>
      <c r="K144" s="678">
        <f>K137+K142</f>
        <v>13661.55</v>
      </c>
      <c r="L144" s="678"/>
    </row>
    <row r="145" spans="1:27" ht="42.75" x14ac:dyDescent="0.2">
      <c r="A145" s="400">
        <v>12</v>
      </c>
      <c r="B145" s="400" t="str">
        <f>[89]Source!E121</f>
        <v>39</v>
      </c>
      <c r="C145" s="460" t="str">
        <f>[89]Source!F121</f>
        <v>3.22-28-5</v>
      </c>
      <c r="D145" s="460" t="s">
        <v>283</v>
      </c>
      <c r="E145" s="428" t="str">
        <f>[89]Source!H121</f>
        <v>1 т фасонных частей</v>
      </c>
      <c r="F145" s="436">
        <f>[89]Source!I121</f>
        <v>4.6300000000000001E-2</v>
      </c>
      <c r="G145" s="461"/>
      <c r="H145" s="427"/>
      <c r="I145" s="436"/>
      <c r="J145" s="437"/>
      <c r="K145" s="436"/>
      <c r="L145" s="437"/>
      <c r="Q145" s="422">
        <f>ROUND(([89]Source!DN121/100)*ROUND((ROUND(([89]Source!AF121*[89]Source!AV121*[89]Source!I121),2)),2), 2)</f>
        <v>485.85</v>
      </c>
      <c r="R145" s="422">
        <f>[89]Source!X121</f>
        <v>9382.2900000000009</v>
      </c>
      <c r="S145" s="422">
        <f>ROUND(([89]Source!DO121/100)*ROUND((ROUND(([89]Source!AF121*[89]Source!AV121*[89]Source!I121),2)),2), 2)</f>
        <v>412.79</v>
      </c>
      <c r="T145" s="422">
        <f>[89]Source!Y121</f>
        <v>4691.1499999999996</v>
      </c>
      <c r="U145" s="422">
        <f>ROUND((175/100)*ROUND((ROUND(([89]Source!AE121*[89]Source!AV121*[89]Source!I121),2)),2), 2)</f>
        <v>334.37</v>
      </c>
      <c r="V145" s="422">
        <f>ROUND((157/100)*ROUND(ROUND((ROUND(([89]Source!AE121*[89]Source!AV121*[89]Source!I121),2)*[89]Source!BS121),2), 2), 2)</f>
        <v>7268.52</v>
      </c>
    </row>
    <row r="146" spans="1:27" ht="14.25" x14ac:dyDescent="0.2">
      <c r="A146" s="400"/>
      <c r="B146" s="400"/>
      <c r="C146" s="460"/>
      <c r="D146" s="460" t="s">
        <v>52</v>
      </c>
      <c r="E146" s="428"/>
      <c r="F146" s="436"/>
      <c r="G146" s="461">
        <f>[89]Source!AO121</f>
        <v>4427.83</v>
      </c>
      <c r="H146" s="427" t="str">
        <f>[89]Source!DG121</f>
        <v>)*1,67</v>
      </c>
      <c r="I146" s="436">
        <f>[89]Source!AV121</f>
        <v>1.0669999999999999</v>
      </c>
      <c r="J146" s="437">
        <f>ROUND((ROUND(([89]Source!AF121*[89]Source!AV121*[89]Source!I121),2)),2)</f>
        <v>365.3</v>
      </c>
      <c r="K146" s="436">
        <f>IF([89]Source!BA121&lt;&gt; 0, [89]Source!BA121, 1)</f>
        <v>24.23</v>
      </c>
      <c r="L146" s="437">
        <f>[89]Source!S121</f>
        <v>8851.2199999999993</v>
      </c>
      <c r="W146" s="422">
        <f>J146</f>
        <v>365.3</v>
      </c>
    </row>
    <row r="147" spans="1:27" ht="14.25" x14ac:dyDescent="0.2">
      <c r="A147" s="400"/>
      <c r="B147" s="400"/>
      <c r="C147" s="460"/>
      <c r="D147" s="460" t="s">
        <v>53</v>
      </c>
      <c r="E147" s="428"/>
      <c r="F147" s="436"/>
      <c r="G147" s="461">
        <f>[89]Source!AM121</f>
        <v>10124.379999999999</v>
      </c>
      <c r="H147" s="427">
        <f>[89]Source!DE121</f>
        <v>0</v>
      </c>
      <c r="I147" s="436">
        <f>[89]Source!AV121</f>
        <v>1.0669999999999999</v>
      </c>
      <c r="J147" s="437">
        <f>(ROUND((ROUND((([89]Source!ET121)*[89]Source!AV121*[89]Source!I121),2)),2)+ROUND((ROUND((([89]Source!AE121-([89]Source!EU121))*[89]Source!AV121*[89]Source!I121),2)),2))-J156</f>
        <v>500.17</v>
      </c>
      <c r="K147" s="436">
        <f>IF([89]Source!BB121&lt;&gt; 0, [89]Source!BB121, 1)</f>
        <v>9.15</v>
      </c>
      <c r="L147" s="437">
        <f>[89]Source!Q121-L156</f>
        <v>4576.6400000000003</v>
      </c>
    </row>
    <row r="148" spans="1:27" ht="14.25" x14ac:dyDescent="0.2">
      <c r="A148" s="400"/>
      <c r="B148" s="400"/>
      <c r="C148" s="460"/>
      <c r="D148" s="460" t="s">
        <v>54</v>
      </c>
      <c r="E148" s="428"/>
      <c r="F148" s="436"/>
      <c r="G148" s="461">
        <f>[89]Source!AN121</f>
        <v>2315.9499999999998</v>
      </c>
      <c r="H148" s="427">
        <f>[89]Source!DE121</f>
        <v>0</v>
      </c>
      <c r="I148" s="436">
        <f>[89]Source!AV121</f>
        <v>1.0669999999999999</v>
      </c>
      <c r="J148" s="435">
        <f>ROUND((ROUND(([89]Source!AE121*[89]Source!AV121*[89]Source!I121),2)),2)-J157</f>
        <v>114.41</v>
      </c>
      <c r="K148" s="436">
        <f>IF([89]Source!BS121&lt;&gt; 0, [89]Source!BS121, 1)</f>
        <v>24.23</v>
      </c>
      <c r="L148" s="435">
        <f>[89]Source!R121-L157</f>
        <v>2772.24</v>
      </c>
      <c r="W148" s="422">
        <f>J148</f>
        <v>114.41</v>
      </c>
    </row>
    <row r="149" spans="1:27" ht="14.25" x14ac:dyDescent="0.2">
      <c r="A149" s="400"/>
      <c r="B149" s="400"/>
      <c r="C149" s="460"/>
      <c r="D149" s="460" t="s">
        <v>55</v>
      </c>
      <c r="E149" s="428"/>
      <c r="F149" s="436"/>
      <c r="G149" s="461">
        <f>[89]Source!AL121</f>
        <v>647.26</v>
      </c>
      <c r="H149" s="427">
        <f>[89]Source!DD121</f>
        <v>0</v>
      </c>
      <c r="I149" s="436">
        <f>[89]Source!AW121</f>
        <v>1.0029999999999999</v>
      </c>
      <c r="J149" s="437">
        <f>ROUND((ROUND(([89]Source!AC121*[89]Source!AW121*[89]Source!I121),2)),2)</f>
        <v>30.06</v>
      </c>
      <c r="K149" s="436">
        <f>IF([89]Source!BC121&lt;&gt; 0, [89]Source!BC121, 1)</f>
        <v>12.21</v>
      </c>
      <c r="L149" s="437">
        <f>[89]Source!P121</f>
        <v>367.03</v>
      </c>
    </row>
    <row r="150" spans="1:27" ht="14.25" x14ac:dyDescent="0.2">
      <c r="A150" s="400"/>
      <c r="B150" s="400"/>
      <c r="C150" s="460"/>
      <c r="D150" s="460" t="s">
        <v>56</v>
      </c>
      <c r="E150" s="428" t="s">
        <v>57</v>
      </c>
      <c r="F150" s="436">
        <f>[89]Source!DN121</f>
        <v>133</v>
      </c>
      <c r="G150" s="461"/>
      <c r="H150" s="427"/>
      <c r="I150" s="436"/>
      <c r="J150" s="437">
        <f>SUM(Q145:Q149)</f>
        <v>485.85</v>
      </c>
      <c r="K150" s="436">
        <f>[89]Source!BZ121</f>
        <v>106</v>
      </c>
      <c r="L150" s="437">
        <f>SUM(R145:R149)</f>
        <v>9382.2900000000009</v>
      </c>
    </row>
    <row r="151" spans="1:27" ht="14.25" x14ac:dyDescent="0.2">
      <c r="A151" s="400"/>
      <c r="B151" s="400"/>
      <c r="C151" s="460"/>
      <c r="D151" s="460" t="s">
        <v>58</v>
      </c>
      <c r="E151" s="428" t="s">
        <v>57</v>
      </c>
      <c r="F151" s="436">
        <f>[89]Source!DO121</f>
        <v>113</v>
      </c>
      <c r="G151" s="461"/>
      <c r="H151" s="427"/>
      <c r="I151" s="436"/>
      <c r="J151" s="437">
        <f>SUM(S145:S150)</f>
        <v>412.79</v>
      </c>
      <c r="K151" s="436">
        <f>[89]Source!CA121</f>
        <v>53</v>
      </c>
      <c r="L151" s="437">
        <f>SUM(T145:T150)</f>
        <v>4691.1499999999996</v>
      </c>
    </row>
    <row r="152" spans="1:27" ht="14.25" x14ac:dyDescent="0.2">
      <c r="A152" s="400"/>
      <c r="B152" s="400"/>
      <c r="C152" s="460"/>
      <c r="D152" s="460" t="s">
        <v>59</v>
      </c>
      <c r="E152" s="428" t="s">
        <v>57</v>
      </c>
      <c r="F152" s="436">
        <f>175</f>
        <v>175</v>
      </c>
      <c r="G152" s="461"/>
      <c r="H152" s="427"/>
      <c r="I152" s="436"/>
      <c r="J152" s="437">
        <f>SUM(U145:U151)-J158</f>
        <v>200.21</v>
      </c>
      <c r="K152" s="436">
        <f>157</f>
        <v>157</v>
      </c>
      <c r="L152" s="437">
        <f>SUM(V145:V151)-L158</f>
        <v>4352.42</v>
      </c>
    </row>
    <row r="153" spans="1:27" ht="14.25" x14ac:dyDescent="0.2">
      <c r="A153" s="400"/>
      <c r="B153" s="400"/>
      <c r="C153" s="460"/>
      <c r="D153" s="460" t="s">
        <v>60</v>
      </c>
      <c r="E153" s="428" t="s">
        <v>61</v>
      </c>
      <c r="F153" s="436">
        <f>[89]Source!AQ121</f>
        <v>312.7</v>
      </c>
      <c r="G153" s="461"/>
      <c r="H153" s="427">
        <f>[89]Source!DI121</f>
        <v>0</v>
      </c>
      <c r="I153" s="436">
        <f>[89]Source!AV121</f>
        <v>1.0669999999999999</v>
      </c>
      <c r="J153" s="437">
        <f>[89]Source!U121</f>
        <v>15.45</v>
      </c>
      <c r="K153" s="436"/>
      <c r="L153" s="437"/>
    </row>
    <row r="154" spans="1:27" ht="15" x14ac:dyDescent="0.25">
      <c r="I154" s="678">
        <f>J146+J147+J149+J150+J151+J152</f>
        <v>1994.38</v>
      </c>
      <c r="J154" s="678"/>
      <c r="K154" s="678">
        <f>L146+L147+L149+L150+L151+L152</f>
        <v>32220.75</v>
      </c>
      <c r="L154" s="678"/>
      <c r="O154" s="462">
        <f>J146+J147+J149+J150+J151+J152</f>
        <v>1994.38</v>
      </c>
      <c r="P154" s="462">
        <f>L146+L147+L149+L150+L151+L152</f>
        <v>32220.75</v>
      </c>
      <c r="X154" s="422">
        <f>IF([89]Source!BI121&lt;=1,J146+J147+J149+J150+J151+J152-0, 0)</f>
        <v>1994.38</v>
      </c>
      <c r="Y154" s="422">
        <f>IF([89]Source!BI121=2,J146+J147+J149+J150+J151+J152-0, 0)</f>
        <v>0</v>
      </c>
      <c r="Z154" s="422">
        <f>IF([89]Source!BI121=3,J146+J147+J149+J150+J151+J152-0, 0)</f>
        <v>0</v>
      </c>
      <c r="AA154" s="422">
        <f>IF([89]Source!BI121=4,J146+J147+J149+J150+J151+J152,0)</f>
        <v>0</v>
      </c>
    </row>
    <row r="155" spans="1:27" ht="28.5" x14ac:dyDescent="0.2">
      <c r="A155" s="463"/>
      <c r="B155" s="463"/>
      <c r="C155" s="464"/>
      <c r="D155" s="464" t="s">
        <v>62</v>
      </c>
      <c r="E155" s="428"/>
      <c r="F155" s="434"/>
      <c r="G155" s="465"/>
      <c r="H155" s="428"/>
      <c r="I155" s="434"/>
      <c r="J155" s="435"/>
      <c r="K155" s="434"/>
      <c r="L155" s="435"/>
    </row>
    <row r="156" spans="1:27" ht="14.25" x14ac:dyDescent="0.2">
      <c r="A156" s="463"/>
      <c r="B156" s="463"/>
      <c r="C156" s="464"/>
      <c r="D156" s="464" t="s">
        <v>53</v>
      </c>
      <c r="E156" s="428"/>
      <c r="F156" s="434"/>
      <c r="G156" s="465">
        <f t="shared" ref="G156:L156" si="5">G157</f>
        <v>2315.9499999999998</v>
      </c>
      <c r="H156" s="429" t="str">
        <f t="shared" si="5"/>
        <v>)*(1.67-1)</v>
      </c>
      <c r="I156" s="434">
        <f t="shared" si="5"/>
        <v>1.0669999999999999</v>
      </c>
      <c r="J156" s="435">
        <f t="shared" si="5"/>
        <v>76.66</v>
      </c>
      <c r="K156" s="434">
        <f t="shared" si="5"/>
        <v>24.23</v>
      </c>
      <c r="L156" s="435">
        <f t="shared" si="5"/>
        <v>1857.39</v>
      </c>
    </row>
    <row r="157" spans="1:27" ht="14.25" x14ac:dyDescent="0.2">
      <c r="A157" s="463"/>
      <c r="B157" s="463"/>
      <c r="C157" s="464"/>
      <c r="D157" s="464" t="s">
        <v>54</v>
      </c>
      <c r="E157" s="428"/>
      <c r="F157" s="434"/>
      <c r="G157" s="465">
        <f>[89]Source!AN121</f>
        <v>2315.9499999999998</v>
      </c>
      <c r="H157" s="429" t="s">
        <v>63</v>
      </c>
      <c r="I157" s="434">
        <f>[89]Source!AV121</f>
        <v>1.0669999999999999</v>
      </c>
      <c r="J157" s="435">
        <f>ROUND(F145*G157*I157*(1.67-1), 2)</f>
        <v>76.66</v>
      </c>
      <c r="K157" s="434">
        <f>IF([89]Source!BS121&lt;&gt; 0, [89]Source!BS121, 1)</f>
        <v>24.23</v>
      </c>
      <c r="L157" s="435">
        <f>ROUND(F145*G157*I157*(1.67-1)*K157, 2)</f>
        <v>1857.39</v>
      </c>
      <c r="W157" s="422">
        <f>J157</f>
        <v>76.66</v>
      </c>
    </row>
    <row r="158" spans="1:27" ht="14.25" x14ac:dyDescent="0.2">
      <c r="A158" s="463"/>
      <c r="B158" s="463"/>
      <c r="C158" s="464"/>
      <c r="D158" s="464" t="s">
        <v>59</v>
      </c>
      <c r="E158" s="428" t="s">
        <v>57</v>
      </c>
      <c r="F158" s="434">
        <f>175</f>
        <v>175</v>
      </c>
      <c r="G158" s="465"/>
      <c r="H158" s="428"/>
      <c r="I158" s="434"/>
      <c r="J158" s="435">
        <f>ROUND(J157*(F158/100), 2)</f>
        <v>134.16</v>
      </c>
      <c r="K158" s="434">
        <f>157</f>
        <v>157</v>
      </c>
      <c r="L158" s="435">
        <f>ROUND(L157*(K158/100), 2)</f>
        <v>2916.1</v>
      </c>
    </row>
    <row r="159" spans="1:27" ht="15" x14ac:dyDescent="0.25">
      <c r="I159" s="678">
        <f>J158+J157</f>
        <v>210.82</v>
      </c>
      <c r="J159" s="678"/>
      <c r="K159" s="678">
        <f>L158+L157</f>
        <v>4773.49</v>
      </c>
      <c r="L159" s="678"/>
      <c r="O159" s="462">
        <f>I159</f>
        <v>210.82</v>
      </c>
      <c r="P159" s="462">
        <f>K159</f>
        <v>4773.49</v>
      </c>
      <c r="X159" s="422">
        <f>IF([89]Source!BI121&lt;=1,I159, 0)</f>
        <v>210.82</v>
      </c>
      <c r="Y159" s="422">
        <f>IF([89]Source!BI121=2,I159, 0)</f>
        <v>0</v>
      </c>
      <c r="Z159" s="422">
        <f>IF([89]Source!BI121=3,I159, 0)</f>
        <v>0</v>
      </c>
      <c r="AA159" s="422">
        <f>IF([89]Source!BI121=4,I159, 0)</f>
        <v>0</v>
      </c>
    </row>
    <row r="161" spans="1:38" ht="15" x14ac:dyDescent="0.25">
      <c r="A161" s="466"/>
      <c r="B161" s="466"/>
      <c r="C161" s="467"/>
      <c r="D161" s="467" t="s">
        <v>64</v>
      </c>
      <c r="E161" s="468"/>
      <c r="F161" s="469"/>
      <c r="G161" s="470"/>
      <c r="H161" s="430"/>
      <c r="I161" s="678">
        <f>I154+I159</f>
        <v>2205.1999999999998</v>
      </c>
      <c r="J161" s="678"/>
      <c r="K161" s="678">
        <f>K154+K159</f>
        <v>36994.239999999998</v>
      </c>
      <c r="L161" s="678"/>
    </row>
    <row r="162" spans="1:38" ht="82.5" x14ac:dyDescent="0.2">
      <c r="A162" s="400">
        <v>13</v>
      </c>
      <c r="B162" s="400" t="str">
        <f>[89]Source!E123</f>
        <v>40</v>
      </c>
      <c r="C162" s="460" t="str">
        <f>[89]Source!F123</f>
        <v>МКЭ-28-2879/6-5  16.03.2017</v>
      </c>
      <c r="D162" s="460" t="s">
        <v>305</v>
      </c>
      <c r="E162" s="428" t="str">
        <f>[89]Source!H123</f>
        <v>шт.</v>
      </c>
      <c r="F162" s="436">
        <f>[89]Source!I123</f>
        <v>2</v>
      </c>
      <c r="G162" s="437">
        <f>J162/F162</f>
        <v>191.1</v>
      </c>
      <c r="H162" s="427">
        <f>[89]Source!DD123</f>
        <v>0</v>
      </c>
      <c r="I162" s="436">
        <v>1</v>
      </c>
      <c r="J162" s="437">
        <f>L162/K162</f>
        <v>382.2</v>
      </c>
      <c r="K162" s="436">
        <v>5.58</v>
      </c>
      <c r="L162" s="437">
        <v>2132.6799999999998</v>
      </c>
      <c r="Q162" s="422">
        <f>ROUND(([89]Source!DN123/100)*ROUND((ROUND(([89]Source!AF123*[89]Source!AV123*[89]Source!I123),2)),2), 2)</f>
        <v>0</v>
      </c>
      <c r="R162" s="422">
        <f>[89]Source!X123</f>
        <v>0</v>
      </c>
      <c r="S162" s="422">
        <f>ROUND(([89]Source!DO123/100)*ROUND((ROUND(([89]Source!AF123*[89]Source!AV123*[89]Source!I123),2)),2), 2)</f>
        <v>0</v>
      </c>
      <c r="T162" s="422">
        <f>[89]Source!Y123</f>
        <v>0</v>
      </c>
      <c r="U162" s="422">
        <f>ROUND((175/100)*ROUND((ROUND(([89]Source!AE123*[89]Source!AV123*[89]Source!I123),2)),2), 2)</f>
        <v>0</v>
      </c>
      <c r="V162" s="422">
        <f>ROUND((157/100)*ROUND(ROUND((ROUND(([89]Source!AE123*[89]Source!AV123*[89]Source!I123),2)*[89]Source!BS123),2), 2), 2)</f>
        <v>0</v>
      </c>
    </row>
    <row r="163" spans="1:38" ht="15" x14ac:dyDescent="0.25">
      <c r="A163" s="431"/>
      <c r="B163" s="431"/>
      <c r="C163" s="431"/>
      <c r="D163" s="431"/>
      <c r="E163" s="431"/>
      <c r="F163" s="431"/>
      <c r="G163" s="431"/>
      <c r="H163" s="431"/>
      <c r="I163" s="678">
        <f>J162</f>
        <v>382.2</v>
      </c>
      <c r="J163" s="678"/>
      <c r="K163" s="678">
        <f>L162</f>
        <v>2132.6799999999998</v>
      </c>
      <c r="L163" s="678"/>
      <c r="O163" s="462">
        <f>J162</f>
        <v>382.2</v>
      </c>
      <c r="P163" s="462">
        <f>L162</f>
        <v>2132.6799999999998</v>
      </c>
      <c r="X163" s="422">
        <f>IF([89]Source!BI123&lt;=1,J162-0, 0)</f>
        <v>382.2</v>
      </c>
      <c r="Y163" s="422">
        <f>IF([89]Source!BI123=2,J162-0, 0)</f>
        <v>0</v>
      </c>
      <c r="Z163" s="422">
        <f>IF([89]Source!BI123=3,J162-0, 0)</f>
        <v>0</v>
      </c>
      <c r="AA163" s="422">
        <f>IF([89]Source!BI123=4,J162,0)</f>
        <v>0</v>
      </c>
    </row>
    <row r="164" spans="1:38" ht="68.25" x14ac:dyDescent="0.2">
      <c r="A164" s="400">
        <v>14</v>
      </c>
      <c r="B164" s="400" t="str">
        <f>[89]Source!E125</f>
        <v>41</v>
      </c>
      <c r="C164" s="460" t="str">
        <f>[89]Source!F125</f>
        <v>МКЭ-33-1949/7-1  25.10.2017</v>
      </c>
      <c r="D164" s="460" t="s">
        <v>306</v>
      </c>
      <c r="E164" s="428" t="str">
        <f>[89]Source!H125</f>
        <v>шт.</v>
      </c>
      <c r="F164" s="436">
        <f>[89]Source!I125</f>
        <v>4</v>
      </c>
      <c r="G164" s="437">
        <f>J164/F164</f>
        <v>195.96</v>
      </c>
      <c r="H164" s="427">
        <f>[89]Source!DD125</f>
        <v>0</v>
      </c>
      <c r="I164" s="436">
        <v>1</v>
      </c>
      <c r="J164" s="437">
        <f>L164/K164</f>
        <v>783.84</v>
      </c>
      <c r="K164" s="436">
        <v>5.58</v>
      </c>
      <c r="L164" s="437">
        <v>4373.83</v>
      </c>
      <c r="Q164" s="422">
        <f>ROUND(([89]Source!DN125/100)*ROUND((ROUND(([89]Source!AF125*[89]Source!AV125*[89]Source!I125),2)),2), 2)</f>
        <v>0</v>
      </c>
      <c r="R164" s="422">
        <f>[89]Source!X125</f>
        <v>0</v>
      </c>
      <c r="S164" s="422">
        <f>ROUND(([89]Source!DO125/100)*ROUND((ROUND(([89]Source!AF125*[89]Source!AV125*[89]Source!I125),2)),2), 2)</f>
        <v>0</v>
      </c>
      <c r="T164" s="422">
        <f>[89]Source!Y125</f>
        <v>0</v>
      </c>
      <c r="U164" s="422">
        <f>ROUND((175/100)*ROUND((ROUND(([89]Source!AE125*[89]Source!AV125*[89]Source!I125),2)),2), 2)</f>
        <v>0</v>
      </c>
      <c r="V164" s="422">
        <f>ROUND((157/100)*ROUND(ROUND((ROUND(([89]Source!AE125*[89]Source!AV125*[89]Source!I125),2)*[89]Source!BS125),2), 2), 2)</f>
        <v>0</v>
      </c>
    </row>
    <row r="165" spans="1:38" ht="15" x14ac:dyDescent="0.25">
      <c r="A165" s="431"/>
      <c r="B165" s="431"/>
      <c r="C165" s="431"/>
      <c r="D165" s="431"/>
      <c r="E165" s="431"/>
      <c r="F165" s="431"/>
      <c r="G165" s="431"/>
      <c r="H165" s="431"/>
      <c r="I165" s="678">
        <f>J164</f>
        <v>783.84</v>
      </c>
      <c r="J165" s="678"/>
      <c r="K165" s="678">
        <f>L164</f>
        <v>4373.83</v>
      </c>
      <c r="L165" s="678"/>
      <c r="O165" s="462">
        <f>J164</f>
        <v>783.84</v>
      </c>
      <c r="P165" s="462">
        <f>L164</f>
        <v>4373.83</v>
      </c>
      <c r="X165" s="422">
        <f>IF([89]Source!BI125&lt;=1,J164-0, 0)</f>
        <v>783.84</v>
      </c>
      <c r="Y165" s="422">
        <f>IF([89]Source!BI125=2,J164-0, 0)</f>
        <v>0</v>
      </c>
      <c r="Z165" s="422">
        <f>IF([89]Source!BI125=3,J164-0, 0)</f>
        <v>0</v>
      </c>
      <c r="AA165" s="422">
        <f>IF([89]Source!BI125=4,J164,0)</f>
        <v>0</v>
      </c>
    </row>
    <row r="166" spans="1:38" ht="68.25" x14ac:dyDescent="0.2">
      <c r="A166" s="400">
        <v>15</v>
      </c>
      <c r="B166" s="400" t="str">
        <f>[89]Source!E127</f>
        <v>42</v>
      </c>
      <c r="C166" s="460" t="str">
        <f>[89]Source!F127</f>
        <v>МКЭ-28-2289/6-9  08.12.2016</v>
      </c>
      <c r="D166" s="460" t="s">
        <v>307</v>
      </c>
      <c r="E166" s="428" t="str">
        <f>[89]Source!H127</f>
        <v>шт.</v>
      </c>
      <c r="F166" s="436">
        <f>[89]Source!I127</f>
        <v>35</v>
      </c>
      <c r="G166" s="437">
        <f>J166/F166</f>
        <v>130.62</v>
      </c>
      <c r="H166" s="427">
        <f>[89]Source!DD127</f>
        <v>0</v>
      </c>
      <c r="I166" s="436">
        <v>1</v>
      </c>
      <c r="J166" s="437">
        <f>L166/K166</f>
        <v>4571.7</v>
      </c>
      <c r="K166" s="436">
        <v>5.58</v>
      </c>
      <c r="L166" s="437">
        <v>25510.09</v>
      </c>
      <c r="Q166" s="422">
        <f>ROUND(([89]Source!DN127/100)*ROUND((ROUND(([89]Source!AF127*[89]Source!AV127*[89]Source!I127),2)),2), 2)</f>
        <v>0</v>
      </c>
      <c r="R166" s="422">
        <f>[89]Source!X127</f>
        <v>0</v>
      </c>
      <c r="S166" s="422">
        <f>ROUND(([89]Source!DO127/100)*ROUND((ROUND(([89]Source!AF127*[89]Source!AV127*[89]Source!I127),2)),2), 2)</f>
        <v>0</v>
      </c>
      <c r="T166" s="422">
        <f>[89]Source!Y127</f>
        <v>0</v>
      </c>
      <c r="U166" s="422">
        <f>ROUND((175/100)*ROUND((ROUND(([89]Source!AE127*[89]Source!AV127*[89]Source!I127),2)),2), 2)</f>
        <v>0</v>
      </c>
      <c r="V166" s="422">
        <f>ROUND((157/100)*ROUND(ROUND((ROUND(([89]Source!AE127*[89]Source!AV127*[89]Source!I127),2)*[89]Source!BS127),2), 2), 2)</f>
        <v>0</v>
      </c>
    </row>
    <row r="167" spans="1:38" ht="15" x14ac:dyDescent="0.25">
      <c r="A167" s="431"/>
      <c r="B167" s="431"/>
      <c r="C167" s="431"/>
      <c r="D167" s="431"/>
      <c r="E167" s="431"/>
      <c r="F167" s="431"/>
      <c r="G167" s="431"/>
      <c r="H167" s="431"/>
      <c r="I167" s="678">
        <f>J166</f>
        <v>4571.7</v>
      </c>
      <c r="J167" s="678"/>
      <c r="K167" s="678">
        <f>L166</f>
        <v>25510.09</v>
      </c>
      <c r="L167" s="678"/>
      <c r="O167" s="462">
        <f>J166</f>
        <v>4571.7</v>
      </c>
      <c r="P167" s="462">
        <f>L166</f>
        <v>25510.09</v>
      </c>
      <c r="X167" s="422">
        <f>IF([89]Source!BI127&lt;=1,J166-0, 0)</f>
        <v>4571.7</v>
      </c>
      <c r="Y167" s="422">
        <f>IF([89]Source!BI127=2,J166-0, 0)</f>
        <v>0</v>
      </c>
      <c r="Z167" s="422">
        <f>IF([89]Source!BI127=3,J166-0, 0)</f>
        <v>0</v>
      </c>
      <c r="AA167" s="422">
        <f>IF([89]Source!BI127=4,J166,0)</f>
        <v>0</v>
      </c>
    </row>
    <row r="168" spans="1:38" ht="68.25" x14ac:dyDescent="0.2">
      <c r="A168" s="400">
        <v>16</v>
      </c>
      <c r="B168" s="400" t="str">
        <f>[89]Source!E129</f>
        <v>43</v>
      </c>
      <c r="C168" s="460" t="str">
        <f>[89]Source!F129</f>
        <v>МКЭ-28-2289/6-9  08.12.2016</v>
      </c>
      <c r="D168" s="460" t="s">
        <v>307</v>
      </c>
      <c r="E168" s="428" t="str">
        <f>[89]Source!H129</f>
        <v>шт.</v>
      </c>
      <c r="F168" s="436">
        <f>[89]Source!I129</f>
        <v>2</v>
      </c>
      <c r="G168" s="437">
        <f>J168/F168</f>
        <v>130.62</v>
      </c>
      <c r="H168" s="427">
        <f>[89]Source!DD129</f>
        <v>0</v>
      </c>
      <c r="I168" s="436">
        <v>1</v>
      </c>
      <c r="J168" s="437">
        <f>L168/K168</f>
        <v>261.24</v>
      </c>
      <c r="K168" s="436">
        <v>5.58</v>
      </c>
      <c r="L168" s="437">
        <v>1457.72</v>
      </c>
      <c r="Q168" s="422">
        <f>ROUND(([89]Source!DN129/100)*ROUND((ROUND(([89]Source!AF129*[89]Source!AV129*[89]Source!I129),2)),2), 2)</f>
        <v>0</v>
      </c>
      <c r="R168" s="422">
        <f>[89]Source!X129</f>
        <v>0</v>
      </c>
      <c r="S168" s="422">
        <f>ROUND(([89]Source!DO129/100)*ROUND((ROUND(([89]Source!AF129*[89]Source!AV129*[89]Source!I129),2)),2), 2)</f>
        <v>0</v>
      </c>
      <c r="T168" s="422">
        <f>[89]Source!Y129</f>
        <v>0</v>
      </c>
      <c r="U168" s="422">
        <f>ROUND((175/100)*ROUND((ROUND(([89]Source!AE129*[89]Source!AV129*[89]Source!I129),2)),2), 2)</f>
        <v>0</v>
      </c>
      <c r="V168" s="422">
        <f>ROUND((157/100)*ROUND(ROUND((ROUND(([89]Source!AE129*[89]Source!AV129*[89]Source!I129),2)*[89]Source!BS129),2), 2), 2)</f>
        <v>0</v>
      </c>
    </row>
    <row r="169" spans="1:38" ht="15" x14ac:dyDescent="0.25">
      <c r="A169" s="431"/>
      <c r="B169" s="431"/>
      <c r="C169" s="431"/>
      <c r="D169" s="431"/>
      <c r="E169" s="431"/>
      <c r="F169" s="431"/>
      <c r="G169" s="431"/>
      <c r="H169" s="431"/>
      <c r="I169" s="678">
        <f>J168</f>
        <v>261.24</v>
      </c>
      <c r="J169" s="678"/>
      <c r="K169" s="678">
        <f>L168</f>
        <v>1457.72</v>
      </c>
      <c r="L169" s="678"/>
      <c r="O169" s="462">
        <f>J168</f>
        <v>261.24</v>
      </c>
      <c r="P169" s="462">
        <f>L168</f>
        <v>1457.72</v>
      </c>
      <c r="X169" s="422">
        <f>IF([89]Source!BI129&lt;=1,J168-0, 0)</f>
        <v>261.24</v>
      </c>
      <c r="Y169" s="422">
        <f>IF([89]Source!BI129=2,J168-0, 0)</f>
        <v>0</v>
      </c>
      <c r="Z169" s="422">
        <f>IF([89]Source!BI129=3,J168-0, 0)</f>
        <v>0</v>
      </c>
      <c r="AA169" s="422">
        <f>IF([89]Source!BI129=4,J168,0)</f>
        <v>0</v>
      </c>
    </row>
    <row r="170" spans="1:38" ht="68.25" x14ac:dyDescent="0.2">
      <c r="A170" s="400">
        <v>17</v>
      </c>
      <c r="B170" s="400" t="str">
        <f>[89]Source!E131</f>
        <v>44</v>
      </c>
      <c r="C170" s="460" t="str">
        <f>[89]Source!F131</f>
        <v>МКЭ-33-1949/7-1  25.10.2017</v>
      </c>
      <c r="D170" s="460" t="s">
        <v>308</v>
      </c>
      <c r="E170" s="428" t="str">
        <f>[89]Source!H131</f>
        <v>шт.</v>
      </c>
      <c r="F170" s="436">
        <f>[89]Source!I131</f>
        <v>2</v>
      </c>
      <c r="G170" s="437">
        <f>J170/F170</f>
        <v>74.209999999999994</v>
      </c>
      <c r="H170" s="427">
        <f>[89]Source!DD131</f>
        <v>0</v>
      </c>
      <c r="I170" s="436">
        <v>1</v>
      </c>
      <c r="J170" s="437">
        <f>L170/K170</f>
        <v>148.41999999999999</v>
      </c>
      <c r="K170" s="436">
        <v>5.58</v>
      </c>
      <c r="L170" s="437">
        <v>828.18</v>
      </c>
      <c r="Q170" s="422">
        <f>ROUND(([89]Source!DN131/100)*ROUND((ROUND(([89]Source!AF131*[89]Source!AV131*[89]Source!I131),2)),2), 2)</f>
        <v>0</v>
      </c>
      <c r="R170" s="422">
        <f>[89]Source!X131</f>
        <v>0</v>
      </c>
      <c r="S170" s="422">
        <f>ROUND(([89]Source!DO131/100)*ROUND((ROUND(([89]Source!AF131*[89]Source!AV131*[89]Source!I131),2)),2), 2)</f>
        <v>0</v>
      </c>
      <c r="T170" s="422">
        <f>[89]Source!Y131</f>
        <v>0</v>
      </c>
      <c r="U170" s="422">
        <f>ROUND((175/100)*ROUND((ROUND(([89]Source!AE131*[89]Source!AV131*[89]Source!I131),2)),2), 2)</f>
        <v>0</v>
      </c>
      <c r="V170" s="422">
        <f>ROUND((157/100)*ROUND(ROUND((ROUND(([89]Source!AE131*[89]Source!AV131*[89]Source!I131),2)*[89]Source!BS131),2), 2), 2)</f>
        <v>0</v>
      </c>
    </row>
    <row r="171" spans="1:38" ht="15" x14ac:dyDescent="0.25">
      <c r="A171" s="431"/>
      <c r="B171" s="431"/>
      <c r="C171" s="431"/>
      <c r="D171" s="431"/>
      <c r="E171" s="431"/>
      <c r="F171" s="431"/>
      <c r="G171" s="431"/>
      <c r="H171" s="431"/>
      <c r="I171" s="678">
        <f>J170</f>
        <v>148.41999999999999</v>
      </c>
      <c r="J171" s="678"/>
      <c r="K171" s="678">
        <f>L170</f>
        <v>828.18</v>
      </c>
      <c r="L171" s="678"/>
      <c r="O171" s="462">
        <f>J170</f>
        <v>148.41999999999999</v>
      </c>
      <c r="P171" s="462">
        <f>L170</f>
        <v>828.18</v>
      </c>
      <c r="X171" s="422">
        <f>IF([89]Source!BI131&lt;=1,J170-0, 0)</f>
        <v>148.41999999999999</v>
      </c>
      <c r="Y171" s="422">
        <f>IF([89]Source!BI131=2,J170-0, 0)</f>
        <v>0</v>
      </c>
      <c r="Z171" s="422">
        <f>IF([89]Source!BI131=3,J170-0, 0)</f>
        <v>0</v>
      </c>
      <c r="AA171" s="422">
        <f>IF([89]Source!BI131=4,J170,0)</f>
        <v>0</v>
      </c>
    </row>
    <row r="173" spans="1:38" ht="30" x14ac:dyDescent="0.25">
      <c r="A173" s="677" t="str">
        <f>CONCATENATE("Итого по разделу: ",IF([89]Source!G189&lt;&gt;"Новый раздел", [89]Source!G189, ""))</f>
        <v>Итого по разделу: Хозяйственно-питьевой, производственный и противопожарный водопровод (В1)</v>
      </c>
      <c r="B173" s="677"/>
      <c r="C173" s="677"/>
      <c r="D173" s="677"/>
      <c r="E173" s="677"/>
      <c r="F173" s="677"/>
      <c r="G173" s="677"/>
      <c r="H173" s="677"/>
      <c r="I173" s="675">
        <f>SUM(O50:O172)</f>
        <v>112312.15</v>
      </c>
      <c r="J173" s="676"/>
      <c r="K173" s="675">
        <f>SUM(P50:P172)</f>
        <v>596752.92000000004</v>
      </c>
      <c r="L173" s="676"/>
      <c r="AL173" s="471" t="str">
        <f>CONCATENATE("Итого по разделу: ",IF([89]Source!G189&lt;&gt;"Новый раздел", [89]Source!G189, ""))</f>
        <v>Итого по разделу: Хозяйственно-питьевой, производственный и противопожарный водопровод (В1)</v>
      </c>
    </row>
    <row r="174" spans="1:38" hidden="1" x14ac:dyDescent="0.2">
      <c r="A174" s="422" t="s">
        <v>67</v>
      </c>
      <c r="J174" s="422">
        <f>SUM(AC50:AC173)</f>
        <v>0</v>
      </c>
      <c r="K174" s="422">
        <f>SUM(AD50:AD173)</f>
        <v>0</v>
      </c>
    </row>
    <row r="175" spans="1:38" hidden="1" x14ac:dyDescent="0.2">
      <c r="A175" s="422" t="s">
        <v>68</v>
      </c>
      <c r="J175" s="422">
        <f>SUM(AE50:AE174)</f>
        <v>0</v>
      </c>
      <c r="K175" s="422">
        <f>SUM(AF50:AF174)</f>
        <v>0</v>
      </c>
    </row>
    <row r="177" spans="1:256" hidden="1" x14ac:dyDescent="0.2">
      <c r="A177" s="422" t="s">
        <v>67</v>
      </c>
      <c r="J177" s="422" t="e">
        <f>SUM(#REF!)</f>
        <v>#REF!</v>
      </c>
      <c r="K177" s="422" t="e">
        <f>SUM(#REF!)</f>
        <v>#REF!</v>
      </c>
    </row>
    <row r="178" spans="1:256" hidden="1" x14ac:dyDescent="0.2">
      <c r="A178" s="422" t="s">
        <v>68</v>
      </c>
      <c r="J178" s="422">
        <f>SUM(AE177:AE177)</f>
        <v>0</v>
      </c>
      <c r="K178" s="422">
        <f>SUM(AF177:AF177)</f>
        <v>0</v>
      </c>
    </row>
    <row r="180" spans="1:256" ht="15" x14ac:dyDescent="0.25">
      <c r="A180" s="677" t="str">
        <f>CONCATENATE("Итого по локальной смете: ",IF([89]Source!G526&lt;&gt;"Новая локальная смета", [89]Source!G526, ""))</f>
        <v>Итого по локальной смете: Инженерные системы ТПП. Водоснабжение и водоотведение</v>
      </c>
      <c r="B180" s="677"/>
      <c r="C180" s="677"/>
      <c r="D180" s="677"/>
      <c r="E180" s="677"/>
      <c r="F180" s="677"/>
      <c r="G180" s="677"/>
      <c r="H180" s="677"/>
      <c r="I180" s="675">
        <f>SUM(O48:O179)</f>
        <v>112312.15</v>
      </c>
      <c r="J180" s="676"/>
      <c r="K180" s="675">
        <f>SUM(P48:P179)</f>
        <v>596752.92000000004</v>
      </c>
      <c r="L180" s="676"/>
      <c r="AL180" s="471" t="str">
        <f>CONCATENATE("Итого по локальной смете: ",IF([89]Source!G526&lt;&gt;"Новая локальная смета", [89]Source!G526, ""))</f>
        <v>Итого по локальной смете: Инженерные системы ТПП. Водоснабжение и водоотведение</v>
      </c>
    </row>
    <row r="181" spans="1:256" hidden="1" x14ac:dyDescent="0.2">
      <c r="A181" s="422" t="s">
        <v>67</v>
      </c>
      <c r="J181" s="422">
        <f>SUM(AC48:AC180)</f>
        <v>0</v>
      </c>
      <c r="K181" s="422">
        <f>SUM(AD48:AD180)</f>
        <v>0</v>
      </c>
    </row>
    <row r="182" spans="1:256" hidden="1" x14ac:dyDescent="0.2">
      <c r="A182" s="422" t="s">
        <v>68</v>
      </c>
      <c r="J182" s="422">
        <f>SUM(AE48:AE181)</f>
        <v>0</v>
      </c>
      <c r="K182" s="422">
        <f>SUM(AF48:AF181)</f>
        <v>0</v>
      </c>
    </row>
    <row r="183" spans="1:256" ht="14.25" x14ac:dyDescent="0.2">
      <c r="D183" s="433" t="str">
        <f>[89]Source!H532</f>
        <v>Стоимость материалов (всего)</v>
      </c>
      <c r="E183" s="433"/>
      <c r="F183" s="433"/>
      <c r="G183" s="433"/>
      <c r="H183" s="433"/>
      <c r="I183" s="674">
        <f>SUMIF(D40:D174,"МР",J40:J174)+J170+J168+J166+J164+J162+J132+J114+J96+J89+J70+J68</f>
        <v>99741.49</v>
      </c>
      <c r="J183" s="671"/>
      <c r="K183" s="672">
        <f>IF([89]Source!P532=0, "", [89]Source!P532)</f>
        <v>370061.78</v>
      </c>
      <c r="L183" s="672"/>
    </row>
    <row r="184" spans="1:256" ht="14.25" x14ac:dyDescent="0.2">
      <c r="D184" s="433" t="str">
        <f>[89]Source!H540</f>
        <v>ЗП машинистов</v>
      </c>
      <c r="E184" s="433"/>
      <c r="F184" s="433"/>
      <c r="G184" s="433"/>
      <c r="H184" s="433"/>
      <c r="I184" s="671">
        <f>SUMIF(D40:D175,"в т.ч. ЗПМ",J40:J175)</f>
        <v>287.37</v>
      </c>
      <c r="J184" s="671"/>
      <c r="K184" s="672">
        <f>IF([89]Source!P540=0, "", [89]Source!P540)</f>
        <v>6962.99</v>
      </c>
      <c r="L184" s="672"/>
    </row>
    <row r="185" spans="1:256" ht="14.25" x14ac:dyDescent="0.2">
      <c r="D185" s="433" t="str">
        <f>[89]Source!H541</f>
        <v>Основная ЗП рабочих</v>
      </c>
      <c r="E185" s="433"/>
      <c r="F185" s="433"/>
      <c r="G185" s="433"/>
      <c r="H185" s="433"/>
      <c r="I185" s="671">
        <f>SUMIF(D31:D176,"ЗП",J31:J176)</f>
        <v>3433.07</v>
      </c>
      <c r="J185" s="671"/>
      <c r="K185" s="672">
        <f>IF([89]Source!P541=0, "", [89]Source!P541)</f>
        <v>83183.289999999994</v>
      </c>
      <c r="L185" s="672"/>
    </row>
    <row r="186" spans="1:256" ht="14.25" x14ac:dyDescent="0.2">
      <c r="D186" s="433" t="str">
        <f>[89]Source!H551</f>
        <v>Накладные расходы</v>
      </c>
      <c r="E186" s="433"/>
      <c r="F186" s="433"/>
      <c r="G186" s="433"/>
      <c r="H186" s="433"/>
      <c r="I186" s="671">
        <f>SUMIF(D32:D177,"НР от ЗП",J32:J177)</f>
        <v>4320.57</v>
      </c>
      <c r="J186" s="671"/>
      <c r="K186" s="672">
        <f>IF([89]Source!P551=0, "", [89]Source!P551)</f>
        <v>83714.36</v>
      </c>
      <c r="L186" s="672"/>
    </row>
    <row r="187" spans="1:256" ht="14.25" x14ac:dyDescent="0.2">
      <c r="D187" s="433" t="str">
        <f>[89]Source!H552</f>
        <v>Сметная прибыль</v>
      </c>
      <c r="E187" s="433"/>
      <c r="F187" s="433"/>
      <c r="G187" s="433"/>
      <c r="H187" s="433"/>
      <c r="I187" s="671">
        <f>SUMIF(D33:D178,"СП от ЗП",J33:J178)</f>
        <v>3296.49</v>
      </c>
      <c r="J187" s="671"/>
      <c r="K187" s="672">
        <f>IF([89]Source!P552=0, "", [89]Source!P552)</f>
        <v>38140.589999999997</v>
      </c>
      <c r="L187" s="672"/>
    </row>
    <row r="189" spans="1:256" ht="15" x14ac:dyDescent="0.25">
      <c r="A189" s="237"/>
      <c r="B189" s="237"/>
      <c r="C189" s="237"/>
      <c r="D189" s="623" t="s">
        <v>191</v>
      </c>
      <c r="E189" s="623"/>
      <c r="F189" s="623"/>
      <c r="G189" s="623"/>
      <c r="H189" s="623"/>
      <c r="I189" s="368"/>
      <c r="J189" s="369">
        <v>0</v>
      </c>
      <c r="K189" s="369"/>
      <c r="L189" s="369">
        <v>0</v>
      </c>
      <c r="M189" s="370" t="e">
        <v>#REF!</v>
      </c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371"/>
      <c r="Y189" s="371"/>
      <c r="Z189" s="371"/>
      <c r="AA189" s="371"/>
      <c r="AB189" s="371"/>
      <c r="AC189" s="371"/>
      <c r="AD189" s="371"/>
      <c r="AE189" s="371"/>
      <c r="AF189" s="371"/>
      <c r="AG189" s="371"/>
      <c r="AH189" s="371"/>
      <c r="AI189" s="371"/>
      <c r="AJ189" s="371"/>
      <c r="AK189" s="371"/>
      <c r="AL189" s="371"/>
      <c r="AM189" s="371"/>
      <c r="AN189" s="371"/>
      <c r="AO189" s="371"/>
      <c r="AP189" s="371"/>
      <c r="AQ189" s="371"/>
      <c r="AR189" s="371"/>
      <c r="AS189" s="371"/>
      <c r="AT189" s="371"/>
      <c r="AU189" s="371"/>
      <c r="AV189" s="371"/>
      <c r="AW189" s="371"/>
      <c r="AX189" s="371"/>
      <c r="AY189" s="371"/>
      <c r="AZ189" s="371"/>
      <c r="BA189" s="371"/>
      <c r="BB189" s="371"/>
      <c r="BC189" s="371"/>
      <c r="BD189" s="371"/>
      <c r="BE189" s="371"/>
      <c r="BF189" s="371"/>
      <c r="BG189" s="371"/>
      <c r="BH189" s="371"/>
      <c r="BI189" s="371"/>
      <c r="BJ189" s="371"/>
      <c r="BK189" s="371"/>
      <c r="BL189" s="371"/>
      <c r="BM189" s="371"/>
      <c r="BN189" s="371"/>
      <c r="BO189" s="371"/>
      <c r="BP189" s="371"/>
      <c r="BQ189" s="371"/>
      <c r="BR189" s="371"/>
      <c r="BS189" s="371"/>
      <c r="BT189" s="371"/>
      <c r="BU189" s="371"/>
      <c r="BV189" s="371"/>
      <c r="BW189" s="371"/>
      <c r="BX189" s="371"/>
      <c r="BY189" s="371"/>
      <c r="BZ189" s="371"/>
      <c r="CA189" s="371"/>
      <c r="CB189" s="371"/>
      <c r="CC189" s="371"/>
      <c r="CD189" s="371"/>
      <c r="CE189" s="371"/>
      <c r="CF189" s="371"/>
      <c r="CG189" s="371"/>
      <c r="CH189" s="371"/>
      <c r="CI189" s="371"/>
      <c r="CJ189" s="371"/>
      <c r="CK189" s="371"/>
      <c r="CL189" s="371"/>
      <c r="CM189" s="371"/>
      <c r="CN189" s="371"/>
      <c r="CO189" s="371"/>
      <c r="CP189" s="371"/>
      <c r="CQ189" s="371"/>
      <c r="CR189" s="371"/>
      <c r="CS189" s="371"/>
      <c r="CT189" s="371"/>
      <c r="CU189" s="371"/>
      <c r="CV189" s="371"/>
      <c r="CW189" s="371"/>
      <c r="CX189" s="371"/>
      <c r="CY189" s="371"/>
      <c r="CZ189" s="371"/>
      <c r="DA189" s="371"/>
      <c r="DB189" s="371"/>
      <c r="DC189" s="371"/>
      <c r="DD189" s="371"/>
      <c r="DE189" s="371"/>
      <c r="DF189" s="371"/>
      <c r="DG189" s="371"/>
      <c r="DH189" s="371"/>
      <c r="DI189" s="371"/>
      <c r="DJ189" s="371"/>
      <c r="DK189" s="371"/>
      <c r="DL189" s="371"/>
      <c r="DM189" s="371"/>
      <c r="DN189" s="371"/>
      <c r="DO189" s="371"/>
      <c r="DP189" s="371"/>
      <c r="DQ189" s="371"/>
      <c r="DR189" s="371"/>
      <c r="DS189" s="371"/>
      <c r="DT189" s="371"/>
      <c r="DU189" s="371"/>
      <c r="DV189" s="371"/>
      <c r="DW189" s="371"/>
      <c r="DX189" s="371"/>
      <c r="DY189" s="371"/>
      <c r="DZ189" s="371"/>
      <c r="EA189" s="371"/>
      <c r="EB189" s="371"/>
      <c r="EC189" s="371"/>
      <c r="ED189" s="371"/>
      <c r="EE189" s="371"/>
      <c r="EF189" s="371"/>
      <c r="EG189" s="371"/>
      <c r="EH189" s="371"/>
      <c r="EI189" s="371"/>
      <c r="EJ189" s="371"/>
      <c r="EK189" s="371"/>
      <c r="EL189" s="371"/>
      <c r="EM189" s="371"/>
      <c r="EN189" s="371"/>
      <c r="EO189" s="371"/>
      <c r="EP189" s="371"/>
      <c r="EQ189" s="371"/>
      <c r="ER189" s="371"/>
      <c r="ES189" s="371"/>
      <c r="ET189" s="371"/>
      <c r="EU189" s="371"/>
      <c r="EV189" s="371"/>
      <c r="EW189" s="371"/>
      <c r="EX189" s="371"/>
      <c r="EY189" s="371"/>
      <c r="EZ189" s="371"/>
      <c r="FA189" s="371"/>
      <c r="FB189" s="371"/>
      <c r="FC189" s="371"/>
      <c r="FD189" s="371"/>
      <c r="FE189" s="371"/>
      <c r="FF189" s="371"/>
      <c r="FG189" s="371"/>
      <c r="FH189" s="371"/>
      <c r="FI189" s="371"/>
      <c r="FJ189" s="371"/>
      <c r="FK189" s="371"/>
      <c r="FL189" s="371"/>
      <c r="FM189" s="371"/>
      <c r="FN189" s="371"/>
      <c r="FO189" s="371"/>
      <c r="FP189" s="371"/>
      <c r="FQ189" s="371"/>
      <c r="FR189" s="371"/>
      <c r="FS189" s="371"/>
      <c r="FT189" s="371"/>
      <c r="FU189" s="371"/>
      <c r="FV189" s="371"/>
      <c r="FW189" s="371"/>
      <c r="FX189" s="371"/>
      <c r="FY189" s="371"/>
      <c r="FZ189" s="371"/>
      <c r="GA189" s="371"/>
      <c r="GB189" s="371"/>
      <c r="GC189" s="371"/>
      <c r="GD189" s="371"/>
      <c r="GE189" s="371"/>
      <c r="GF189" s="371"/>
      <c r="GG189" s="371"/>
      <c r="GH189" s="371"/>
      <c r="GI189" s="371"/>
      <c r="GJ189" s="371"/>
      <c r="GK189" s="371"/>
      <c r="GL189" s="371"/>
      <c r="GM189" s="371"/>
      <c r="GN189" s="371"/>
      <c r="GO189" s="371"/>
      <c r="GP189" s="371"/>
      <c r="GQ189" s="371"/>
      <c r="GR189" s="371"/>
      <c r="GS189" s="371"/>
      <c r="GT189" s="371"/>
      <c r="GU189" s="371"/>
      <c r="GV189" s="371"/>
      <c r="GW189" s="371"/>
      <c r="GX189" s="371"/>
      <c r="GY189" s="371"/>
      <c r="GZ189" s="371"/>
      <c r="HA189" s="371"/>
      <c r="HB189" s="371"/>
      <c r="HC189" s="371"/>
      <c r="HD189" s="371"/>
      <c r="HE189" s="371"/>
      <c r="HF189" s="371"/>
      <c r="HG189" s="371"/>
      <c r="HH189" s="371"/>
      <c r="HI189" s="371"/>
      <c r="HJ189" s="371"/>
      <c r="HK189" s="371"/>
      <c r="HL189" s="371"/>
      <c r="HM189" s="371"/>
      <c r="HN189" s="371"/>
      <c r="HO189" s="371"/>
      <c r="HP189" s="371"/>
      <c r="HQ189" s="371"/>
      <c r="HR189" s="371"/>
      <c r="HS189" s="371"/>
      <c r="HT189" s="371"/>
      <c r="HU189" s="371"/>
      <c r="HV189" s="371"/>
      <c r="HW189" s="371"/>
      <c r="HX189" s="371"/>
      <c r="HY189" s="371"/>
      <c r="HZ189" s="371"/>
      <c r="IA189" s="371"/>
      <c r="IB189" s="371"/>
      <c r="IC189" s="371"/>
      <c r="ID189" s="371"/>
      <c r="IE189" s="371"/>
      <c r="IF189" s="371"/>
      <c r="IG189" s="371"/>
      <c r="IH189" s="371"/>
      <c r="II189" s="371"/>
      <c r="IJ189" s="371"/>
      <c r="IK189" s="371"/>
      <c r="IL189" s="371"/>
      <c r="IM189" s="371"/>
      <c r="IN189" s="371"/>
      <c r="IO189" s="371"/>
      <c r="IP189" s="371"/>
      <c r="IQ189" s="371"/>
      <c r="IR189" s="371"/>
      <c r="IS189" s="371"/>
      <c r="IT189" s="371"/>
      <c r="IU189" s="371"/>
      <c r="IV189" s="371"/>
    </row>
    <row r="190" spans="1:256" ht="15" x14ac:dyDescent="0.25">
      <c r="A190" s="239"/>
      <c r="B190" s="239"/>
      <c r="C190" s="239"/>
      <c r="D190" s="623" t="s">
        <v>192</v>
      </c>
      <c r="E190" s="623"/>
      <c r="F190" s="623"/>
      <c r="G190" s="623"/>
      <c r="H190" s="623"/>
      <c r="I190" s="368"/>
      <c r="J190" s="369">
        <v>0</v>
      </c>
      <c r="K190" s="372"/>
      <c r="L190" s="369">
        <v>0</v>
      </c>
      <c r="M190" s="370"/>
      <c r="N190" s="373"/>
      <c r="O190" s="373"/>
      <c r="P190" s="373"/>
      <c r="Q190" s="373"/>
      <c r="R190" s="373"/>
      <c r="S190" s="373"/>
      <c r="T190" s="373"/>
      <c r="U190" s="373"/>
      <c r="V190" s="373"/>
      <c r="W190" s="373"/>
      <c r="X190" s="373"/>
      <c r="Y190" s="373"/>
      <c r="Z190" s="373"/>
      <c r="AA190" s="373"/>
      <c r="AB190" s="373"/>
      <c r="AC190" s="373"/>
      <c r="AD190" s="373"/>
      <c r="AE190" s="373"/>
      <c r="AF190" s="373"/>
      <c r="AG190" s="373"/>
      <c r="AH190" s="373"/>
      <c r="AI190" s="373"/>
      <c r="AJ190" s="373"/>
      <c r="AK190" s="373"/>
      <c r="AL190" s="373"/>
      <c r="AM190" s="373"/>
      <c r="AN190" s="373"/>
      <c r="AO190" s="373"/>
      <c r="AP190" s="373"/>
      <c r="AQ190" s="373"/>
      <c r="AR190" s="373"/>
      <c r="AS190" s="373"/>
      <c r="AT190" s="373"/>
      <c r="AU190" s="373"/>
      <c r="AV190" s="373"/>
      <c r="AW190" s="373"/>
      <c r="AX190" s="373"/>
      <c r="AY190" s="373"/>
      <c r="AZ190" s="373"/>
      <c r="BA190" s="373"/>
      <c r="BB190" s="373"/>
      <c r="BC190" s="373"/>
      <c r="BD190" s="373"/>
      <c r="BE190" s="373"/>
      <c r="BF190" s="373"/>
      <c r="BG190" s="373"/>
      <c r="BH190" s="373"/>
      <c r="BI190" s="373"/>
      <c r="BJ190" s="373"/>
      <c r="BK190" s="373"/>
      <c r="BL190" s="373"/>
      <c r="BM190" s="373"/>
      <c r="BN190" s="373"/>
      <c r="BO190" s="373"/>
      <c r="BP190" s="373"/>
      <c r="BQ190" s="373"/>
      <c r="BR190" s="373"/>
      <c r="BS190" s="373"/>
      <c r="BT190" s="373"/>
      <c r="BU190" s="373"/>
      <c r="BV190" s="373"/>
      <c r="BW190" s="373"/>
      <c r="BX190" s="373"/>
      <c r="BY190" s="373"/>
      <c r="BZ190" s="373"/>
      <c r="CA190" s="373"/>
      <c r="CB190" s="373"/>
      <c r="CC190" s="373"/>
      <c r="CD190" s="373"/>
      <c r="CE190" s="373"/>
      <c r="CF190" s="373"/>
      <c r="CG190" s="373"/>
      <c r="CH190" s="373"/>
      <c r="CI190" s="373"/>
      <c r="CJ190" s="373"/>
      <c r="CK190" s="373"/>
      <c r="CL190" s="373"/>
      <c r="CM190" s="373"/>
      <c r="CN190" s="373"/>
      <c r="CO190" s="373"/>
      <c r="CP190" s="373"/>
      <c r="CQ190" s="373"/>
      <c r="CR190" s="373"/>
      <c r="CS190" s="373"/>
      <c r="CT190" s="373"/>
      <c r="CU190" s="373"/>
      <c r="CV190" s="373"/>
      <c r="CW190" s="373"/>
      <c r="CX190" s="373"/>
      <c r="CY190" s="373"/>
      <c r="CZ190" s="373"/>
      <c r="DA190" s="373"/>
      <c r="DB190" s="373"/>
      <c r="DC190" s="373"/>
      <c r="DD190" s="373"/>
      <c r="DE190" s="373"/>
      <c r="DF190" s="373"/>
      <c r="DG190" s="373"/>
      <c r="DH190" s="373"/>
      <c r="DI190" s="373"/>
      <c r="DJ190" s="373"/>
      <c r="DK190" s="373"/>
      <c r="DL190" s="373"/>
      <c r="DM190" s="373"/>
      <c r="DN190" s="373"/>
      <c r="DO190" s="373"/>
      <c r="DP190" s="373"/>
      <c r="DQ190" s="373"/>
      <c r="DR190" s="373"/>
      <c r="DS190" s="373"/>
      <c r="DT190" s="373"/>
      <c r="DU190" s="373"/>
      <c r="DV190" s="373"/>
      <c r="DW190" s="373"/>
      <c r="DX190" s="373"/>
      <c r="DY190" s="373"/>
      <c r="DZ190" s="373"/>
      <c r="EA190" s="373"/>
      <c r="EB190" s="373"/>
      <c r="EC190" s="373"/>
      <c r="ED190" s="373"/>
      <c r="EE190" s="373"/>
      <c r="EF190" s="373"/>
      <c r="EG190" s="373"/>
      <c r="EH190" s="373"/>
      <c r="EI190" s="373"/>
      <c r="EJ190" s="373"/>
      <c r="EK190" s="373"/>
      <c r="EL190" s="373"/>
      <c r="EM190" s="373"/>
      <c r="EN190" s="373"/>
      <c r="EO190" s="373"/>
      <c r="EP190" s="373"/>
      <c r="EQ190" s="373"/>
      <c r="ER190" s="373"/>
      <c r="ES190" s="373"/>
      <c r="ET190" s="373"/>
      <c r="EU190" s="373"/>
      <c r="EV190" s="373"/>
      <c r="EW190" s="373"/>
      <c r="EX190" s="373"/>
      <c r="EY190" s="373"/>
      <c r="EZ190" s="373"/>
      <c r="FA190" s="373"/>
      <c r="FB190" s="373"/>
      <c r="FC190" s="373"/>
      <c r="FD190" s="373"/>
      <c r="FE190" s="373"/>
      <c r="FF190" s="373"/>
      <c r="FG190" s="373"/>
      <c r="FH190" s="373"/>
      <c r="FI190" s="373"/>
      <c r="FJ190" s="373"/>
      <c r="FK190" s="373"/>
      <c r="FL190" s="373"/>
      <c r="FM190" s="373"/>
      <c r="FN190" s="373"/>
      <c r="FO190" s="373"/>
      <c r="FP190" s="373"/>
      <c r="FQ190" s="373"/>
      <c r="FR190" s="373"/>
      <c r="FS190" s="373"/>
      <c r="FT190" s="373"/>
      <c r="FU190" s="373"/>
      <c r="FV190" s="373"/>
      <c r="FW190" s="373"/>
      <c r="FX190" s="373"/>
      <c r="FY190" s="373"/>
      <c r="FZ190" s="373"/>
      <c r="GA190" s="373"/>
      <c r="GB190" s="373"/>
      <c r="GC190" s="373"/>
      <c r="GD190" s="373"/>
      <c r="GE190" s="373"/>
      <c r="GF190" s="373"/>
      <c r="GG190" s="373"/>
      <c r="GH190" s="373"/>
      <c r="GI190" s="373"/>
      <c r="GJ190" s="373"/>
      <c r="GK190" s="373"/>
      <c r="GL190" s="373"/>
      <c r="GM190" s="373"/>
      <c r="GN190" s="373"/>
      <c r="GO190" s="373"/>
      <c r="GP190" s="373"/>
      <c r="GQ190" s="373"/>
      <c r="GR190" s="373"/>
      <c r="GS190" s="373"/>
      <c r="GT190" s="373"/>
      <c r="GU190" s="373"/>
      <c r="GV190" s="373"/>
      <c r="GW190" s="373"/>
      <c r="GX190" s="373"/>
      <c r="GY190" s="373"/>
      <c r="GZ190" s="373"/>
      <c r="HA190" s="373"/>
      <c r="HB190" s="373"/>
      <c r="HC190" s="373"/>
      <c r="HD190" s="373"/>
      <c r="HE190" s="373"/>
      <c r="HF190" s="373"/>
      <c r="HG190" s="373"/>
      <c r="HH190" s="373"/>
      <c r="HI190" s="373"/>
      <c r="HJ190" s="373"/>
      <c r="HK190" s="373"/>
      <c r="HL190" s="373"/>
      <c r="HM190" s="373"/>
      <c r="HN190" s="373"/>
      <c r="HO190" s="373"/>
      <c r="HP190" s="373"/>
      <c r="HQ190" s="373"/>
      <c r="HR190" s="373"/>
      <c r="HS190" s="373"/>
      <c r="HT190" s="373"/>
      <c r="HU190" s="373"/>
      <c r="HV190" s="373"/>
      <c r="HW190" s="373"/>
      <c r="HX190" s="373"/>
      <c r="HY190" s="373"/>
      <c r="HZ190" s="373"/>
      <c r="IA190" s="373"/>
      <c r="IB190" s="373"/>
      <c r="IC190" s="373"/>
      <c r="ID190" s="373"/>
      <c r="IE190" s="373"/>
      <c r="IF190" s="373"/>
      <c r="IG190" s="373"/>
      <c r="IH190" s="373"/>
      <c r="II190" s="373"/>
      <c r="IJ190" s="373"/>
      <c r="IK190" s="373"/>
      <c r="IL190" s="373"/>
      <c r="IM190" s="373"/>
      <c r="IN190" s="373"/>
      <c r="IO190" s="373"/>
      <c r="IP190" s="373"/>
      <c r="IQ190" s="373"/>
      <c r="IR190" s="373"/>
      <c r="IS190" s="373"/>
      <c r="IT190" s="373"/>
      <c r="IU190" s="373"/>
      <c r="IV190" s="373"/>
    </row>
    <row r="191" spans="1:256" ht="15" x14ac:dyDescent="0.25">
      <c r="A191" s="239"/>
      <c r="B191" s="239"/>
      <c r="C191" s="239"/>
      <c r="D191" s="372" t="s">
        <v>193</v>
      </c>
      <c r="E191" s="372"/>
      <c r="F191" s="372"/>
      <c r="G191" s="372"/>
      <c r="H191" s="372"/>
      <c r="I191" s="372"/>
      <c r="J191" s="369">
        <v>0</v>
      </c>
      <c r="K191" s="372"/>
      <c r="L191" s="369">
        <v>0</v>
      </c>
      <c r="M191" s="370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373"/>
      <c r="Y191" s="373"/>
      <c r="Z191" s="373"/>
      <c r="AA191" s="373"/>
      <c r="AB191" s="373"/>
      <c r="AC191" s="373"/>
      <c r="AD191" s="373"/>
      <c r="AE191" s="373"/>
      <c r="AF191" s="373"/>
      <c r="AG191" s="373"/>
      <c r="AH191" s="373"/>
      <c r="AI191" s="373"/>
      <c r="AJ191" s="373"/>
      <c r="AK191" s="373"/>
      <c r="AL191" s="373"/>
      <c r="AM191" s="373"/>
      <c r="AN191" s="373"/>
      <c r="AO191" s="373"/>
      <c r="AP191" s="373"/>
      <c r="AQ191" s="373"/>
      <c r="AR191" s="373"/>
      <c r="AS191" s="373"/>
      <c r="AT191" s="373"/>
      <c r="AU191" s="373"/>
      <c r="AV191" s="373"/>
      <c r="AW191" s="373"/>
      <c r="AX191" s="373"/>
      <c r="AY191" s="373"/>
      <c r="AZ191" s="373"/>
      <c r="BA191" s="373"/>
      <c r="BB191" s="373"/>
      <c r="BC191" s="373"/>
      <c r="BD191" s="373"/>
      <c r="BE191" s="373"/>
      <c r="BF191" s="373"/>
      <c r="BG191" s="373"/>
      <c r="BH191" s="373"/>
      <c r="BI191" s="373"/>
      <c r="BJ191" s="373"/>
      <c r="BK191" s="373"/>
      <c r="BL191" s="373"/>
      <c r="BM191" s="373"/>
      <c r="BN191" s="373"/>
      <c r="BO191" s="373"/>
      <c r="BP191" s="373"/>
      <c r="BQ191" s="373"/>
      <c r="BR191" s="373"/>
      <c r="BS191" s="373"/>
      <c r="BT191" s="373"/>
      <c r="BU191" s="373"/>
      <c r="BV191" s="373"/>
      <c r="BW191" s="373"/>
      <c r="BX191" s="373"/>
      <c r="BY191" s="373"/>
      <c r="BZ191" s="373"/>
      <c r="CA191" s="373"/>
      <c r="CB191" s="373"/>
      <c r="CC191" s="373"/>
      <c r="CD191" s="373"/>
      <c r="CE191" s="373"/>
      <c r="CF191" s="373"/>
      <c r="CG191" s="373"/>
      <c r="CH191" s="373"/>
      <c r="CI191" s="373"/>
      <c r="CJ191" s="373"/>
      <c r="CK191" s="373"/>
      <c r="CL191" s="373"/>
      <c r="CM191" s="373"/>
      <c r="CN191" s="373"/>
      <c r="CO191" s="373"/>
      <c r="CP191" s="373"/>
      <c r="CQ191" s="373"/>
      <c r="CR191" s="373"/>
      <c r="CS191" s="373"/>
      <c r="CT191" s="373"/>
      <c r="CU191" s="373"/>
      <c r="CV191" s="373"/>
      <c r="CW191" s="373"/>
      <c r="CX191" s="373"/>
      <c r="CY191" s="373"/>
      <c r="CZ191" s="373"/>
      <c r="DA191" s="373"/>
      <c r="DB191" s="373"/>
      <c r="DC191" s="373"/>
      <c r="DD191" s="373"/>
      <c r="DE191" s="373"/>
      <c r="DF191" s="373"/>
      <c r="DG191" s="373"/>
      <c r="DH191" s="373"/>
      <c r="DI191" s="373"/>
      <c r="DJ191" s="373"/>
      <c r="DK191" s="373"/>
      <c r="DL191" s="373"/>
      <c r="DM191" s="373"/>
      <c r="DN191" s="373"/>
      <c r="DO191" s="373"/>
      <c r="DP191" s="373"/>
      <c r="DQ191" s="373"/>
      <c r="DR191" s="373"/>
      <c r="DS191" s="373"/>
      <c r="DT191" s="373"/>
      <c r="DU191" s="373"/>
      <c r="DV191" s="373"/>
      <c r="DW191" s="373"/>
      <c r="DX191" s="373"/>
      <c r="DY191" s="373"/>
      <c r="DZ191" s="373"/>
      <c r="EA191" s="373"/>
      <c r="EB191" s="373"/>
      <c r="EC191" s="373"/>
      <c r="ED191" s="373"/>
      <c r="EE191" s="373"/>
      <c r="EF191" s="373"/>
      <c r="EG191" s="373"/>
      <c r="EH191" s="373"/>
      <c r="EI191" s="373"/>
      <c r="EJ191" s="373"/>
      <c r="EK191" s="373"/>
      <c r="EL191" s="373"/>
      <c r="EM191" s="373"/>
      <c r="EN191" s="373"/>
      <c r="EO191" s="373"/>
      <c r="EP191" s="373"/>
      <c r="EQ191" s="373"/>
      <c r="ER191" s="373"/>
      <c r="ES191" s="373"/>
      <c r="ET191" s="373"/>
      <c r="EU191" s="373"/>
      <c r="EV191" s="373"/>
      <c r="EW191" s="373"/>
      <c r="EX191" s="373"/>
      <c r="EY191" s="373"/>
      <c r="EZ191" s="373"/>
      <c r="FA191" s="373"/>
      <c r="FB191" s="373"/>
      <c r="FC191" s="373"/>
      <c r="FD191" s="373"/>
      <c r="FE191" s="373"/>
      <c r="FF191" s="373"/>
      <c r="FG191" s="373"/>
      <c r="FH191" s="373"/>
      <c r="FI191" s="373"/>
      <c r="FJ191" s="373"/>
      <c r="FK191" s="373"/>
      <c r="FL191" s="373"/>
      <c r="FM191" s="373"/>
      <c r="FN191" s="373"/>
      <c r="FO191" s="373"/>
      <c r="FP191" s="373"/>
      <c r="FQ191" s="373"/>
      <c r="FR191" s="373"/>
      <c r="FS191" s="373"/>
      <c r="FT191" s="373"/>
      <c r="FU191" s="373"/>
      <c r="FV191" s="373"/>
      <c r="FW191" s="373"/>
      <c r="FX191" s="373"/>
      <c r="FY191" s="373"/>
      <c r="FZ191" s="373"/>
      <c r="GA191" s="373"/>
      <c r="GB191" s="373"/>
      <c r="GC191" s="373"/>
      <c r="GD191" s="373"/>
      <c r="GE191" s="373"/>
      <c r="GF191" s="373"/>
      <c r="GG191" s="373"/>
      <c r="GH191" s="373"/>
      <c r="GI191" s="373"/>
      <c r="GJ191" s="373"/>
      <c r="GK191" s="373"/>
      <c r="GL191" s="373"/>
      <c r="GM191" s="373"/>
      <c r="GN191" s="373"/>
      <c r="GO191" s="373"/>
      <c r="GP191" s="373"/>
      <c r="GQ191" s="373"/>
      <c r="GR191" s="373"/>
      <c r="GS191" s="373"/>
      <c r="GT191" s="373"/>
      <c r="GU191" s="373"/>
      <c r="GV191" s="373"/>
      <c r="GW191" s="373"/>
      <c r="GX191" s="373"/>
      <c r="GY191" s="373"/>
      <c r="GZ191" s="373"/>
      <c r="HA191" s="373"/>
      <c r="HB191" s="373"/>
      <c r="HC191" s="373"/>
      <c r="HD191" s="373"/>
      <c r="HE191" s="373"/>
      <c r="HF191" s="373"/>
      <c r="HG191" s="373"/>
      <c r="HH191" s="373"/>
      <c r="HI191" s="373"/>
      <c r="HJ191" s="373"/>
      <c r="HK191" s="373"/>
      <c r="HL191" s="373"/>
      <c r="HM191" s="373"/>
      <c r="HN191" s="373"/>
      <c r="HO191" s="373"/>
      <c r="HP191" s="373"/>
      <c r="HQ191" s="373"/>
      <c r="HR191" s="373"/>
      <c r="HS191" s="373"/>
      <c r="HT191" s="373"/>
      <c r="HU191" s="373"/>
      <c r="HV191" s="373"/>
      <c r="HW191" s="373"/>
      <c r="HX191" s="373"/>
      <c r="HY191" s="373"/>
      <c r="HZ191" s="373"/>
      <c r="IA191" s="373"/>
      <c r="IB191" s="373"/>
      <c r="IC191" s="373"/>
      <c r="ID191" s="373"/>
      <c r="IE191" s="373"/>
      <c r="IF191" s="373"/>
      <c r="IG191" s="373"/>
      <c r="IH191" s="373"/>
      <c r="II191" s="373"/>
      <c r="IJ191" s="373"/>
      <c r="IK191" s="373"/>
      <c r="IL191" s="373"/>
      <c r="IM191" s="373"/>
      <c r="IN191" s="373"/>
      <c r="IO191" s="373"/>
      <c r="IP191" s="373"/>
      <c r="IQ191" s="373"/>
      <c r="IR191" s="373"/>
      <c r="IS191" s="373"/>
      <c r="IT191" s="373"/>
      <c r="IU191" s="373"/>
      <c r="IV191" s="373"/>
    </row>
    <row r="192" spans="1:256" ht="14.25" x14ac:dyDescent="0.2">
      <c r="A192" s="241"/>
      <c r="B192" s="241"/>
      <c r="C192" s="241"/>
      <c r="D192" s="241"/>
      <c r="E192" s="241"/>
      <c r="F192" s="241"/>
      <c r="G192" s="241"/>
      <c r="H192" s="241"/>
      <c r="I192" s="241"/>
      <c r="J192" s="241"/>
      <c r="K192" s="241"/>
      <c r="L192" s="241"/>
      <c r="M192" s="374"/>
      <c r="N192" s="375"/>
      <c r="O192" s="375"/>
      <c r="P192" s="375"/>
      <c r="Q192" s="375"/>
      <c r="R192" s="375"/>
      <c r="S192" s="375"/>
      <c r="T192" s="375"/>
      <c r="U192" s="375"/>
      <c r="V192" s="375"/>
      <c r="W192" s="375"/>
      <c r="X192" s="375"/>
      <c r="Y192" s="375"/>
      <c r="Z192" s="375"/>
      <c r="AA192" s="375"/>
      <c r="AB192" s="375"/>
      <c r="AC192" s="375"/>
      <c r="AD192" s="375"/>
      <c r="AE192" s="375"/>
      <c r="AF192" s="375"/>
      <c r="AG192" s="375"/>
      <c r="AH192" s="375"/>
      <c r="AI192" s="375"/>
      <c r="AJ192" s="375"/>
      <c r="AK192" s="375"/>
      <c r="AL192" s="375"/>
      <c r="AM192" s="375"/>
      <c r="AN192" s="375"/>
      <c r="AO192" s="375"/>
      <c r="AP192" s="375"/>
      <c r="AQ192" s="375"/>
      <c r="AR192" s="375"/>
      <c r="AS192" s="375"/>
      <c r="AT192" s="375"/>
      <c r="AU192" s="375"/>
      <c r="AV192" s="375"/>
      <c r="AW192" s="375"/>
      <c r="AX192" s="375"/>
      <c r="AY192" s="375"/>
      <c r="AZ192" s="375"/>
      <c r="BA192" s="375"/>
      <c r="BB192" s="375"/>
      <c r="BC192" s="375"/>
      <c r="BD192" s="375"/>
      <c r="BE192" s="375"/>
      <c r="BF192" s="375"/>
      <c r="BG192" s="375"/>
      <c r="BH192" s="375"/>
      <c r="BI192" s="375"/>
      <c r="BJ192" s="375"/>
      <c r="BK192" s="375"/>
      <c r="BL192" s="375"/>
      <c r="BM192" s="375"/>
      <c r="BN192" s="375"/>
      <c r="BO192" s="375"/>
      <c r="BP192" s="375"/>
      <c r="BQ192" s="375"/>
      <c r="BR192" s="375"/>
      <c r="BS192" s="375"/>
      <c r="BT192" s="375"/>
      <c r="BU192" s="375"/>
      <c r="BV192" s="375"/>
      <c r="BW192" s="375"/>
      <c r="BX192" s="375"/>
      <c r="BY192" s="375"/>
      <c r="BZ192" s="375"/>
      <c r="CA192" s="375"/>
      <c r="CB192" s="375"/>
      <c r="CC192" s="375"/>
      <c r="CD192" s="375"/>
      <c r="CE192" s="375"/>
      <c r="CF192" s="375"/>
      <c r="CG192" s="375"/>
      <c r="CH192" s="375"/>
      <c r="CI192" s="375"/>
      <c r="CJ192" s="375"/>
      <c r="CK192" s="375"/>
      <c r="CL192" s="375"/>
      <c r="CM192" s="375"/>
      <c r="CN192" s="375"/>
      <c r="CO192" s="375"/>
      <c r="CP192" s="375"/>
      <c r="CQ192" s="375"/>
      <c r="CR192" s="375"/>
      <c r="CS192" s="375"/>
      <c r="CT192" s="375"/>
      <c r="CU192" s="375"/>
      <c r="CV192" s="375"/>
      <c r="CW192" s="375"/>
      <c r="CX192" s="375"/>
      <c r="CY192" s="375"/>
      <c r="CZ192" s="375"/>
      <c r="DA192" s="375"/>
      <c r="DB192" s="375"/>
      <c r="DC192" s="375"/>
      <c r="DD192" s="375"/>
      <c r="DE192" s="375"/>
      <c r="DF192" s="375"/>
      <c r="DG192" s="375"/>
      <c r="DH192" s="375"/>
      <c r="DI192" s="375"/>
      <c r="DJ192" s="375"/>
      <c r="DK192" s="375"/>
      <c r="DL192" s="375"/>
      <c r="DM192" s="375"/>
      <c r="DN192" s="375"/>
      <c r="DO192" s="375"/>
      <c r="DP192" s="375"/>
      <c r="DQ192" s="375"/>
      <c r="DR192" s="375"/>
      <c r="DS192" s="375"/>
      <c r="DT192" s="375"/>
      <c r="DU192" s="375"/>
      <c r="DV192" s="375"/>
      <c r="DW192" s="375"/>
      <c r="DX192" s="375"/>
      <c r="DY192" s="375"/>
      <c r="DZ192" s="375"/>
      <c r="EA192" s="375"/>
      <c r="EB192" s="375"/>
      <c r="EC192" s="375"/>
      <c r="ED192" s="375"/>
      <c r="EE192" s="375"/>
      <c r="EF192" s="375"/>
      <c r="EG192" s="375"/>
      <c r="EH192" s="375"/>
      <c r="EI192" s="375"/>
      <c r="EJ192" s="375"/>
      <c r="EK192" s="375"/>
      <c r="EL192" s="375"/>
      <c r="EM192" s="375"/>
      <c r="EN192" s="375"/>
      <c r="EO192" s="375"/>
      <c r="EP192" s="375"/>
      <c r="EQ192" s="375"/>
      <c r="ER192" s="375"/>
      <c r="ES192" s="375"/>
      <c r="ET192" s="375"/>
      <c r="EU192" s="375"/>
      <c r="EV192" s="375"/>
      <c r="EW192" s="375"/>
      <c r="EX192" s="375"/>
      <c r="EY192" s="375"/>
      <c r="EZ192" s="375"/>
      <c r="FA192" s="375"/>
      <c r="FB192" s="375"/>
      <c r="FC192" s="375"/>
      <c r="FD192" s="375"/>
      <c r="FE192" s="375"/>
      <c r="FF192" s="375"/>
      <c r="FG192" s="375"/>
      <c r="FH192" s="375"/>
      <c r="FI192" s="375"/>
      <c r="FJ192" s="375"/>
      <c r="FK192" s="375"/>
      <c r="FL192" s="375"/>
      <c r="FM192" s="375"/>
      <c r="FN192" s="375"/>
      <c r="FO192" s="375"/>
      <c r="FP192" s="375"/>
      <c r="FQ192" s="375"/>
      <c r="FR192" s="375"/>
      <c r="FS192" s="375"/>
      <c r="FT192" s="375"/>
      <c r="FU192" s="375"/>
      <c r="FV192" s="375"/>
      <c r="FW192" s="375"/>
      <c r="FX192" s="375"/>
      <c r="FY192" s="375"/>
      <c r="FZ192" s="375"/>
      <c r="GA192" s="375"/>
      <c r="GB192" s="375"/>
      <c r="GC192" s="375"/>
      <c r="GD192" s="375"/>
      <c r="GE192" s="375"/>
      <c r="GF192" s="375"/>
      <c r="GG192" s="375"/>
      <c r="GH192" s="375"/>
      <c r="GI192" s="375"/>
      <c r="GJ192" s="375"/>
      <c r="GK192" s="375"/>
      <c r="GL192" s="375"/>
      <c r="GM192" s="375"/>
      <c r="GN192" s="375"/>
      <c r="GO192" s="375"/>
      <c r="GP192" s="375"/>
      <c r="GQ192" s="375"/>
      <c r="GR192" s="375"/>
      <c r="GS192" s="375"/>
      <c r="GT192" s="375"/>
      <c r="GU192" s="375"/>
      <c r="GV192" s="375"/>
      <c r="GW192" s="375"/>
      <c r="GX192" s="375"/>
      <c r="GY192" s="375"/>
      <c r="GZ192" s="375"/>
      <c r="HA192" s="375"/>
      <c r="HB192" s="375"/>
      <c r="HC192" s="375"/>
      <c r="HD192" s="375"/>
      <c r="HE192" s="375"/>
      <c r="HF192" s="375"/>
      <c r="HG192" s="375"/>
      <c r="HH192" s="375"/>
      <c r="HI192" s="375"/>
      <c r="HJ192" s="375"/>
      <c r="HK192" s="375"/>
      <c r="HL192" s="375"/>
      <c r="HM192" s="375"/>
      <c r="HN192" s="375"/>
      <c r="HO192" s="375"/>
      <c r="HP192" s="375"/>
      <c r="HQ192" s="375"/>
      <c r="HR192" s="375"/>
      <c r="HS192" s="375"/>
      <c r="HT192" s="375"/>
      <c r="HU192" s="375"/>
      <c r="HV192" s="375"/>
      <c r="HW192" s="375"/>
      <c r="HX192" s="375"/>
      <c r="HY192" s="375"/>
      <c r="HZ192" s="375"/>
      <c r="IA192" s="375"/>
      <c r="IB192" s="375"/>
      <c r="IC192" s="375"/>
      <c r="ID192" s="375"/>
      <c r="IE192" s="375"/>
      <c r="IF192" s="375"/>
      <c r="IG192" s="375"/>
      <c r="IH192" s="375"/>
      <c r="II192" s="375"/>
      <c r="IJ192" s="375"/>
      <c r="IK192" s="375"/>
      <c r="IL192" s="375"/>
      <c r="IM192" s="375"/>
      <c r="IN192" s="375"/>
      <c r="IO192" s="375"/>
      <c r="IP192" s="375"/>
      <c r="IQ192" s="375"/>
      <c r="IR192" s="375"/>
      <c r="IS192" s="375"/>
      <c r="IT192" s="375"/>
      <c r="IU192" s="375"/>
      <c r="IV192" s="375"/>
    </row>
    <row r="193" spans="1:256" ht="30" x14ac:dyDescent="0.25">
      <c r="A193" s="239"/>
      <c r="B193" s="239"/>
      <c r="C193" s="239"/>
      <c r="D193" s="242" t="s">
        <v>194</v>
      </c>
      <c r="E193" s="242"/>
      <c r="F193" s="242"/>
      <c r="G193" s="242"/>
      <c r="H193" s="242"/>
      <c r="I193" s="243"/>
      <c r="J193" s="244">
        <f>I180-J191</f>
        <v>112312.15</v>
      </c>
      <c r="K193" s="245"/>
      <c r="L193" s="244">
        <f>K180-L191</f>
        <v>596752.92000000004</v>
      </c>
      <c r="M193" s="374" t="e">
        <v>#REF!</v>
      </c>
      <c r="N193" s="373"/>
      <c r="O193" s="373"/>
      <c r="P193" s="373"/>
      <c r="Q193" s="373"/>
      <c r="R193" s="373"/>
      <c r="S193" s="373"/>
      <c r="T193" s="373"/>
      <c r="U193" s="373"/>
      <c r="V193" s="373"/>
      <c r="W193" s="373"/>
      <c r="X193" s="373"/>
      <c r="Y193" s="373"/>
      <c r="Z193" s="373"/>
      <c r="AA193" s="373"/>
      <c r="AB193" s="373"/>
      <c r="AC193" s="373"/>
      <c r="AD193" s="373"/>
      <c r="AE193" s="373"/>
      <c r="AF193" s="373"/>
      <c r="AG193" s="373"/>
      <c r="AH193" s="373"/>
      <c r="AI193" s="373"/>
      <c r="AJ193" s="373"/>
      <c r="AK193" s="373"/>
      <c r="AL193" s="373"/>
      <c r="AM193" s="373"/>
      <c r="AN193" s="373"/>
      <c r="AO193" s="373"/>
      <c r="AP193" s="373"/>
      <c r="AQ193" s="373"/>
      <c r="AR193" s="373"/>
      <c r="AS193" s="373"/>
      <c r="AT193" s="373"/>
      <c r="AU193" s="373"/>
      <c r="AV193" s="373"/>
      <c r="AW193" s="373"/>
      <c r="AX193" s="373"/>
      <c r="AY193" s="373"/>
      <c r="AZ193" s="373"/>
      <c r="BA193" s="373"/>
      <c r="BB193" s="373"/>
      <c r="BC193" s="373"/>
      <c r="BD193" s="373"/>
      <c r="BE193" s="373"/>
      <c r="BF193" s="373"/>
      <c r="BG193" s="373"/>
      <c r="BH193" s="373"/>
      <c r="BI193" s="373"/>
      <c r="BJ193" s="373"/>
      <c r="BK193" s="373"/>
      <c r="BL193" s="373"/>
      <c r="BM193" s="373"/>
      <c r="BN193" s="373"/>
      <c r="BO193" s="373"/>
      <c r="BP193" s="373"/>
      <c r="BQ193" s="373"/>
      <c r="BR193" s="373"/>
      <c r="BS193" s="373"/>
      <c r="BT193" s="373"/>
      <c r="BU193" s="373"/>
      <c r="BV193" s="373"/>
      <c r="BW193" s="373"/>
      <c r="BX193" s="373"/>
      <c r="BY193" s="373"/>
      <c r="BZ193" s="373"/>
      <c r="CA193" s="373"/>
      <c r="CB193" s="373"/>
      <c r="CC193" s="373"/>
      <c r="CD193" s="373"/>
      <c r="CE193" s="373"/>
      <c r="CF193" s="373"/>
      <c r="CG193" s="373"/>
      <c r="CH193" s="373"/>
      <c r="CI193" s="373"/>
      <c r="CJ193" s="373"/>
      <c r="CK193" s="373"/>
      <c r="CL193" s="373"/>
      <c r="CM193" s="373"/>
      <c r="CN193" s="373"/>
      <c r="CO193" s="373"/>
      <c r="CP193" s="373"/>
      <c r="CQ193" s="373"/>
      <c r="CR193" s="373"/>
      <c r="CS193" s="373"/>
      <c r="CT193" s="373"/>
      <c r="CU193" s="373"/>
      <c r="CV193" s="373"/>
      <c r="CW193" s="373"/>
      <c r="CX193" s="373"/>
      <c r="CY193" s="373"/>
      <c r="CZ193" s="373"/>
      <c r="DA193" s="373"/>
      <c r="DB193" s="373"/>
      <c r="DC193" s="373"/>
      <c r="DD193" s="373"/>
      <c r="DE193" s="373"/>
      <c r="DF193" s="373"/>
      <c r="DG193" s="373"/>
      <c r="DH193" s="373"/>
      <c r="DI193" s="373"/>
      <c r="DJ193" s="373"/>
      <c r="DK193" s="373"/>
      <c r="DL193" s="373"/>
      <c r="DM193" s="373"/>
      <c r="DN193" s="373"/>
      <c r="DO193" s="373"/>
      <c r="DP193" s="373"/>
      <c r="DQ193" s="373"/>
      <c r="DR193" s="373"/>
      <c r="DS193" s="373"/>
      <c r="DT193" s="373"/>
      <c r="DU193" s="373"/>
      <c r="DV193" s="373"/>
      <c r="DW193" s="373"/>
      <c r="DX193" s="373"/>
      <c r="DY193" s="373"/>
      <c r="DZ193" s="373"/>
      <c r="EA193" s="373"/>
      <c r="EB193" s="373"/>
      <c r="EC193" s="373"/>
      <c r="ED193" s="373"/>
      <c r="EE193" s="373"/>
      <c r="EF193" s="373"/>
      <c r="EG193" s="373"/>
      <c r="EH193" s="373"/>
      <c r="EI193" s="373"/>
      <c r="EJ193" s="373"/>
      <c r="EK193" s="373"/>
      <c r="EL193" s="373"/>
      <c r="EM193" s="373"/>
      <c r="EN193" s="373"/>
      <c r="EO193" s="373"/>
      <c r="EP193" s="373"/>
      <c r="EQ193" s="373"/>
      <c r="ER193" s="373"/>
      <c r="ES193" s="373"/>
      <c r="ET193" s="373"/>
      <c r="EU193" s="373"/>
      <c r="EV193" s="373"/>
      <c r="EW193" s="373"/>
      <c r="EX193" s="373"/>
      <c r="EY193" s="373"/>
      <c r="EZ193" s="373"/>
      <c r="FA193" s="373"/>
      <c r="FB193" s="373"/>
      <c r="FC193" s="373"/>
      <c r="FD193" s="373"/>
      <c r="FE193" s="373"/>
      <c r="FF193" s="373"/>
      <c r="FG193" s="373"/>
      <c r="FH193" s="373"/>
      <c r="FI193" s="373"/>
      <c r="FJ193" s="373"/>
      <c r="FK193" s="373"/>
      <c r="FL193" s="373"/>
      <c r="FM193" s="373"/>
      <c r="FN193" s="373"/>
      <c r="FO193" s="373"/>
      <c r="FP193" s="373"/>
      <c r="FQ193" s="373"/>
      <c r="FR193" s="373"/>
      <c r="FS193" s="373"/>
      <c r="FT193" s="373"/>
      <c r="FU193" s="373"/>
      <c r="FV193" s="373"/>
      <c r="FW193" s="373"/>
      <c r="FX193" s="373"/>
      <c r="FY193" s="373"/>
      <c r="FZ193" s="373"/>
      <c r="GA193" s="373"/>
      <c r="GB193" s="373"/>
      <c r="GC193" s="373"/>
      <c r="GD193" s="373"/>
      <c r="GE193" s="373"/>
      <c r="GF193" s="373"/>
      <c r="GG193" s="373"/>
      <c r="GH193" s="373"/>
      <c r="GI193" s="373"/>
      <c r="GJ193" s="373"/>
      <c r="GK193" s="373"/>
      <c r="GL193" s="373"/>
      <c r="GM193" s="373"/>
      <c r="GN193" s="373"/>
      <c r="GO193" s="373"/>
      <c r="GP193" s="373"/>
      <c r="GQ193" s="373"/>
      <c r="GR193" s="373"/>
      <c r="GS193" s="373"/>
      <c r="GT193" s="373"/>
      <c r="GU193" s="373"/>
      <c r="GV193" s="373"/>
      <c r="GW193" s="373"/>
      <c r="GX193" s="373"/>
      <c r="GY193" s="373"/>
      <c r="GZ193" s="373"/>
      <c r="HA193" s="373"/>
      <c r="HB193" s="373"/>
      <c r="HC193" s="373"/>
      <c r="HD193" s="373"/>
      <c r="HE193" s="373"/>
      <c r="HF193" s="373"/>
      <c r="HG193" s="373"/>
      <c r="HH193" s="373"/>
      <c r="HI193" s="373"/>
      <c r="HJ193" s="373"/>
      <c r="HK193" s="373"/>
      <c r="HL193" s="373"/>
      <c r="HM193" s="373"/>
      <c r="HN193" s="373"/>
      <c r="HO193" s="373"/>
      <c r="HP193" s="373"/>
      <c r="HQ193" s="373"/>
      <c r="HR193" s="373"/>
      <c r="HS193" s="373"/>
      <c r="HT193" s="373"/>
      <c r="HU193" s="373"/>
      <c r="HV193" s="373"/>
      <c r="HW193" s="373"/>
      <c r="HX193" s="373"/>
      <c r="HY193" s="373"/>
      <c r="HZ193" s="373"/>
      <c r="IA193" s="373"/>
      <c r="IB193" s="373"/>
      <c r="IC193" s="373"/>
      <c r="ID193" s="373"/>
      <c r="IE193" s="373"/>
      <c r="IF193" s="373"/>
      <c r="IG193" s="373"/>
      <c r="IH193" s="373"/>
      <c r="II193" s="373"/>
      <c r="IJ193" s="373"/>
      <c r="IK193" s="373"/>
      <c r="IL193" s="373"/>
      <c r="IM193" s="373"/>
      <c r="IN193" s="373"/>
      <c r="IO193" s="373"/>
      <c r="IP193" s="373"/>
      <c r="IQ193" s="373"/>
      <c r="IR193" s="373"/>
      <c r="IS193" s="373"/>
      <c r="IT193" s="373"/>
      <c r="IU193" s="373"/>
      <c r="IV193" s="373"/>
    </row>
    <row r="194" spans="1:256" ht="14.25" x14ac:dyDescent="0.2">
      <c r="A194" s="239"/>
      <c r="B194" s="239"/>
      <c r="C194" s="239"/>
      <c r="D194" s="246" t="s">
        <v>69</v>
      </c>
      <c r="E194" s="246"/>
      <c r="F194" s="246"/>
      <c r="G194" s="246"/>
      <c r="H194" s="246"/>
      <c r="I194" s="247"/>
      <c r="J194" s="248">
        <f>J193-J197</f>
        <v>112312.15</v>
      </c>
      <c r="K194" s="249"/>
      <c r="L194" s="248">
        <f>L193-L197</f>
        <v>596752.92000000004</v>
      </c>
      <c r="M194" s="374"/>
      <c r="N194" s="373"/>
      <c r="O194" s="373"/>
      <c r="P194" s="373"/>
      <c r="Q194" s="373"/>
      <c r="R194" s="373"/>
      <c r="S194" s="373"/>
      <c r="T194" s="373"/>
      <c r="U194" s="373"/>
      <c r="V194" s="373"/>
      <c r="W194" s="373"/>
      <c r="X194" s="373"/>
      <c r="Y194" s="373"/>
      <c r="Z194" s="373"/>
      <c r="AA194" s="373"/>
      <c r="AB194" s="373"/>
      <c r="AC194" s="373"/>
      <c r="AD194" s="373"/>
      <c r="AE194" s="373"/>
      <c r="AF194" s="373"/>
      <c r="AG194" s="373"/>
      <c r="AH194" s="373"/>
      <c r="AI194" s="373"/>
      <c r="AJ194" s="373"/>
      <c r="AK194" s="373"/>
      <c r="AL194" s="373"/>
      <c r="AM194" s="373"/>
      <c r="AN194" s="373"/>
      <c r="AO194" s="373"/>
      <c r="AP194" s="373"/>
      <c r="AQ194" s="373"/>
      <c r="AR194" s="373"/>
      <c r="AS194" s="373"/>
      <c r="AT194" s="373"/>
      <c r="AU194" s="373"/>
      <c r="AV194" s="373"/>
      <c r="AW194" s="373"/>
      <c r="AX194" s="373"/>
      <c r="AY194" s="373"/>
      <c r="AZ194" s="373"/>
      <c r="BA194" s="373"/>
      <c r="BB194" s="373"/>
      <c r="BC194" s="373"/>
      <c r="BD194" s="373"/>
      <c r="BE194" s="373"/>
      <c r="BF194" s="373"/>
      <c r="BG194" s="373"/>
      <c r="BH194" s="373"/>
      <c r="BI194" s="373"/>
      <c r="BJ194" s="373"/>
      <c r="BK194" s="373"/>
      <c r="BL194" s="373"/>
      <c r="BM194" s="373"/>
      <c r="BN194" s="373"/>
      <c r="BO194" s="373"/>
      <c r="BP194" s="373"/>
      <c r="BQ194" s="373"/>
      <c r="BR194" s="373"/>
      <c r="BS194" s="373"/>
      <c r="BT194" s="373"/>
      <c r="BU194" s="373"/>
      <c r="BV194" s="373"/>
      <c r="BW194" s="373"/>
      <c r="BX194" s="373"/>
      <c r="BY194" s="373"/>
      <c r="BZ194" s="373"/>
      <c r="CA194" s="373"/>
      <c r="CB194" s="373"/>
      <c r="CC194" s="373"/>
      <c r="CD194" s="373"/>
      <c r="CE194" s="373"/>
      <c r="CF194" s="373"/>
      <c r="CG194" s="373"/>
      <c r="CH194" s="373"/>
      <c r="CI194" s="373"/>
      <c r="CJ194" s="373"/>
      <c r="CK194" s="373"/>
      <c r="CL194" s="373"/>
      <c r="CM194" s="373"/>
      <c r="CN194" s="373"/>
      <c r="CO194" s="373"/>
      <c r="CP194" s="373"/>
      <c r="CQ194" s="373"/>
      <c r="CR194" s="373"/>
      <c r="CS194" s="373"/>
      <c r="CT194" s="373"/>
      <c r="CU194" s="373"/>
      <c r="CV194" s="373"/>
      <c r="CW194" s="373"/>
      <c r="CX194" s="373"/>
      <c r="CY194" s="373"/>
      <c r="CZ194" s="373"/>
      <c r="DA194" s="373"/>
      <c r="DB194" s="373"/>
      <c r="DC194" s="373"/>
      <c r="DD194" s="373"/>
      <c r="DE194" s="373"/>
      <c r="DF194" s="373"/>
      <c r="DG194" s="373"/>
      <c r="DH194" s="373"/>
      <c r="DI194" s="373"/>
      <c r="DJ194" s="373"/>
      <c r="DK194" s="373"/>
      <c r="DL194" s="373"/>
      <c r="DM194" s="373"/>
      <c r="DN194" s="373"/>
      <c r="DO194" s="373"/>
      <c r="DP194" s="373"/>
      <c r="DQ194" s="373"/>
      <c r="DR194" s="373"/>
      <c r="DS194" s="373"/>
      <c r="DT194" s="373"/>
      <c r="DU194" s="373"/>
      <c r="DV194" s="373"/>
      <c r="DW194" s="373"/>
      <c r="DX194" s="373"/>
      <c r="DY194" s="373"/>
      <c r="DZ194" s="373"/>
      <c r="EA194" s="373"/>
      <c r="EB194" s="373"/>
      <c r="EC194" s="373"/>
      <c r="ED194" s="373"/>
      <c r="EE194" s="373"/>
      <c r="EF194" s="373"/>
      <c r="EG194" s="373"/>
      <c r="EH194" s="373"/>
      <c r="EI194" s="373"/>
      <c r="EJ194" s="373"/>
      <c r="EK194" s="373"/>
      <c r="EL194" s="373"/>
      <c r="EM194" s="373"/>
      <c r="EN194" s="373"/>
      <c r="EO194" s="373"/>
      <c r="EP194" s="373"/>
      <c r="EQ194" s="373"/>
      <c r="ER194" s="373"/>
      <c r="ES194" s="373"/>
      <c r="ET194" s="373"/>
      <c r="EU194" s="373"/>
      <c r="EV194" s="373"/>
      <c r="EW194" s="373"/>
      <c r="EX194" s="373"/>
      <c r="EY194" s="373"/>
      <c r="EZ194" s="373"/>
      <c r="FA194" s="373"/>
      <c r="FB194" s="373"/>
      <c r="FC194" s="373"/>
      <c r="FD194" s="373"/>
      <c r="FE194" s="373"/>
      <c r="FF194" s="373"/>
      <c r="FG194" s="373"/>
      <c r="FH194" s="373"/>
      <c r="FI194" s="373"/>
      <c r="FJ194" s="373"/>
      <c r="FK194" s="373"/>
      <c r="FL194" s="373"/>
      <c r="FM194" s="373"/>
      <c r="FN194" s="373"/>
      <c r="FO194" s="373"/>
      <c r="FP194" s="373"/>
      <c r="FQ194" s="373"/>
      <c r="FR194" s="373"/>
      <c r="FS194" s="373"/>
      <c r="FT194" s="373"/>
      <c r="FU194" s="373"/>
      <c r="FV194" s="373"/>
      <c r="FW194" s="373"/>
      <c r="FX194" s="373"/>
      <c r="FY194" s="373"/>
      <c r="FZ194" s="373"/>
      <c r="GA194" s="373"/>
      <c r="GB194" s="373"/>
      <c r="GC194" s="373"/>
      <c r="GD194" s="373"/>
      <c r="GE194" s="373"/>
      <c r="GF194" s="373"/>
      <c r="GG194" s="373"/>
      <c r="GH194" s="373"/>
      <c r="GI194" s="373"/>
      <c r="GJ194" s="373"/>
      <c r="GK194" s="373"/>
      <c r="GL194" s="373"/>
      <c r="GM194" s="373"/>
      <c r="GN194" s="373"/>
      <c r="GO194" s="373"/>
      <c r="GP194" s="373"/>
      <c r="GQ194" s="373"/>
      <c r="GR194" s="373"/>
      <c r="GS194" s="373"/>
      <c r="GT194" s="373"/>
      <c r="GU194" s="373"/>
      <c r="GV194" s="373"/>
      <c r="GW194" s="373"/>
      <c r="GX194" s="373"/>
      <c r="GY194" s="373"/>
      <c r="GZ194" s="373"/>
      <c r="HA194" s="373"/>
      <c r="HB194" s="373"/>
      <c r="HC194" s="373"/>
      <c r="HD194" s="373"/>
      <c r="HE194" s="373"/>
      <c r="HF194" s="373"/>
      <c r="HG194" s="373"/>
      <c r="HH194" s="373"/>
      <c r="HI194" s="373"/>
      <c r="HJ194" s="373"/>
      <c r="HK194" s="373"/>
      <c r="HL194" s="373"/>
      <c r="HM194" s="373"/>
      <c r="HN194" s="373"/>
      <c r="HO194" s="373"/>
      <c r="HP194" s="373"/>
      <c r="HQ194" s="373"/>
      <c r="HR194" s="373"/>
      <c r="HS194" s="373"/>
      <c r="HT194" s="373"/>
      <c r="HU194" s="373"/>
      <c r="HV194" s="373"/>
      <c r="HW194" s="373"/>
      <c r="HX194" s="373"/>
      <c r="HY194" s="373"/>
      <c r="HZ194" s="373"/>
      <c r="IA194" s="373"/>
      <c r="IB194" s="373"/>
      <c r="IC194" s="373"/>
      <c r="ID194" s="373"/>
      <c r="IE194" s="373"/>
      <c r="IF194" s="373"/>
      <c r="IG194" s="373"/>
      <c r="IH194" s="373"/>
      <c r="II194" s="373"/>
      <c r="IJ194" s="373"/>
      <c r="IK194" s="373"/>
      <c r="IL194" s="373"/>
      <c r="IM194" s="373"/>
      <c r="IN194" s="373"/>
      <c r="IO194" s="373"/>
      <c r="IP194" s="373"/>
      <c r="IQ194" s="373"/>
      <c r="IR194" s="373"/>
      <c r="IS194" s="373"/>
      <c r="IT194" s="373"/>
      <c r="IU194" s="373"/>
      <c r="IV194" s="373"/>
    </row>
    <row r="195" spans="1:256" ht="14.25" x14ac:dyDescent="0.2">
      <c r="A195" s="239"/>
      <c r="B195" s="239"/>
      <c r="C195" s="239"/>
      <c r="D195" s="246" t="s">
        <v>70</v>
      </c>
      <c r="E195" s="246"/>
      <c r="F195" s="246"/>
      <c r="G195" s="246"/>
      <c r="H195" s="246"/>
      <c r="I195" s="247"/>
      <c r="J195" s="248">
        <f>I184+I185</f>
        <v>3720.44</v>
      </c>
      <c r="K195" s="249"/>
      <c r="L195" s="248">
        <f>K184+K185</f>
        <v>90146.28</v>
      </c>
      <c r="M195" s="374">
        <v>23353.06</v>
      </c>
      <c r="N195" s="373"/>
      <c r="O195" s="373"/>
      <c r="P195" s="373"/>
      <c r="Q195" s="373"/>
      <c r="R195" s="373"/>
      <c r="S195" s="373"/>
      <c r="T195" s="373"/>
      <c r="U195" s="373"/>
      <c r="V195" s="373"/>
      <c r="W195" s="373"/>
      <c r="X195" s="373"/>
      <c r="Y195" s="373"/>
      <c r="Z195" s="373"/>
      <c r="AA195" s="373"/>
      <c r="AB195" s="373"/>
      <c r="AC195" s="373"/>
      <c r="AD195" s="373"/>
      <c r="AE195" s="373"/>
      <c r="AF195" s="373"/>
      <c r="AG195" s="373"/>
      <c r="AH195" s="373"/>
      <c r="AI195" s="373"/>
      <c r="AJ195" s="373"/>
      <c r="AK195" s="373"/>
      <c r="AL195" s="373"/>
      <c r="AM195" s="373"/>
      <c r="AN195" s="373"/>
      <c r="AO195" s="373"/>
      <c r="AP195" s="373"/>
      <c r="AQ195" s="373"/>
      <c r="AR195" s="373"/>
      <c r="AS195" s="373"/>
      <c r="AT195" s="373"/>
      <c r="AU195" s="373"/>
      <c r="AV195" s="373"/>
      <c r="AW195" s="373"/>
      <c r="AX195" s="373"/>
      <c r="AY195" s="373"/>
      <c r="AZ195" s="373"/>
      <c r="BA195" s="373"/>
      <c r="BB195" s="373"/>
      <c r="BC195" s="373"/>
      <c r="BD195" s="373"/>
      <c r="BE195" s="373"/>
      <c r="BF195" s="373"/>
      <c r="BG195" s="373"/>
      <c r="BH195" s="373"/>
      <c r="BI195" s="373"/>
      <c r="BJ195" s="373"/>
      <c r="BK195" s="373"/>
      <c r="BL195" s="373"/>
      <c r="BM195" s="373"/>
      <c r="BN195" s="373"/>
      <c r="BO195" s="373"/>
      <c r="BP195" s="373"/>
      <c r="BQ195" s="373"/>
      <c r="BR195" s="373"/>
      <c r="BS195" s="373"/>
      <c r="BT195" s="373"/>
      <c r="BU195" s="373"/>
      <c r="BV195" s="373"/>
      <c r="BW195" s="373"/>
      <c r="BX195" s="373"/>
      <c r="BY195" s="373"/>
      <c r="BZ195" s="373"/>
      <c r="CA195" s="373"/>
      <c r="CB195" s="373"/>
      <c r="CC195" s="373"/>
      <c r="CD195" s="373"/>
      <c r="CE195" s="373"/>
      <c r="CF195" s="373"/>
      <c r="CG195" s="373"/>
      <c r="CH195" s="373"/>
      <c r="CI195" s="373"/>
      <c r="CJ195" s="373"/>
      <c r="CK195" s="373"/>
      <c r="CL195" s="373"/>
      <c r="CM195" s="373"/>
      <c r="CN195" s="373"/>
      <c r="CO195" s="373"/>
      <c r="CP195" s="373"/>
      <c r="CQ195" s="373"/>
      <c r="CR195" s="373"/>
      <c r="CS195" s="373"/>
      <c r="CT195" s="373"/>
      <c r="CU195" s="373"/>
      <c r="CV195" s="373"/>
      <c r="CW195" s="373"/>
      <c r="CX195" s="373"/>
      <c r="CY195" s="373"/>
      <c r="CZ195" s="373"/>
      <c r="DA195" s="373"/>
      <c r="DB195" s="373"/>
      <c r="DC195" s="373"/>
      <c r="DD195" s="373"/>
      <c r="DE195" s="373"/>
      <c r="DF195" s="373"/>
      <c r="DG195" s="373"/>
      <c r="DH195" s="373"/>
      <c r="DI195" s="373"/>
      <c r="DJ195" s="373"/>
      <c r="DK195" s="373"/>
      <c r="DL195" s="373"/>
      <c r="DM195" s="373"/>
      <c r="DN195" s="373"/>
      <c r="DO195" s="373"/>
      <c r="DP195" s="373"/>
      <c r="DQ195" s="373"/>
      <c r="DR195" s="373"/>
      <c r="DS195" s="373"/>
      <c r="DT195" s="373"/>
      <c r="DU195" s="373"/>
      <c r="DV195" s="373"/>
      <c r="DW195" s="373"/>
      <c r="DX195" s="373"/>
      <c r="DY195" s="373"/>
      <c r="DZ195" s="373"/>
      <c r="EA195" s="373"/>
      <c r="EB195" s="373"/>
      <c r="EC195" s="373"/>
      <c r="ED195" s="373"/>
      <c r="EE195" s="373"/>
      <c r="EF195" s="373"/>
      <c r="EG195" s="373"/>
      <c r="EH195" s="373"/>
      <c r="EI195" s="373"/>
      <c r="EJ195" s="373"/>
      <c r="EK195" s="373"/>
      <c r="EL195" s="373"/>
      <c r="EM195" s="373"/>
      <c r="EN195" s="373"/>
      <c r="EO195" s="373"/>
      <c r="EP195" s="373"/>
      <c r="EQ195" s="373"/>
      <c r="ER195" s="373"/>
      <c r="ES195" s="373"/>
      <c r="ET195" s="373"/>
      <c r="EU195" s="373"/>
      <c r="EV195" s="373"/>
      <c r="EW195" s="373"/>
      <c r="EX195" s="373"/>
      <c r="EY195" s="373"/>
      <c r="EZ195" s="373"/>
      <c r="FA195" s="373"/>
      <c r="FB195" s="373"/>
      <c r="FC195" s="373"/>
      <c r="FD195" s="373"/>
      <c r="FE195" s="373"/>
      <c r="FF195" s="373"/>
      <c r="FG195" s="373"/>
      <c r="FH195" s="373"/>
      <c r="FI195" s="373"/>
      <c r="FJ195" s="373"/>
      <c r="FK195" s="373"/>
      <c r="FL195" s="373"/>
      <c r="FM195" s="373"/>
      <c r="FN195" s="373"/>
      <c r="FO195" s="373"/>
      <c r="FP195" s="373"/>
      <c r="FQ195" s="373"/>
      <c r="FR195" s="373"/>
      <c r="FS195" s="373"/>
      <c r="FT195" s="373"/>
      <c r="FU195" s="373"/>
      <c r="FV195" s="373"/>
      <c r="FW195" s="373"/>
      <c r="FX195" s="373"/>
      <c r="FY195" s="373"/>
      <c r="FZ195" s="373"/>
      <c r="GA195" s="373"/>
      <c r="GB195" s="373"/>
      <c r="GC195" s="373"/>
      <c r="GD195" s="373"/>
      <c r="GE195" s="373"/>
      <c r="GF195" s="373"/>
      <c r="GG195" s="373"/>
      <c r="GH195" s="373"/>
      <c r="GI195" s="373"/>
      <c r="GJ195" s="373"/>
      <c r="GK195" s="373"/>
      <c r="GL195" s="373"/>
      <c r="GM195" s="373"/>
      <c r="GN195" s="373"/>
      <c r="GO195" s="373"/>
      <c r="GP195" s="373"/>
      <c r="GQ195" s="373"/>
      <c r="GR195" s="373"/>
      <c r="GS195" s="373"/>
      <c r="GT195" s="373"/>
      <c r="GU195" s="373"/>
      <c r="GV195" s="373"/>
      <c r="GW195" s="373"/>
      <c r="GX195" s="373"/>
      <c r="GY195" s="373"/>
      <c r="GZ195" s="373"/>
      <c r="HA195" s="373"/>
      <c r="HB195" s="373"/>
      <c r="HC195" s="373"/>
      <c r="HD195" s="373"/>
      <c r="HE195" s="373"/>
      <c r="HF195" s="373"/>
      <c r="HG195" s="373"/>
      <c r="HH195" s="373"/>
      <c r="HI195" s="373"/>
      <c r="HJ195" s="373"/>
      <c r="HK195" s="373"/>
      <c r="HL195" s="373"/>
      <c r="HM195" s="373"/>
      <c r="HN195" s="373"/>
      <c r="HO195" s="373"/>
      <c r="HP195" s="373"/>
      <c r="HQ195" s="373"/>
      <c r="HR195" s="373"/>
      <c r="HS195" s="373"/>
      <c r="HT195" s="373"/>
      <c r="HU195" s="373"/>
      <c r="HV195" s="373"/>
      <c r="HW195" s="373"/>
      <c r="HX195" s="373"/>
      <c r="HY195" s="373"/>
      <c r="HZ195" s="373"/>
      <c r="IA195" s="373"/>
      <c r="IB195" s="373"/>
      <c r="IC195" s="373"/>
      <c r="ID195" s="373"/>
      <c r="IE195" s="373"/>
      <c r="IF195" s="373"/>
      <c r="IG195" s="373"/>
      <c r="IH195" s="373"/>
      <c r="II195" s="373"/>
      <c r="IJ195" s="373"/>
      <c r="IK195" s="373"/>
      <c r="IL195" s="373"/>
      <c r="IM195" s="373"/>
      <c r="IN195" s="373"/>
      <c r="IO195" s="373"/>
      <c r="IP195" s="373"/>
      <c r="IQ195" s="373"/>
      <c r="IR195" s="373"/>
      <c r="IS195" s="373"/>
      <c r="IT195" s="373"/>
      <c r="IU195" s="373"/>
      <c r="IV195" s="373"/>
    </row>
    <row r="196" spans="1:256" ht="14.25" x14ac:dyDescent="0.2">
      <c r="A196" s="239"/>
      <c r="B196" s="239"/>
      <c r="C196" s="239"/>
      <c r="D196" s="246" t="s">
        <v>195</v>
      </c>
      <c r="E196" s="246"/>
      <c r="F196" s="246"/>
      <c r="G196" s="246"/>
      <c r="H196" s="246"/>
      <c r="I196" s="247"/>
      <c r="J196" s="248">
        <f>I183</f>
        <v>99741.49</v>
      </c>
      <c r="K196" s="249"/>
      <c r="L196" s="248">
        <f>K183</f>
        <v>370061.78</v>
      </c>
      <c r="M196" s="374" t="e">
        <v>#REF!</v>
      </c>
      <c r="N196" s="373"/>
      <c r="O196" s="373"/>
      <c r="P196" s="373"/>
      <c r="Q196" s="373"/>
      <c r="R196" s="373"/>
      <c r="S196" s="373"/>
      <c r="T196" s="373"/>
      <c r="U196" s="373"/>
      <c r="V196" s="373"/>
      <c r="W196" s="373"/>
      <c r="X196" s="373"/>
      <c r="Y196" s="373"/>
      <c r="Z196" s="373"/>
      <c r="AA196" s="373"/>
      <c r="AB196" s="373"/>
      <c r="AC196" s="373"/>
      <c r="AD196" s="373"/>
      <c r="AE196" s="373"/>
      <c r="AF196" s="373"/>
      <c r="AG196" s="373"/>
      <c r="AH196" s="373"/>
      <c r="AI196" s="373"/>
      <c r="AJ196" s="373"/>
      <c r="AK196" s="373"/>
      <c r="AL196" s="373"/>
      <c r="AM196" s="373"/>
      <c r="AN196" s="373"/>
      <c r="AO196" s="373"/>
      <c r="AP196" s="373"/>
      <c r="AQ196" s="373"/>
      <c r="AR196" s="373"/>
      <c r="AS196" s="373"/>
      <c r="AT196" s="373"/>
      <c r="AU196" s="373"/>
      <c r="AV196" s="373"/>
      <c r="AW196" s="373"/>
      <c r="AX196" s="373"/>
      <c r="AY196" s="373"/>
      <c r="AZ196" s="373"/>
      <c r="BA196" s="373"/>
      <c r="BB196" s="373"/>
      <c r="BC196" s="373"/>
      <c r="BD196" s="373"/>
      <c r="BE196" s="373"/>
      <c r="BF196" s="373"/>
      <c r="BG196" s="373"/>
      <c r="BH196" s="373"/>
      <c r="BI196" s="373"/>
      <c r="BJ196" s="373"/>
      <c r="BK196" s="373"/>
      <c r="BL196" s="373"/>
      <c r="BM196" s="373"/>
      <c r="BN196" s="373"/>
      <c r="BO196" s="373"/>
      <c r="BP196" s="373"/>
      <c r="BQ196" s="373"/>
      <c r="BR196" s="373"/>
      <c r="BS196" s="373"/>
      <c r="BT196" s="373"/>
      <c r="BU196" s="373"/>
      <c r="BV196" s="373"/>
      <c r="BW196" s="373"/>
      <c r="BX196" s="373"/>
      <c r="BY196" s="373"/>
      <c r="BZ196" s="373"/>
      <c r="CA196" s="373"/>
      <c r="CB196" s="373"/>
      <c r="CC196" s="373"/>
      <c r="CD196" s="373"/>
      <c r="CE196" s="373"/>
      <c r="CF196" s="373"/>
      <c r="CG196" s="373"/>
      <c r="CH196" s="373"/>
      <c r="CI196" s="373"/>
      <c r="CJ196" s="373"/>
      <c r="CK196" s="373"/>
      <c r="CL196" s="373"/>
      <c r="CM196" s="373"/>
      <c r="CN196" s="373"/>
      <c r="CO196" s="373"/>
      <c r="CP196" s="373"/>
      <c r="CQ196" s="373"/>
      <c r="CR196" s="373"/>
      <c r="CS196" s="373"/>
      <c r="CT196" s="373"/>
      <c r="CU196" s="373"/>
      <c r="CV196" s="373"/>
      <c r="CW196" s="373"/>
      <c r="CX196" s="373"/>
      <c r="CY196" s="373"/>
      <c r="CZ196" s="373"/>
      <c r="DA196" s="373"/>
      <c r="DB196" s="373"/>
      <c r="DC196" s="373"/>
      <c r="DD196" s="373"/>
      <c r="DE196" s="373"/>
      <c r="DF196" s="373"/>
      <c r="DG196" s="373"/>
      <c r="DH196" s="373"/>
      <c r="DI196" s="373"/>
      <c r="DJ196" s="373"/>
      <c r="DK196" s="373"/>
      <c r="DL196" s="373"/>
      <c r="DM196" s="373"/>
      <c r="DN196" s="373"/>
      <c r="DO196" s="373"/>
      <c r="DP196" s="373"/>
      <c r="DQ196" s="373"/>
      <c r="DR196" s="373"/>
      <c r="DS196" s="373"/>
      <c r="DT196" s="373"/>
      <c r="DU196" s="373"/>
      <c r="DV196" s="373"/>
      <c r="DW196" s="373"/>
      <c r="DX196" s="373"/>
      <c r="DY196" s="373"/>
      <c r="DZ196" s="373"/>
      <c r="EA196" s="373"/>
      <c r="EB196" s="373"/>
      <c r="EC196" s="373"/>
      <c r="ED196" s="373"/>
      <c r="EE196" s="373"/>
      <c r="EF196" s="373"/>
      <c r="EG196" s="373"/>
      <c r="EH196" s="373"/>
      <c r="EI196" s="373"/>
      <c r="EJ196" s="373"/>
      <c r="EK196" s="373"/>
      <c r="EL196" s="373"/>
      <c r="EM196" s="373"/>
      <c r="EN196" s="373"/>
      <c r="EO196" s="373"/>
      <c r="EP196" s="373"/>
      <c r="EQ196" s="373"/>
      <c r="ER196" s="373"/>
      <c r="ES196" s="373"/>
      <c r="ET196" s="373"/>
      <c r="EU196" s="373"/>
      <c r="EV196" s="373"/>
      <c r="EW196" s="373"/>
      <c r="EX196" s="373"/>
      <c r="EY196" s="373"/>
      <c r="EZ196" s="373"/>
      <c r="FA196" s="373"/>
      <c r="FB196" s="373"/>
      <c r="FC196" s="373"/>
      <c r="FD196" s="373"/>
      <c r="FE196" s="373"/>
      <c r="FF196" s="373"/>
      <c r="FG196" s="373"/>
      <c r="FH196" s="373"/>
      <c r="FI196" s="373"/>
      <c r="FJ196" s="373"/>
      <c r="FK196" s="373"/>
      <c r="FL196" s="373"/>
      <c r="FM196" s="373"/>
      <c r="FN196" s="373"/>
      <c r="FO196" s="373"/>
      <c r="FP196" s="373"/>
      <c r="FQ196" s="373"/>
      <c r="FR196" s="373"/>
      <c r="FS196" s="373"/>
      <c r="FT196" s="373"/>
      <c r="FU196" s="373"/>
      <c r="FV196" s="373"/>
      <c r="FW196" s="373"/>
      <c r="FX196" s="373"/>
      <c r="FY196" s="373"/>
      <c r="FZ196" s="373"/>
      <c r="GA196" s="373"/>
      <c r="GB196" s="373"/>
      <c r="GC196" s="373"/>
      <c r="GD196" s="373"/>
      <c r="GE196" s="373"/>
      <c r="GF196" s="373"/>
      <c r="GG196" s="373"/>
      <c r="GH196" s="373"/>
      <c r="GI196" s="373"/>
      <c r="GJ196" s="373"/>
      <c r="GK196" s="373"/>
      <c r="GL196" s="373"/>
      <c r="GM196" s="373"/>
      <c r="GN196" s="373"/>
      <c r="GO196" s="373"/>
      <c r="GP196" s="373"/>
      <c r="GQ196" s="373"/>
      <c r="GR196" s="373"/>
      <c r="GS196" s="373"/>
      <c r="GT196" s="373"/>
      <c r="GU196" s="373"/>
      <c r="GV196" s="373"/>
      <c r="GW196" s="373"/>
      <c r="GX196" s="373"/>
      <c r="GY196" s="373"/>
      <c r="GZ196" s="373"/>
      <c r="HA196" s="373"/>
      <c r="HB196" s="373"/>
      <c r="HC196" s="373"/>
      <c r="HD196" s="373"/>
      <c r="HE196" s="373"/>
      <c r="HF196" s="373"/>
      <c r="HG196" s="373"/>
      <c r="HH196" s="373"/>
      <c r="HI196" s="373"/>
      <c r="HJ196" s="373"/>
      <c r="HK196" s="373"/>
      <c r="HL196" s="373"/>
      <c r="HM196" s="373"/>
      <c r="HN196" s="373"/>
      <c r="HO196" s="373"/>
      <c r="HP196" s="373"/>
      <c r="HQ196" s="373"/>
      <c r="HR196" s="373"/>
      <c r="HS196" s="373"/>
      <c r="HT196" s="373"/>
      <c r="HU196" s="373"/>
      <c r="HV196" s="373"/>
      <c r="HW196" s="373"/>
      <c r="HX196" s="373"/>
      <c r="HY196" s="373"/>
      <c r="HZ196" s="373"/>
      <c r="IA196" s="373"/>
      <c r="IB196" s="373"/>
      <c r="IC196" s="373"/>
      <c r="ID196" s="373"/>
      <c r="IE196" s="373"/>
      <c r="IF196" s="373"/>
      <c r="IG196" s="373"/>
      <c r="IH196" s="373"/>
      <c r="II196" s="373"/>
      <c r="IJ196" s="373"/>
      <c r="IK196" s="373"/>
      <c r="IL196" s="373"/>
      <c r="IM196" s="373"/>
      <c r="IN196" s="373"/>
      <c r="IO196" s="373"/>
      <c r="IP196" s="373"/>
      <c r="IQ196" s="373"/>
      <c r="IR196" s="373"/>
      <c r="IS196" s="373"/>
      <c r="IT196" s="373"/>
      <c r="IU196" s="373"/>
      <c r="IV196" s="373"/>
    </row>
    <row r="197" spans="1:256" ht="14.25" x14ac:dyDescent="0.2">
      <c r="A197" s="250"/>
      <c r="B197" s="250"/>
      <c r="C197" s="250"/>
      <c r="D197" s="251" t="s">
        <v>157</v>
      </c>
      <c r="E197" s="251"/>
      <c r="F197" s="251"/>
      <c r="G197" s="251"/>
      <c r="H197" s="251"/>
      <c r="I197" s="252"/>
      <c r="J197" s="253">
        <v>0</v>
      </c>
      <c r="K197" s="254"/>
      <c r="L197" s="253">
        <v>0</v>
      </c>
      <c r="M197" s="374"/>
      <c r="N197" s="376"/>
      <c r="O197" s="376"/>
      <c r="P197" s="376"/>
      <c r="Q197" s="376"/>
      <c r="R197" s="376"/>
      <c r="S197" s="376"/>
      <c r="T197" s="376"/>
      <c r="U197" s="376"/>
      <c r="V197" s="376"/>
      <c r="W197" s="376"/>
      <c r="X197" s="376"/>
      <c r="Y197" s="376"/>
      <c r="Z197" s="376"/>
      <c r="AA197" s="376"/>
      <c r="AB197" s="376"/>
      <c r="AC197" s="376"/>
      <c r="AD197" s="376"/>
      <c r="AE197" s="376"/>
      <c r="AF197" s="376"/>
      <c r="AG197" s="376"/>
      <c r="AH197" s="376"/>
      <c r="AI197" s="376"/>
      <c r="AJ197" s="376"/>
      <c r="AK197" s="376"/>
      <c r="AL197" s="376"/>
      <c r="AM197" s="376"/>
      <c r="AN197" s="376"/>
      <c r="AO197" s="376"/>
      <c r="AP197" s="376"/>
      <c r="AQ197" s="376"/>
      <c r="AR197" s="376"/>
      <c r="AS197" s="376"/>
      <c r="AT197" s="376"/>
      <c r="AU197" s="376"/>
      <c r="AV197" s="376"/>
      <c r="AW197" s="376"/>
      <c r="AX197" s="376"/>
      <c r="AY197" s="376"/>
      <c r="AZ197" s="376"/>
      <c r="BA197" s="376"/>
      <c r="BB197" s="376"/>
      <c r="BC197" s="376"/>
      <c r="BD197" s="376"/>
      <c r="BE197" s="376"/>
      <c r="BF197" s="376"/>
      <c r="BG197" s="376"/>
      <c r="BH197" s="376"/>
      <c r="BI197" s="376"/>
      <c r="BJ197" s="376"/>
      <c r="BK197" s="376"/>
      <c r="BL197" s="376"/>
      <c r="BM197" s="376"/>
      <c r="BN197" s="376"/>
      <c r="BO197" s="376"/>
      <c r="BP197" s="376"/>
      <c r="BQ197" s="376"/>
      <c r="BR197" s="376"/>
      <c r="BS197" s="376"/>
      <c r="BT197" s="376"/>
      <c r="BU197" s="376"/>
      <c r="BV197" s="376"/>
      <c r="BW197" s="376"/>
      <c r="BX197" s="376"/>
      <c r="BY197" s="376"/>
      <c r="BZ197" s="376"/>
      <c r="CA197" s="376"/>
      <c r="CB197" s="376"/>
      <c r="CC197" s="376"/>
      <c r="CD197" s="376"/>
      <c r="CE197" s="376"/>
      <c r="CF197" s="376"/>
      <c r="CG197" s="376"/>
      <c r="CH197" s="376"/>
      <c r="CI197" s="376"/>
      <c r="CJ197" s="376"/>
      <c r="CK197" s="376"/>
      <c r="CL197" s="376"/>
      <c r="CM197" s="376"/>
      <c r="CN197" s="376"/>
      <c r="CO197" s="376"/>
      <c r="CP197" s="376"/>
      <c r="CQ197" s="376"/>
      <c r="CR197" s="376"/>
      <c r="CS197" s="376"/>
      <c r="CT197" s="376"/>
      <c r="CU197" s="376"/>
      <c r="CV197" s="376"/>
      <c r="CW197" s="376"/>
      <c r="CX197" s="376"/>
      <c r="CY197" s="376"/>
      <c r="CZ197" s="376"/>
      <c r="DA197" s="376"/>
      <c r="DB197" s="376"/>
      <c r="DC197" s="376"/>
      <c r="DD197" s="376"/>
      <c r="DE197" s="376"/>
      <c r="DF197" s="376"/>
      <c r="DG197" s="376"/>
      <c r="DH197" s="376"/>
      <c r="DI197" s="376"/>
      <c r="DJ197" s="376"/>
      <c r="DK197" s="376"/>
      <c r="DL197" s="376"/>
      <c r="DM197" s="376"/>
      <c r="DN197" s="376"/>
      <c r="DO197" s="376"/>
      <c r="DP197" s="376"/>
      <c r="DQ197" s="376"/>
      <c r="DR197" s="376"/>
      <c r="DS197" s="376"/>
      <c r="DT197" s="376"/>
      <c r="DU197" s="376"/>
      <c r="DV197" s="376"/>
      <c r="DW197" s="376"/>
      <c r="DX197" s="376"/>
      <c r="DY197" s="376"/>
      <c r="DZ197" s="376"/>
      <c r="EA197" s="376"/>
      <c r="EB197" s="376"/>
      <c r="EC197" s="376"/>
      <c r="ED197" s="376"/>
      <c r="EE197" s="376"/>
      <c r="EF197" s="376"/>
      <c r="EG197" s="376"/>
      <c r="EH197" s="376"/>
      <c r="EI197" s="376"/>
      <c r="EJ197" s="376"/>
      <c r="EK197" s="376"/>
      <c r="EL197" s="376"/>
      <c r="EM197" s="376"/>
      <c r="EN197" s="376"/>
      <c r="EO197" s="376"/>
      <c r="EP197" s="376"/>
      <c r="EQ197" s="376"/>
      <c r="ER197" s="376"/>
      <c r="ES197" s="376"/>
      <c r="ET197" s="376"/>
      <c r="EU197" s="376"/>
      <c r="EV197" s="376"/>
      <c r="EW197" s="376"/>
      <c r="EX197" s="376"/>
      <c r="EY197" s="376"/>
      <c r="EZ197" s="376"/>
      <c r="FA197" s="376"/>
      <c r="FB197" s="376"/>
      <c r="FC197" s="376"/>
      <c r="FD197" s="376"/>
      <c r="FE197" s="376"/>
      <c r="FF197" s="376"/>
      <c r="FG197" s="376"/>
      <c r="FH197" s="376"/>
      <c r="FI197" s="376"/>
      <c r="FJ197" s="376"/>
      <c r="FK197" s="376"/>
      <c r="FL197" s="376"/>
      <c r="FM197" s="376"/>
      <c r="FN197" s="376"/>
      <c r="FO197" s="376"/>
      <c r="FP197" s="376"/>
      <c r="FQ197" s="376"/>
      <c r="FR197" s="376"/>
      <c r="FS197" s="376"/>
      <c r="FT197" s="376"/>
      <c r="FU197" s="376"/>
      <c r="FV197" s="376"/>
      <c r="FW197" s="376"/>
      <c r="FX197" s="376"/>
      <c r="FY197" s="376"/>
      <c r="FZ197" s="376"/>
      <c r="GA197" s="376"/>
      <c r="GB197" s="376"/>
      <c r="GC197" s="376"/>
      <c r="GD197" s="376"/>
      <c r="GE197" s="376"/>
      <c r="GF197" s="376"/>
      <c r="GG197" s="376"/>
      <c r="GH197" s="376"/>
      <c r="GI197" s="376"/>
      <c r="GJ197" s="376"/>
      <c r="GK197" s="376"/>
      <c r="GL197" s="376"/>
      <c r="GM197" s="376"/>
      <c r="GN197" s="376"/>
      <c r="GO197" s="376"/>
      <c r="GP197" s="376"/>
      <c r="GQ197" s="376"/>
      <c r="GR197" s="376"/>
      <c r="GS197" s="376"/>
      <c r="GT197" s="376"/>
      <c r="GU197" s="376"/>
      <c r="GV197" s="376"/>
      <c r="GW197" s="376"/>
      <c r="GX197" s="376"/>
      <c r="GY197" s="376"/>
      <c r="GZ197" s="376"/>
      <c r="HA197" s="376"/>
      <c r="HB197" s="376"/>
      <c r="HC197" s="376"/>
      <c r="HD197" s="376"/>
      <c r="HE197" s="376"/>
      <c r="HF197" s="376"/>
      <c r="HG197" s="376"/>
      <c r="HH197" s="376"/>
      <c r="HI197" s="376"/>
      <c r="HJ197" s="376"/>
      <c r="HK197" s="376"/>
      <c r="HL197" s="376"/>
      <c r="HM197" s="376"/>
      <c r="HN197" s="376"/>
      <c r="HO197" s="376"/>
      <c r="HP197" s="376"/>
      <c r="HQ197" s="376"/>
      <c r="HR197" s="376"/>
      <c r="HS197" s="376"/>
      <c r="HT197" s="376"/>
      <c r="HU197" s="376"/>
      <c r="HV197" s="376"/>
      <c r="HW197" s="376"/>
      <c r="HX197" s="376"/>
      <c r="HY197" s="376"/>
      <c r="HZ197" s="376"/>
      <c r="IA197" s="376"/>
      <c r="IB197" s="376"/>
      <c r="IC197" s="376"/>
      <c r="ID197" s="376"/>
      <c r="IE197" s="376"/>
      <c r="IF197" s="376"/>
      <c r="IG197" s="376"/>
      <c r="IH197" s="376"/>
      <c r="II197" s="376"/>
      <c r="IJ197" s="376"/>
      <c r="IK197" s="376"/>
      <c r="IL197" s="376"/>
      <c r="IM197" s="376"/>
      <c r="IN197" s="376"/>
      <c r="IO197" s="376"/>
      <c r="IP197" s="376"/>
      <c r="IQ197" s="376"/>
      <c r="IR197" s="376"/>
      <c r="IS197" s="376"/>
      <c r="IT197" s="376"/>
      <c r="IU197" s="376"/>
      <c r="IV197" s="376"/>
    </row>
    <row r="198" spans="1:256" ht="15" x14ac:dyDescent="0.25">
      <c r="A198" s="237"/>
      <c r="B198" s="237"/>
      <c r="C198" s="237"/>
      <c r="D198" s="377" t="s">
        <v>196</v>
      </c>
      <c r="E198" s="377"/>
      <c r="F198" s="377"/>
      <c r="G198" s="377"/>
      <c r="H198" s="377"/>
      <c r="I198" s="377"/>
      <c r="J198" s="378">
        <f>J195*15%</f>
        <v>558.07000000000005</v>
      </c>
      <c r="K198" s="378"/>
      <c r="L198" s="378">
        <f>L195*15%</f>
        <v>13521.94</v>
      </c>
      <c r="M198" s="370">
        <v>3502.96</v>
      </c>
      <c r="N198" s="371"/>
      <c r="O198" s="371"/>
      <c r="P198" s="371"/>
      <c r="Q198" s="371"/>
      <c r="R198" s="371"/>
      <c r="S198" s="371"/>
      <c r="T198" s="371"/>
      <c r="U198" s="371"/>
      <c r="V198" s="371"/>
      <c r="W198" s="371"/>
      <c r="X198" s="371"/>
      <c r="Y198" s="371"/>
      <c r="Z198" s="371"/>
      <c r="AA198" s="371"/>
      <c r="AB198" s="371"/>
      <c r="AC198" s="371"/>
      <c r="AD198" s="371"/>
      <c r="AE198" s="371"/>
      <c r="AF198" s="371"/>
      <c r="AG198" s="371"/>
      <c r="AH198" s="371"/>
      <c r="AI198" s="371"/>
      <c r="AJ198" s="371"/>
      <c r="AK198" s="371"/>
      <c r="AL198" s="371"/>
      <c r="AM198" s="371"/>
      <c r="AN198" s="371"/>
      <c r="AO198" s="371"/>
      <c r="AP198" s="371"/>
      <c r="AQ198" s="371"/>
      <c r="AR198" s="371"/>
      <c r="AS198" s="371"/>
      <c r="AT198" s="371"/>
      <c r="AU198" s="371"/>
      <c r="AV198" s="371"/>
      <c r="AW198" s="371"/>
      <c r="AX198" s="371"/>
      <c r="AY198" s="371"/>
      <c r="AZ198" s="371"/>
      <c r="BA198" s="371"/>
      <c r="BB198" s="371"/>
      <c r="BC198" s="371"/>
      <c r="BD198" s="371"/>
      <c r="BE198" s="371"/>
      <c r="BF198" s="371"/>
      <c r="BG198" s="371"/>
      <c r="BH198" s="371"/>
      <c r="BI198" s="371"/>
      <c r="BJ198" s="371"/>
      <c r="BK198" s="371"/>
      <c r="BL198" s="371"/>
      <c r="BM198" s="371"/>
      <c r="BN198" s="371"/>
      <c r="BO198" s="371"/>
      <c r="BP198" s="371"/>
      <c r="BQ198" s="371"/>
      <c r="BR198" s="371"/>
      <c r="BS198" s="371"/>
      <c r="BT198" s="371"/>
      <c r="BU198" s="371"/>
      <c r="BV198" s="371"/>
      <c r="BW198" s="371"/>
      <c r="BX198" s="371"/>
      <c r="BY198" s="371"/>
      <c r="BZ198" s="371"/>
      <c r="CA198" s="371"/>
      <c r="CB198" s="371"/>
      <c r="CC198" s="371"/>
      <c r="CD198" s="371"/>
      <c r="CE198" s="371"/>
      <c r="CF198" s="371"/>
      <c r="CG198" s="371"/>
      <c r="CH198" s="371"/>
      <c r="CI198" s="371"/>
      <c r="CJ198" s="371"/>
      <c r="CK198" s="371"/>
      <c r="CL198" s="371"/>
      <c r="CM198" s="371"/>
      <c r="CN198" s="371"/>
      <c r="CO198" s="371"/>
      <c r="CP198" s="371"/>
      <c r="CQ198" s="371"/>
      <c r="CR198" s="371"/>
      <c r="CS198" s="371"/>
      <c r="CT198" s="371"/>
      <c r="CU198" s="371"/>
      <c r="CV198" s="371"/>
      <c r="CW198" s="371"/>
      <c r="CX198" s="371"/>
      <c r="CY198" s="371"/>
      <c r="CZ198" s="371"/>
      <c r="DA198" s="371"/>
      <c r="DB198" s="371"/>
      <c r="DC198" s="371"/>
      <c r="DD198" s="371"/>
      <c r="DE198" s="371"/>
      <c r="DF198" s="371"/>
      <c r="DG198" s="371"/>
      <c r="DH198" s="371"/>
      <c r="DI198" s="371"/>
      <c r="DJ198" s="371"/>
      <c r="DK198" s="371"/>
      <c r="DL198" s="371"/>
      <c r="DM198" s="371"/>
      <c r="DN198" s="371"/>
      <c r="DO198" s="371"/>
      <c r="DP198" s="371"/>
      <c r="DQ198" s="371"/>
      <c r="DR198" s="371"/>
      <c r="DS198" s="371"/>
      <c r="DT198" s="371"/>
      <c r="DU198" s="371"/>
      <c r="DV198" s="371"/>
      <c r="DW198" s="371"/>
      <c r="DX198" s="371"/>
      <c r="DY198" s="371"/>
      <c r="DZ198" s="371"/>
      <c r="EA198" s="371"/>
      <c r="EB198" s="371"/>
      <c r="EC198" s="371"/>
      <c r="ED198" s="371"/>
      <c r="EE198" s="371"/>
      <c r="EF198" s="371"/>
      <c r="EG198" s="371"/>
      <c r="EH198" s="371"/>
      <c r="EI198" s="371"/>
      <c r="EJ198" s="371"/>
      <c r="EK198" s="371"/>
      <c r="EL198" s="371"/>
      <c r="EM198" s="371"/>
      <c r="EN198" s="371"/>
      <c r="EO198" s="371"/>
      <c r="EP198" s="371"/>
      <c r="EQ198" s="371"/>
      <c r="ER198" s="371"/>
      <c r="ES198" s="371"/>
      <c r="ET198" s="371"/>
      <c r="EU198" s="371"/>
      <c r="EV198" s="371"/>
      <c r="EW198" s="371"/>
      <c r="EX198" s="371"/>
      <c r="EY198" s="371"/>
      <c r="EZ198" s="371"/>
      <c r="FA198" s="371"/>
      <c r="FB198" s="371"/>
      <c r="FC198" s="371"/>
      <c r="FD198" s="371"/>
      <c r="FE198" s="371"/>
      <c r="FF198" s="371"/>
      <c r="FG198" s="371"/>
      <c r="FH198" s="371"/>
      <c r="FI198" s="371"/>
      <c r="FJ198" s="371"/>
      <c r="FK198" s="371"/>
      <c r="FL198" s="371"/>
      <c r="FM198" s="371"/>
      <c r="FN198" s="371"/>
      <c r="FO198" s="371"/>
      <c r="FP198" s="371"/>
      <c r="FQ198" s="371"/>
      <c r="FR198" s="371"/>
      <c r="FS198" s="371"/>
      <c r="FT198" s="371"/>
      <c r="FU198" s="371"/>
      <c r="FV198" s="371"/>
      <c r="FW198" s="371"/>
      <c r="FX198" s="371"/>
      <c r="FY198" s="371"/>
      <c r="FZ198" s="371"/>
      <c r="GA198" s="371"/>
      <c r="GB198" s="371"/>
      <c r="GC198" s="371"/>
      <c r="GD198" s="371"/>
      <c r="GE198" s="371"/>
      <c r="GF198" s="371"/>
      <c r="GG198" s="371"/>
      <c r="GH198" s="371"/>
      <c r="GI198" s="371"/>
      <c r="GJ198" s="371"/>
      <c r="GK198" s="371"/>
      <c r="GL198" s="371"/>
      <c r="GM198" s="371"/>
      <c r="GN198" s="371"/>
      <c r="GO198" s="371"/>
      <c r="GP198" s="371"/>
      <c r="GQ198" s="371"/>
      <c r="GR198" s="371"/>
      <c r="GS198" s="371"/>
      <c r="GT198" s="371"/>
      <c r="GU198" s="371"/>
      <c r="GV198" s="371"/>
      <c r="GW198" s="371"/>
      <c r="GX198" s="371"/>
      <c r="GY198" s="371"/>
      <c r="GZ198" s="371"/>
      <c r="HA198" s="371"/>
      <c r="HB198" s="371"/>
      <c r="HC198" s="371"/>
      <c r="HD198" s="371"/>
      <c r="HE198" s="371"/>
      <c r="HF198" s="371"/>
      <c r="HG198" s="371"/>
      <c r="HH198" s="371"/>
      <c r="HI198" s="371"/>
      <c r="HJ198" s="371"/>
      <c r="HK198" s="371"/>
      <c r="HL198" s="371"/>
      <c r="HM198" s="371"/>
      <c r="HN198" s="371"/>
      <c r="HO198" s="371"/>
      <c r="HP198" s="371"/>
      <c r="HQ198" s="371"/>
      <c r="HR198" s="371"/>
      <c r="HS198" s="371"/>
      <c r="HT198" s="371"/>
      <c r="HU198" s="371"/>
      <c r="HV198" s="371"/>
      <c r="HW198" s="371"/>
      <c r="HX198" s="371"/>
      <c r="HY198" s="371"/>
      <c r="HZ198" s="371"/>
      <c r="IA198" s="371"/>
      <c r="IB198" s="371"/>
      <c r="IC198" s="371"/>
      <c r="ID198" s="371"/>
      <c r="IE198" s="371"/>
      <c r="IF198" s="371"/>
      <c r="IG198" s="371"/>
      <c r="IH198" s="371"/>
      <c r="II198" s="371"/>
      <c r="IJ198" s="371"/>
      <c r="IK198" s="371"/>
      <c r="IL198" s="371"/>
      <c r="IM198" s="371"/>
      <c r="IN198" s="371"/>
      <c r="IO198" s="371"/>
      <c r="IP198" s="371"/>
      <c r="IQ198" s="371"/>
      <c r="IR198" s="371"/>
      <c r="IS198" s="371"/>
      <c r="IT198" s="371"/>
      <c r="IU198" s="371"/>
      <c r="IV198" s="371"/>
    </row>
    <row r="199" spans="1:256" ht="14.25" x14ac:dyDescent="0.2">
      <c r="A199" s="237"/>
      <c r="B199" s="237"/>
      <c r="C199" s="237"/>
      <c r="D199" s="379" t="s">
        <v>197</v>
      </c>
      <c r="E199" s="380"/>
      <c r="F199" s="380"/>
      <c r="G199" s="380"/>
      <c r="H199" s="380"/>
      <c r="I199" s="380"/>
      <c r="J199" s="381">
        <f>J193+J198</f>
        <v>112870.22</v>
      </c>
      <c r="K199" s="381"/>
      <c r="L199" s="381">
        <f>L193+L198</f>
        <v>610274.86</v>
      </c>
      <c r="M199" s="370" t="e">
        <v>#REF!</v>
      </c>
      <c r="N199" s="371"/>
      <c r="O199" s="371"/>
      <c r="P199" s="371"/>
      <c r="Q199" s="371"/>
      <c r="R199" s="371"/>
      <c r="S199" s="371"/>
      <c r="T199" s="371"/>
      <c r="U199" s="371"/>
      <c r="V199" s="371"/>
      <c r="W199" s="371"/>
      <c r="X199" s="371"/>
      <c r="Y199" s="371"/>
      <c r="Z199" s="371"/>
      <c r="AA199" s="371"/>
      <c r="AB199" s="371"/>
      <c r="AC199" s="371"/>
      <c r="AD199" s="371"/>
      <c r="AE199" s="371"/>
      <c r="AF199" s="371"/>
      <c r="AG199" s="371"/>
      <c r="AH199" s="371"/>
      <c r="AI199" s="371"/>
      <c r="AJ199" s="371"/>
      <c r="AK199" s="371"/>
      <c r="AL199" s="371"/>
      <c r="AM199" s="371"/>
      <c r="AN199" s="371"/>
      <c r="AO199" s="371"/>
      <c r="AP199" s="371"/>
      <c r="AQ199" s="371"/>
      <c r="AR199" s="371"/>
      <c r="AS199" s="371"/>
      <c r="AT199" s="371"/>
      <c r="AU199" s="371"/>
      <c r="AV199" s="371"/>
      <c r="AW199" s="371"/>
      <c r="AX199" s="371"/>
      <c r="AY199" s="371"/>
      <c r="AZ199" s="371"/>
      <c r="BA199" s="371"/>
      <c r="BB199" s="371"/>
      <c r="BC199" s="371"/>
      <c r="BD199" s="371"/>
      <c r="BE199" s="371"/>
      <c r="BF199" s="371"/>
      <c r="BG199" s="371"/>
      <c r="BH199" s="371"/>
      <c r="BI199" s="371"/>
      <c r="BJ199" s="371"/>
      <c r="BK199" s="371"/>
      <c r="BL199" s="371"/>
      <c r="BM199" s="371"/>
      <c r="BN199" s="371"/>
      <c r="BO199" s="371"/>
      <c r="BP199" s="371"/>
      <c r="BQ199" s="371"/>
      <c r="BR199" s="371"/>
      <c r="BS199" s="371"/>
      <c r="BT199" s="371"/>
      <c r="BU199" s="371"/>
      <c r="BV199" s="371"/>
      <c r="BW199" s="371"/>
      <c r="BX199" s="371"/>
      <c r="BY199" s="371"/>
      <c r="BZ199" s="371"/>
      <c r="CA199" s="371"/>
      <c r="CB199" s="371"/>
      <c r="CC199" s="371"/>
      <c r="CD199" s="371"/>
      <c r="CE199" s="371"/>
      <c r="CF199" s="371"/>
      <c r="CG199" s="371"/>
      <c r="CH199" s="371"/>
      <c r="CI199" s="371"/>
      <c r="CJ199" s="371"/>
      <c r="CK199" s="371"/>
      <c r="CL199" s="371"/>
      <c r="CM199" s="371"/>
      <c r="CN199" s="371"/>
      <c r="CO199" s="371"/>
      <c r="CP199" s="371"/>
      <c r="CQ199" s="371"/>
      <c r="CR199" s="371"/>
      <c r="CS199" s="371"/>
      <c r="CT199" s="371"/>
      <c r="CU199" s="371"/>
      <c r="CV199" s="371"/>
      <c r="CW199" s="371"/>
      <c r="CX199" s="371"/>
      <c r="CY199" s="371"/>
      <c r="CZ199" s="371"/>
      <c r="DA199" s="371"/>
      <c r="DB199" s="371"/>
      <c r="DC199" s="371"/>
      <c r="DD199" s="371"/>
      <c r="DE199" s="371"/>
      <c r="DF199" s="371"/>
      <c r="DG199" s="371"/>
      <c r="DH199" s="371"/>
      <c r="DI199" s="371"/>
      <c r="DJ199" s="371"/>
      <c r="DK199" s="371"/>
      <c r="DL199" s="371"/>
      <c r="DM199" s="371"/>
      <c r="DN199" s="371"/>
      <c r="DO199" s="371"/>
      <c r="DP199" s="371"/>
      <c r="DQ199" s="371"/>
      <c r="DR199" s="371"/>
      <c r="DS199" s="371"/>
      <c r="DT199" s="371"/>
      <c r="DU199" s="371"/>
      <c r="DV199" s="371"/>
      <c r="DW199" s="371"/>
      <c r="DX199" s="371"/>
      <c r="DY199" s="371"/>
      <c r="DZ199" s="371"/>
      <c r="EA199" s="371"/>
      <c r="EB199" s="371"/>
      <c r="EC199" s="371"/>
      <c r="ED199" s="371"/>
      <c r="EE199" s="371"/>
      <c r="EF199" s="371"/>
      <c r="EG199" s="371"/>
      <c r="EH199" s="371"/>
      <c r="EI199" s="371"/>
      <c r="EJ199" s="371"/>
      <c r="EK199" s="371"/>
      <c r="EL199" s="371"/>
      <c r="EM199" s="371"/>
      <c r="EN199" s="371"/>
      <c r="EO199" s="371"/>
      <c r="EP199" s="371"/>
      <c r="EQ199" s="371"/>
      <c r="ER199" s="371"/>
      <c r="ES199" s="371"/>
      <c r="ET199" s="371"/>
      <c r="EU199" s="371"/>
      <c r="EV199" s="371"/>
      <c r="EW199" s="371"/>
      <c r="EX199" s="371"/>
      <c r="EY199" s="371"/>
      <c r="EZ199" s="371"/>
      <c r="FA199" s="371"/>
      <c r="FB199" s="371"/>
      <c r="FC199" s="371"/>
      <c r="FD199" s="371"/>
      <c r="FE199" s="371"/>
      <c r="FF199" s="371"/>
      <c r="FG199" s="371"/>
      <c r="FH199" s="371"/>
      <c r="FI199" s="371"/>
      <c r="FJ199" s="371"/>
      <c r="FK199" s="371"/>
      <c r="FL199" s="371"/>
      <c r="FM199" s="371"/>
      <c r="FN199" s="371"/>
      <c r="FO199" s="371"/>
      <c r="FP199" s="371"/>
      <c r="FQ199" s="371"/>
      <c r="FR199" s="371"/>
      <c r="FS199" s="371"/>
      <c r="FT199" s="371"/>
      <c r="FU199" s="371"/>
      <c r="FV199" s="371"/>
      <c r="FW199" s="371"/>
      <c r="FX199" s="371"/>
      <c r="FY199" s="371"/>
      <c r="FZ199" s="371"/>
      <c r="GA199" s="371"/>
      <c r="GB199" s="371"/>
      <c r="GC199" s="371"/>
      <c r="GD199" s="371"/>
      <c r="GE199" s="371"/>
      <c r="GF199" s="371"/>
      <c r="GG199" s="371"/>
      <c r="GH199" s="371"/>
      <c r="GI199" s="371"/>
      <c r="GJ199" s="371"/>
      <c r="GK199" s="371"/>
      <c r="GL199" s="371"/>
      <c r="GM199" s="371"/>
      <c r="GN199" s="371"/>
      <c r="GO199" s="371"/>
      <c r="GP199" s="371"/>
      <c r="GQ199" s="371"/>
      <c r="GR199" s="371"/>
      <c r="GS199" s="371"/>
      <c r="GT199" s="371"/>
      <c r="GU199" s="371"/>
      <c r="GV199" s="371"/>
      <c r="GW199" s="371"/>
      <c r="GX199" s="371"/>
      <c r="GY199" s="371"/>
      <c r="GZ199" s="371"/>
      <c r="HA199" s="371"/>
      <c r="HB199" s="371"/>
      <c r="HC199" s="371"/>
      <c r="HD199" s="371"/>
      <c r="HE199" s="371"/>
      <c r="HF199" s="371"/>
      <c r="HG199" s="371"/>
      <c r="HH199" s="371"/>
      <c r="HI199" s="371"/>
      <c r="HJ199" s="371"/>
      <c r="HK199" s="371"/>
      <c r="HL199" s="371"/>
      <c r="HM199" s="371"/>
      <c r="HN199" s="371"/>
      <c r="HO199" s="371"/>
      <c r="HP199" s="371"/>
      <c r="HQ199" s="371"/>
      <c r="HR199" s="371"/>
      <c r="HS199" s="371"/>
      <c r="HT199" s="371"/>
      <c r="HU199" s="371"/>
      <c r="HV199" s="371"/>
      <c r="HW199" s="371"/>
      <c r="HX199" s="371"/>
      <c r="HY199" s="371"/>
      <c r="HZ199" s="371"/>
      <c r="IA199" s="371"/>
      <c r="IB199" s="371"/>
      <c r="IC199" s="371"/>
      <c r="ID199" s="371"/>
      <c r="IE199" s="371"/>
      <c r="IF199" s="371"/>
      <c r="IG199" s="371"/>
      <c r="IH199" s="371"/>
      <c r="II199" s="371"/>
      <c r="IJ199" s="371"/>
      <c r="IK199" s="371"/>
      <c r="IL199" s="371"/>
      <c r="IM199" s="371"/>
      <c r="IN199" s="371"/>
      <c r="IO199" s="371"/>
      <c r="IP199" s="371"/>
      <c r="IQ199" s="371"/>
      <c r="IR199" s="371"/>
      <c r="IS199" s="371"/>
      <c r="IT199" s="371"/>
      <c r="IU199" s="371"/>
      <c r="IV199" s="371"/>
    </row>
    <row r="200" spans="1:256" ht="14.25" x14ac:dyDescent="0.2">
      <c r="A200" s="241"/>
      <c r="B200" s="241"/>
      <c r="C200" s="241"/>
      <c r="D200" s="241"/>
      <c r="E200" s="241"/>
      <c r="F200" s="241"/>
      <c r="G200" s="241"/>
      <c r="H200" s="241"/>
      <c r="I200" s="241"/>
      <c r="J200" s="241"/>
      <c r="K200" s="241"/>
      <c r="L200" s="241"/>
      <c r="M200" s="374"/>
      <c r="N200" s="375"/>
      <c r="O200" s="375"/>
      <c r="P200" s="375"/>
      <c r="Q200" s="375"/>
      <c r="R200" s="375"/>
      <c r="S200" s="375"/>
      <c r="T200" s="375"/>
      <c r="U200" s="375"/>
      <c r="V200" s="375"/>
      <c r="W200" s="375"/>
      <c r="X200" s="375"/>
      <c r="Y200" s="375"/>
      <c r="Z200" s="375"/>
      <c r="AA200" s="375"/>
      <c r="AB200" s="375"/>
      <c r="AC200" s="375"/>
      <c r="AD200" s="375"/>
      <c r="AE200" s="375"/>
      <c r="AF200" s="375"/>
      <c r="AG200" s="375"/>
      <c r="AH200" s="375"/>
      <c r="AI200" s="375"/>
      <c r="AJ200" s="375"/>
      <c r="AK200" s="375"/>
      <c r="AL200" s="375"/>
      <c r="AM200" s="375"/>
      <c r="AN200" s="375"/>
      <c r="AO200" s="375"/>
      <c r="AP200" s="375"/>
      <c r="AQ200" s="375"/>
      <c r="AR200" s="375"/>
      <c r="AS200" s="375"/>
      <c r="AT200" s="375"/>
      <c r="AU200" s="375"/>
      <c r="AV200" s="375"/>
      <c r="AW200" s="375"/>
      <c r="AX200" s="375"/>
      <c r="AY200" s="375"/>
      <c r="AZ200" s="375"/>
      <c r="BA200" s="375"/>
      <c r="BB200" s="375"/>
      <c r="BC200" s="375"/>
      <c r="BD200" s="375"/>
      <c r="BE200" s="375"/>
      <c r="BF200" s="375"/>
      <c r="BG200" s="375"/>
      <c r="BH200" s="375"/>
      <c r="BI200" s="375"/>
      <c r="BJ200" s="375"/>
      <c r="BK200" s="375"/>
      <c r="BL200" s="375"/>
      <c r="BM200" s="375"/>
      <c r="BN200" s="375"/>
      <c r="BO200" s="375"/>
      <c r="BP200" s="375"/>
      <c r="BQ200" s="375"/>
      <c r="BR200" s="375"/>
      <c r="BS200" s="375"/>
      <c r="BT200" s="375"/>
      <c r="BU200" s="375"/>
      <c r="BV200" s="375"/>
      <c r="BW200" s="375"/>
      <c r="BX200" s="375"/>
      <c r="BY200" s="375"/>
      <c r="BZ200" s="375"/>
      <c r="CA200" s="375"/>
      <c r="CB200" s="375"/>
      <c r="CC200" s="375"/>
      <c r="CD200" s="375"/>
      <c r="CE200" s="375"/>
      <c r="CF200" s="375"/>
      <c r="CG200" s="375"/>
      <c r="CH200" s="375"/>
      <c r="CI200" s="375"/>
      <c r="CJ200" s="375"/>
      <c r="CK200" s="375"/>
      <c r="CL200" s="375"/>
      <c r="CM200" s="375"/>
      <c r="CN200" s="375"/>
      <c r="CO200" s="375"/>
      <c r="CP200" s="375"/>
      <c r="CQ200" s="375"/>
      <c r="CR200" s="375"/>
      <c r="CS200" s="375"/>
      <c r="CT200" s="375"/>
      <c r="CU200" s="375"/>
      <c r="CV200" s="375"/>
      <c r="CW200" s="375"/>
      <c r="CX200" s="375"/>
      <c r="CY200" s="375"/>
      <c r="CZ200" s="375"/>
      <c r="DA200" s="375"/>
      <c r="DB200" s="375"/>
      <c r="DC200" s="375"/>
      <c r="DD200" s="375"/>
      <c r="DE200" s="375"/>
      <c r="DF200" s="375"/>
      <c r="DG200" s="375"/>
      <c r="DH200" s="375"/>
      <c r="DI200" s="375"/>
      <c r="DJ200" s="375"/>
      <c r="DK200" s="375"/>
      <c r="DL200" s="375"/>
      <c r="DM200" s="375"/>
      <c r="DN200" s="375"/>
      <c r="DO200" s="375"/>
      <c r="DP200" s="375"/>
      <c r="DQ200" s="375"/>
      <c r="DR200" s="375"/>
      <c r="DS200" s="375"/>
      <c r="DT200" s="375"/>
      <c r="DU200" s="375"/>
      <c r="DV200" s="375"/>
      <c r="DW200" s="375"/>
      <c r="DX200" s="375"/>
      <c r="DY200" s="375"/>
      <c r="DZ200" s="375"/>
      <c r="EA200" s="375"/>
      <c r="EB200" s="375"/>
      <c r="EC200" s="375"/>
      <c r="ED200" s="375"/>
      <c r="EE200" s="375"/>
      <c r="EF200" s="375"/>
      <c r="EG200" s="375"/>
      <c r="EH200" s="375"/>
      <c r="EI200" s="375"/>
      <c r="EJ200" s="375"/>
      <c r="EK200" s="375"/>
      <c r="EL200" s="375"/>
      <c r="EM200" s="375"/>
      <c r="EN200" s="375"/>
      <c r="EO200" s="375"/>
      <c r="EP200" s="375"/>
      <c r="EQ200" s="375"/>
      <c r="ER200" s="375"/>
      <c r="ES200" s="375"/>
      <c r="ET200" s="375"/>
      <c r="EU200" s="375"/>
      <c r="EV200" s="375"/>
      <c r="EW200" s="375"/>
      <c r="EX200" s="375"/>
      <c r="EY200" s="375"/>
      <c r="EZ200" s="375"/>
      <c r="FA200" s="375"/>
      <c r="FB200" s="375"/>
      <c r="FC200" s="375"/>
      <c r="FD200" s="375"/>
      <c r="FE200" s="375"/>
      <c r="FF200" s="375"/>
      <c r="FG200" s="375"/>
      <c r="FH200" s="375"/>
      <c r="FI200" s="375"/>
      <c r="FJ200" s="375"/>
      <c r="FK200" s="375"/>
      <c r="FL200" s="375"/>
      <c r="FM200" s="375"/>
      <c r="FN200" s="375"/>
      <c r="FO200" s="375"/>
      <c r="FP200" s="375"/>
      <c r="FQ200" s="375"/>
      <c r="FR200" s="375"/>
      <c r="FS200" s="375"/>
      <c r="FT200" s="375"/>
      <c r="FU200" s="375"/>
      <c r="FV200" s="375"/>
      <c r="FW200" s="375"/>
      <c r="FX200" s="375"/>
      <c r="FY200" s="375"/>
      <c r="FZ200" s="375"/>
      <c r="GA200" s="375"/>
      <c r="GB200" s="375"/>
      <c r="GC200" s="375"/>
      <c r="GD200" s="375"/>
      <c r="GE200" s="375"/>
      <c r="GF200" s="375"/>
      <c r="GG200" s="375"/>
      <c r="GH200" s="375"/>
      <c r="GI200" s="375"/>
      <c r="GJ200" s="375"/>
      <c r="GK200" s="375"/>
      <c r="GL200" s="375"/>
      <c r="GM200" s="375"/>
      <c r="GN200" s="375"/>
      <c r="GO200" s="375"/>
      <c r="GP200" s="375"/>
      <c r="GQ200" s="375"/>
      <c r="GR200" s="375"/>
      <c r="GS200" s="375"/>
      <c r="GT200" s="375"/>
      <c r="GU200" s="375"/>
      <c r="GV200" s="375"/>
      <c r="GW200" s="375"/>
      <c r="GX200" s="375"/>
      <c r="GY200" s="375"/>
      <c r="GZ200" s="375"/>
      <c r="HA200" s="375"/>
      <c r="HB200" s="375"/>
      <c r="HC200" s="375"/>
      <c r="HD200" s="375"/>
      <c r="HE200" s="375"/>
      <c r="HF200" s="375"/>
      <c r="HG200" s="375"/>
      <c r="HH200" s="375"/>
      <c r="HI200" s="375"/>
      <c r="HJ200" s="375"/>
      <c r="HK200" s="375"/>
      <c r="HL200" s="375"/>
      <c r="HM200" s="375"/>
      <c r="HN200" s="375"/>
      <c r="HO200" s="375"/>
      <c r="HP200" s="375"/>
      <c r="HQ200" s="375"/>
      <c r="HR200" s="375"/>
      <c r="HS200" s="375"/>
      <c r="HT200" s="375"/>
      <c r="HU200" s="375"/>
      <c r="HV200" s="375"/>
      <c r="HW200" s="375"/>
      <c r="HX200" s="375"/>
      <c r="HY200" s="375"/>
      <c r="HZ200" s="375"/>
      <c r="IA200" s="375"/>
      <c r="IB200" s="375"/>
      <c r="IC200" s="375"/>
      <c r="ID200" s="375"/>
      <c r="IE200" s="375"/>
      <c r="IF200" s="375"/>
      <c r="IG200" s="375"/>
      <c r="IH200" s="375"/>
      <c r="II200" s="375"/>
      <c r="IJ200" s="375"/>
      <c r="IK200" s="375"/>
      <c r="IL200" s="375"/>
      <c r="IM200" s="375"/>
      <c r="IN200" s="375"/>
      <c r="IO200" s="375"/>
      <c r="IP200" s="375"/>
      <c r="IQ200" s="375"/>
      <c r="IR200" s="375"/>
      <c r="IS200" s="375"/>
      <c r="IT200" s="375"/>
      <c r="IU200" s="375"/>
      <c r="IV200" s="375"/>
    </row>
    <row r="201" spans="1:256" ht="14.25" x14ac:dyDescent="0.2">
      <c r="A201" s="241"/>
      <c r="B201" s="241"/>
      <c r="C201" s="241"/>
      <c r="D201" s="241"/>
      <c r="E201" s="241"/>
      <c r="F201" s="241"/>
      <c r="G201" s="241"/>
      <c r="H201" s="241"/>
      <c r="I201" s="241"/>
      <c r="J201" s="241"/>
      <c r="K201" s="241"/>
      <c r="L201" s="241"/>
      <c r="M201" s="374"/>
      <c r="N201" s="375"/>
      <c r="O201" s="375"/>
      <c r="P201" s="375"/>
      <c r="Q201" s="375"/>
      <c r="R201" s="375"/>
      <c r="S201" s="375"/>
      <c r="T201" s="375"/>
      <c r="U201" s="375"/>
      <c r="V201" s="375"/>
      <c r="W201" s="375"/>
      <c r="X201" s="375"/>
      <c r="Y201" s="375"/>
      <c r="Z201" s="375"/>
      <c r="AA201" s="375"/>
      <c r="AB201" s="375"/>
      <c r="AC201" s="375"/>
      <c r="AD201" s="375"/>
      <c r="AE201" s="375"/>
      <c r="AF201" s="375"/>
      <c r="AG201" s="375"/>
      <c r="AH201" s="375"/>
      <c r="AI201" s="375"/>
      <c r="AJ201" s="375"/>
      <c r="AK201" s="375"/>
      <c r="AL201" s="375"/>
      <c r="AM201" s="375"/>
      <c r="AN201" s="375"/>
      <c r="AO201" s="375"/>
      <c r="AP201" s="375"/>
      <c r="AQ201" s="375"/>
      <c r="AR201" s="375"/>
      <c r="AS201" s="375"/>
      <c r="AT201" s="375"/>
      <c r="AU201" s="375"/>
      <c r="AV201" s="375"/>
      <c r="AW201" s="375"/>
      <c r="AX201" s="375"/>
      <c r="AY201" s="375"/>
      <c r="AZ201" s="375"/>
      <c r="BA201" s="375"/>
      <c r="BB201" s="375"/>
      <c r="BC201" s="375"/>
      <c r="BD201" s="375"/>
      <c r="BE201" s="375"/>
      <c r="BF201" s="375"/>
      <c r="BG201" s="375"/>
      <c r="BH201" s="375"/>
      <c r="BI201" s="375"/>
      <c r="BJ201" s="375"/>
      <c r="BK201" s="375"/>
      <c r="BL201" s="375"/>
      <c r="BM201" s="375"/>
      <c r="BN201" s="375"/>
      <c r="BO201" s="375"/>
      <c r="BP201" s="375"/>
      <c r="BQ201" s="375"/>
      <c r="BR201" s="375"/>
      <c r="BS201" s="375"/>
      <c r="BT201" s="375"/>
      <c r="BU201" s="375"/>
      <c r="BV201" s="375"/>
      <c r="BW201" s="375"/>
      <c r="BX201" s="375"/>
      <c r="BY201" s="375"/>
      <c r="BZ201" s="375"/>
      <c r="CA201" s="375"/>
      <c r="CB201" s="375"/>
      <c r="CC201" s="375"/>
      <c r="CD201" s="375"/>
      <c r="CE201" s="375"/>
      <c r="CF201" s="375"/>
      <c r="CG201" s="375"/>
      <c r="CH201" s="375"/>
      <c r="CI201" s="375"/>
      <c r="CJ201" s="375"/>
      <c r="CK201" s="375"/>
      <c r="CL201" s="375"/>
      <c r="CM201" s="375"/>
      <c r="CN201" s="375"/>
      <c r="CO201" s="375"/>
      <c r="CP201" s="375"/>
      <c r="CQ201" s="375"/>
      <c r="CR201" s="375"/>
      <c r="CS201" s="375"/>
      <c r="CT201" s="375"/>
      <c r="CU201" s="375"/>
      <c r="CV201" s="375"/>
      <c r="CW201" s="375"/>
      <c r="CX201" s="375"/>
      <c r="CY201" s="375"/>
      <c r="CZ201" s="375"/>
      <c r="DA201" s="375"/>
      <c r="DB201" s="375"/>
      <c r="DC201" s="375"/>
      <c r="DD201" s="375"/>
      <c r="DE201" s="375"/>
      <c r="DF201" s="375"/>
      <c r="DG201" s="375"/>
      <c r="DH201" s="375"/>
      <c r="DI201" s="375"/>
      <c r="DJ201" s="375"/>
      <c r="DK201" s="375"/>
      <c r="DL201" s="375"/>
      <c r="DM201" s="375"/>
      <c r="DN201" s="375"/>
      <c r="DO201" s="375"/>
      <c r="DP201" s="375"/>
      <c r="DQ201" s="375"/>
      <c r="DR201" s="375"/>
      <c r="DS201" s="375"/>
      <c r="DT201" s="375"/>
      <c r="DU201" s="375"/>
      <c r="DV201" s="375"/>
      <c r="DW201" s="375"/>
      <c r="DX201" s="375"/>
      <c r="DY201" s="375"/>
      <c r="DZ201" s="375"/>
      <c r="EA201" s="375"/>
      <c r="EB201" s="375"/>
      <c r="EC201" s="375"/>
      <c r="ED201" s="375"/>
      <c r="EE201" s="375"/>
      <c r="EF201" s="375"/>
      <c r="EG201" s="375"/>
      <c r="EH201" s="375"/>
      <c r="EI201" s="375"/>
      <c r="EJ201" s="375"/>
      <c r="EK201" s="375"/>
      <c r="EL201" s="375"/>
      <c r="EM201" s="375"/>
      <c r="EN201" s="375"/>
      <c r="EO201" s="375"/>
      <c r="EP201" s="375"/>
      <c r="EQ201" s="375"/>
      <c r="ER201" s="375"/>
      <c r="ES201" s="375"/>
      <c r="ET201" s="375"/>
      <c r="EU201" s="375"/>
      <c r="EV201" s="375"/>
      <c r="EW201" s="375"/>
      <c r="EX201" s="375"/>
      <c r="EY201" s="375"/>
      <c r="EZ201" s="375"/>
      <c r="FA201" s="375"/>
      <c r="FB201" s="375"/>
      <c r="FC201" s="375"/>
      <c r="FD201" s="375"/>
      <c r="FE201" s="375"/>
      <c r="FF201" s="375"/>
      <c r="FG201" s="375"/>
      <c r="FH201" s="375"/>
      <c r="FI201" s="375"/>
      <c r="FJ201" s="375"/>
      <c r="FK201" s="375"/>
      <c r="FL201" s="375"/>
      <c r="FM201" s="375"/>
      <c r="FN201" s="375"/>
      <c r="FO201" s="375"/>
      <c r="FP201" s="375"/>
      <c r="FQ201" s="375"/>
      <c r="FR201" s="375"/>
      <c r="FS201" s="375"/>
      <c r="FT201" s="375"/>
      <c r="FU201" s="375"/>
      <c r="FV201" s="375"/>
      <c r="FW201" s="375"/>
      <c r="FX201" s="375"/>
      <c r="FY201" s="375"/>
      <c r="FZ201" s="375"/>
      <c r="GA201" s="375"/>
      <c r="GB201" s="375"/>
      <c r="GC201" s="375"/>
      <c r="GD201" s="375"/>
      <c r="GE201" s="375"/>
      <c r="GF201" s="375"/>
      <c r="GG201" s="375"/>
      <c r="GH201" s="375"/>
      <c r="GI201" s="375"/>
      <c r="GJ201" s="375"/>
      <c r="GK201" s="375"/>
      <c r="GL201" s="375"/>
      <c r="GM201" s="375"/>
      <c r="GN201" s="375"/>
      <c r="GO201" s="375"/>
      <c r="GP201" s="375"/>
      <c r="GQ201" s="375"/>
      <c r="GR201" s="375"/>
      <c r="GS201" s="375"/>
      <c r="GT201" s="375"/>
      <c r="GU201" s="375"/>
      <c r="GV201" s="375"/>
      <c r="GW201" s="375"/>
      <c r="GX201" s="375"/>
      <c r="GY201" s="375"/>
      <c r="GZ201" s="375"/>
      <c r="HA201" s="375"/>
      <c r="HB201" s="375"/>
      <c r="HC201" s="375"/>
      <c r="HD201" s="375"/>
      <c r="HE201" s="375"/>
      <c r="HF201" s="375"/>
      <c r="HG201" s="375"/>
      <c r="HH201" s="375"/>
      <c r="HI201" s="375"/>
      <c r="HJ201" s="375"/>
      <c r="HK201" s="375"/>
      <c r="HL201" s="375"/>
      <c r="HM201" s="375"/>
      <c r="HN201" s="375"/>
      <c r="HO201" s="375"/>
      <c r="HP201" s="375"/>
      <c r="HQ201" s="375"/>
      <c r="HR201" s="375"/>
      <c r="HS201" s="375"/>
      <c r="HT201" s="375"/>
      <c r="HU201" s="375"/>
      <c r="HV201" s="375"/>
      <c r="HW201" s="375"/>
      <c r="HX201" s="375"/>
      <c r="HY201" s="375"/>
      <c r="HZ201" s="375"/>
      <c r="IA201" s="375"/>
      <c r="IB201" s="375"/>
      <c r="IC201" s="375"/>
      <c r="ID201" s="375"/>
      <c r="IE201" s="375"/>
      <c r="IF201" s="375"/>
      <c r="IG201" s="375"/>
      <c r="IH201" s="375"/>
      <c r="II201" s="375"/>
      <c r="IJ201" s="375"/>
      <c r="IK201" s="375"/>
      <c r="IL201" s="375"/>
      <c r="IM201" s="375"/>
      <c r="IN201" s="375"/>
      <c r="IO201" s="375"/>
      <c r="IP201" s="375"/>
      <c r="IQ201" s="375"/>
      <c r="IR201" s="375"/>
      <c r="IS201" s="375"/>
      <c r="IT201" s="375"/>
      <c r="IU201" s="375"/>
      <c r="IV201" s="375"/>
    </row>
    <row r="202" spans="1:256" ht="15" x14ac:dyDescent="0.25">
      <c r="A202" s="368"/>
      <c r="B202" s="368"/>
      <c r="C202" s="368"/>
      <c r="D202" s="379" t="s">
        <v>198</v>
      </c>
      <c r="E202" s="377"/>
      <c r="F202" s="377"/>
      <c r="G202" s="377"/>
      <c r="H202" s="377"/>
      <c r="I202" s="377"/>
      <c r="J202" s="382">
        <f>(J193-J196)*0.925+J196</f>
        <v>111369.35</v>
      </c>
      <c r="K202" s="382"/>
      <c r="L202" s="382">
        <f>L193*0.925</f>
        <v>551996.44999999995</v>
      </c>
      <c r="M202" s="287" t="e">
        <v>#REF!</v>
      </c>
      <c r="N202" s="275"/>
      <c r="O202" s="275"/>
      <c r="P202" s="275"/>
      <c r="Q202" s="275"/>
      <c r="R202" s="275"/>
      <c r="S202" s="275"/>
      <c r="T202" s="275"/>
      <c r="U202" s="275"/>
      <c r="V202" s="275"/>
      <c r="W202" s="275"/>
      <c r="X202" s="275"/>
      <c r="Y202" s="275"/>
      <c r="Z202" s="275"/>
      <c r="AA202" s="275"/>
      <c r="AB202" s="275"/>
      <c r="AC202" s="275"/>
      <c r="AD202" s="275"/>
      <c r="AE202" s="275"/>
      <c r="AF202" s="275"/>
      <c r="AG202" s="275"/>
      <c r="AH202" s="275"/>
      <c r="AI202" s="275"/>
      <c r="AJ202" s="275"/>
      <c r="AK202" s="275"/>
      <c r="AL202" s="275"/>
      <c r="AM202" s="275"/>
      <c r="AN202" s="275"/>
      <c r="AO202" s="275"/>
      <c r="AP202" s="275"/>
      <c r="AQ202" s="275"/>
      <c r="AR202" s="275"/>
      <c r="AS202" s="275"/>
      <c r="AT202" s="275"/>
      <c r="AU202" s="275"/>
      <c r="AV202" s="275"/>
      <c r="AW202" s="275"/>
      <c r="AX202" s="275"/>
      <c r="AY202" s="275"/>
      <c r="AZ202" s="275"/>
      <c r="BA202" s="275"/>
      <c r="BB202" s="275"/>
      <c r="BC202" s="275"/>
      <c r="BD202" s="275"/>
      <c r="BE202" s="275"/>
      <c r="BF202" s="275"/>
      <c r="BG202" s="275"/>
      <c r="BH202" s="275"/>
      <c r="BI202" s="275"/>
      <c r="BJ202" s="275"/>
      <c r="BK202" s="275"/>
      <c r="BL202" s="275"/>
      <c r="BM202" s="275"/>
      <c r="BN202" s="275"/>
      <c r="BO202" s="275"/>
      <c r="BP202" s="275"/>
      <c r="BQ202" s="275"/>
      <c r="BR202" s="275"/>
      <c r="BS202" s="275"/>
      <c r="BT202" s="275"/>
      <c r="BU202" s="275"/>
      <c r="BV202" s="275"/>
      <c r="BW202" s="275"/>
      <c r="BX202" s="275"/>
      <c r="BY202" s="275"/>
      <c r="BZ202" s="275"/>
      <c r="CA202" s="275"/>
      <c r="CB202" s="275"/>
      <c r="CC202" s="275"/>
      <c r="CD202" s="275"/>
      <c r="CE202" s="275"/>
      <c r="CF202" s="275"/>
      <c r="CG202" s="275"/>
      <c r="CH202" s="275"/>
      <c r="CI202" s="275"/>
      <c r="CJ202" s="275"/>
      <c r="CK202" s="275"/>
      <c r="CL202" s="275"/>
      <c r="CM202" s="275"/>
      <c r="CN202" s="275"/>
      <c r="CO202" s="275"/>
      <c r="CP202" s="275"/>
      <c r="CQ202" s="275"/>
      <c r="CR202" s="275"/>
      <c r="CS202" s="275"/>
      <c r="CT202" s="275"/>
      <c r="CU202" s="275"/>
      <c r="CV202" s="275"/>
      <c r="CW202" s="275"/>
      <c r="CX202" s="275"/>
      <c r="CY202" s="275"/>
      <c r="CZ202" s="275"/>
      <c r="DA202" s="275"/>
      <c r="DB202" s="275"/>
      <c r="DC202" s="275"/>
      <c r="DD202" s="275"/>
      <c r="DE202" s="275"/>
      <c r="DF202" s="275"/>
      <c r="DG202" s="275"/>
      <c r="DH202" s="275"/>
      <c r="DI202" s="275"/>
      <c r="DJ202" s="275"/>
      <c r="DK202" s="275"/>
      <c r="DL202" s="275"/>
      <c r="DM202" s="275"/>
      <c r="DN202" s="275"/>
      <c r="DO202" s="275"/>
      <c r="DP202" s="275"/>
      <c r="DQ202" s="275"/>
      <c r="DR202" s="275"/>
      <c r="DS202" s="275"/>
      <c r="DT202" s="275"/>
      <c r="DU202" s="275"/>
      <c r="DV202" s="275"/>
      <c r="DW202" s="275"/>
      <c r="DX202" s="275"/>
      <c r="DY202" s="275"/>
      <c r="DZ202" s="275"/>
      <c r="EA202" s="275"/>
      <c r="EB202" s="275"/>
      <c r="EC202" s="275"/>
      <c r="ED202" s="275"/>
      <c r="EE202" s="275"/>
      <c r="EF202" s="275"/>
      <c r="EG202" s="275"/>
      <c r="EH202" s="275"/>
      <c r="EI202" s="275"/>
      <c r="EJ202" s="275"/>
      <c r="EK202" s="275"/>
      <c r="EL202" s="275"/>
      <c r="EM202" s="275"/>
      <c r="EN202" s="275"/>
      <c r="EO202" s="275"/>
      <c r="EP202" s="275"/>
      <c r="EQ202" s="275"/>
      <c r="ER202" s="275"/>
      <c r="ES202" s="275"/>
      <c r="ET202" s="275"/>
      <c r="EU202" s="275"/>
      <c r="EV202" s="275"/>
      <c r="EW202" s="275"/>
      <c r="EX202" s="275"/>
      <c r="EY202" s="275"/>
      <c r="EZ202" s="275"/>
      <c r="FA202" s="275"/>
      <c r="FB202" s="275"/>
      <c r="FC202" s="275"/>
      <c r="FD202" s="275"/>
      <c r="FE202" s="275"/>
      <c r="FF202" s="275"/>
      <c r="FG202" s="275"/>
      <c r="FH202" s="275"/>
      <c r="FI202" s="275"/>
      <c r="FJ202" s="275"/>
      <c r="FK202" s="275"/>
      <c r="FL202" s="275"/>
      <c r="FM202" s="275"/>
      <c r="FN202" s="275"/>
      <c r="FO202" s="275"/>
      <c r="FP202" s="275"/>
      <c r="FQ202" s="275"/>
      <c r="FR202" s="275"/>
      <c r="FS202" s="275"/>
      <c r="FT202" s="275"/>
      <c r="FU202" s="275"/>
      <c r="FV202" s="275"/>
      <c r="FW202" s="275"/>
      <c r="FX202" s="275"/>
      <c r="FY202" s="275"/>
      <c r="FZ202" s="275"/>
      <c r="GA202" s="275"/>
      <c r="GB202" s="275"/>
      <c r="GC202" s="275"/>
      <c r="GD202" s="275"/>
      <c r="GE202" s="275"/>
      <c r="GF202" s="275"/>
      <c r="GG202" s="275"/>
      <c r="GH202" s="275"/>
      <c r="GI202" s="275"/>
      <c r="GJ202" s="275"/>
      <c r="GK202" s="275"/>
      <c r="GL202" s="275"/>
      <c r="GM202" s="275"/>
      <c r="GN202" s="275"/>
      <c r="GO202" s="275"/>
      <c r="GP202" s="275"/>
      <c r="GQ202" s="275"/>
      <c r="GR202" s="275"/>
      <c r="GS202" s="275"/>
      <c r="GT202" s="275"/>
      <c r="GU202" s="275"/>
      <c r="GV202" s="275"/>
      <c r="GW202" s="275"/>
      <c r="GX202" s="275"/>
      <c r="GY202" s="275"/>
      <c r="GZ202" s="275"/>
      <c r="HA202" s="275"/>
      <c r="HB202" s="275"/>
      <c r="HC202" s="275"/>
      <c r="HD202" s="275"/>
      <c r="HE202" s="275"/>
      <c r="HF202" s="275"/>
      <c r="HG202" s="275"/>
      <c r="HH202" s="275"/>
      <c r="HI202" s="275"/>
      <c r="HJ202" s="275"/>
      <c r="HK202" s="275"/>
      <c r="HL202" s="275"/>
      <c r="HM202" s="275"/>
      <c r="HN202" s="275"/>
      <c r="HO202" s="275"/>
      <c r="HP202" s="275"/>
      <c r="HQ202" s="275"/>
      <c r="HR202" s="275"/>
      <c r="HS202" s="275"/>
      <c r="HT202" s="275"/>
      <c r="HU202" s="275"/>
      <c r="HV202" s="275"/>
      <c r="HW202" s="275"/>
      <c r="HX202" s="275"/>
      <c r="HY202" s="275"/>
      <c r="HZ202" s="275"/>
      <c r="IA202" s="275"/>
      <c r="IB202" s="275"/>
      <c r="IC202" s="275"/>
      <c r="ID202" s="275"/>
      <c r="IE202" s="275"/>
      <c r="IF202" s="275"/>
      <c r="IG202" s="275"/>
      <c r="IH202" s="275"/>
      <c r="II202" s="275"/>
      <c r="IJ202" s="275"/>
      <c r="IK202" s="275"/>
      <c r="IL202" s="275"/>
      <c r="IM202" s="275"/>
      <c r="IN202" s="275"/>
      <c r="IO202" s="275"/>
      <c r="IP202" s="275"/>
      <c r="IQ202" s="275"/>
      <c r="IR202" s="275"/>
      <c r="IS202" s="275"/>
      <c r="IT202" s="275"/>
      <c r="IU202" s="275"/>
      <c r="IV202" s="275"/>
    </row>
    <row r="203" spans="1:256" ht="15" x14ac:dyDescent="0.25">
      <c r="A203" s="368"/>
      <c r="B203" s="368"/>
      <c r="C203" s="368"/>
      <c r="D203" s="377" t="s">
        <v>69</v>
      </c>
      <c r="E203" s="377"/>
      <c r="F203" s="377"/>
      <c r="G203" s="377"/>
      <c r="H203" s="377"/>
      <c r="I203" s="377"/>
      <c r="J203" s="378">
        <f>J202</f>
        <v>111369.35</v>
      </c>
      <c r="K203" s="378"/>
      <c r="L203" s="378">
        <f>L202</f>
        <v>551996.44999999995</v>
      </c>
      <c r="M203" s="287"/>
      <c r="N203" s="275"/>
      <c r="O203" s="275"/>
      <c r="P203" s="275"/>
      <c r="Q203" s="275"/>
      <c r="R203" s="275"/>
      <c r="S203" s="275"/>
      <c r="T203" s="275"/>
      <c r="U203" s="275"/>
      <c r="V203" s="275"/>
      <c r="W203" s="275"/>
      <c r="X203" s="275"/>
      <c r="Y203" s="275"/>
      <c r="Z203" s="275"/>
      <c r="AA203" s="275"/>
      <c r="AB203" s="275"/>
      <c r="AC203" s="275"/>
      <c r="AD203" s="275"/>
      <c r="AE203" s="275"/>
      <c r="AF203" s="275"/>
      <c r="AG203" s="275"/>
      <c r="AH203" s="275"/>
      <c r="AI203" s="275"/>
      <c r="AJ203" s="275"/>
      <c r="AK203" s="275"/>
      <c r="AL203" s="275"/>
      <c r="AM203" s="275"/>
      <c r="AN203" s="275"/>
      <c r="AO203" s="275"/>
      <c r="AP203" s="275"/>
      <c r="AQ203" s="275"/>
      <c r="AR203" s="275"/>
      <c r="AS203" s="275"/>
      <c r="AT203" s="275"/>
      <c r="AU203" s="275"/>
      <c r="AV203" s="275"/>
      <c r="AW203" s="275"/>
      <c r="AX203" s="275"/>
      <c r="AY203" s="275"/>
      <c r="AZ203" s="275"/>
      <c r="BA203" s="275"/>
      <c r="BB203" s="275"/>
      <c r="BC203" s="275"/>
      <c r="BD203" s="275"/>
      <c r="BE203" s="275"/>
      <c r="BF203" s="275"/>
      <c r="BG203" s="275"/>
      <c r="BH203" s="275"/>
      <c r="BI203" s="275"/>
      <c r="BJ203" s="275"/>
      <c r="BK203" s="275"/>
      <c r="BL203" s="275"/>
      <c r="BM203" s="275"/>
      <c r="BN203" s="275"/>
      <c r="BO203" s="275"/>
      <c r="BP203" s="275"/>
      <c r="BQ203" s="275"/>
      <c r="BR203" s="275"/>
      <c r="BS203" s="275"/>
      <c r="BT203" s="275"/>
      <c r="BU203" s="275"/>
      <c r="BV203" s="275"/>
      <c r="BW203" s="275"/>
      <c r="BX203" s="275"/>
      <c r="BY203" s="275"/>
      <c r="BZ203" s="275"/>
      <c r="CA203" s="275"/>
      <c r="CB203" s="275"/>
      <c r="CC203" s="275"/>
      <c r="CD203" s="275"/>
      <c r="CE203" s="275"/>
      <c r="CF203" s="275"/>
      <c r="CG203" s="275"/>
      <c r="CH203" s="275"/>
      <c r="CI203" s="275"/>
      <c r="CJ203" s="275"/>
      <c r="CK203" s="275"/>
      <c r="CL203" s="275"/>
      <c r="CM203" s="275"/>
      <c r="CN203" s="275"/>
      <c r="CO203" s="275"/>
      <c r="CP203" s="275"/>
      <c r="CQ203" s="275"/>
      <c r="CR203" s="275"/>
      <c r="CS203" s="275"/>
      <c r="CT203" s="275"/>
      <c r="CU203" s="275"/>
      <c r="CV203" s="275"/>
      <c r="CW203" s="275"/>
      <c r="CX203" s="275"/>
      <c r="CY203" s="275"/>
      <c r="CZ203" s="275"/>
      <c r="DA203" s="275"/>
      <c r="DB203" s="275"/>
      <c r="DC203" s="275"/>
      <c r="DD203" s="275"/>
      <c r="DE203" s="275"/>
      <c r="DF203" s="275"/>
      <c r="DG203" s="275"/>
      <c r="DH203" s="275"/>
      <c r="DI203" s="275"/>
      <c r="DJ203" s="275"/>
      <c r="DK203" s="275"/>
      <c r="DL203" s="275"/>
      <c r="DM203" s="275"/>
      <c r="DN203" s="275"/>
      <c r="DO203" s="275"/>
      <c r="DP203" s="275"/>
      <c r="DQ203" s="275"/>
      <c r="DR203" s="275"/>
      <c r="DS203" s="275"/>
      <c r="DT203" s="275"/>
      <c r="DU203" s="275"/>
      <c r="DV203" s="275"/>
      <c r="DW203" s="275"/>
      <c r="DX203" s="275"/>
      <c r="DY203" s="275"/>
      <c r="DZ203" s="275"/>
      <c r="EA203" s="275"/>
      <c r="EB203" s="275"/>
      <c r="EC203" s="275"/>
      <c r="ED203" s="275"/>
      <c r="EE203" s="275"/>
      <c r="EF203" s="275"/>
      <c r="EG203" s="275"/>
      <c r="EH203" s="275"/>
      <c r="EI203" s="275"/>
      <c r="EJ203" s="275"/>
      <c r="EK203" s="275"/>
      <c r="EL203" s="275"/>
      <c r="EM203" s="275"/>
      <c r="EN203" s="275"/>
      <c r="EO203" s="275"/>
      <c r="EP203" s="275"/>
      <c r="EQ203" s="275"/>
      <c r="ER203" s="275"/>
      <c r="ES203" s="275"/>
      <c r="ET203" s="275"/>
      <c r="EU203" s="275"/>
      <c r="EV203" s="275"/>
      <c r="EW203" s="275"/>
      <c r="EX203" s="275"/>
      <c r="EY203" s="275"/>
      <c r="EZ203" s="275"/>
      <c r="FA203" s="275"/>
      <c r="FB203" s="275"/>
      <c r="FC203" s="275"/>
      <c r="FD203" s="275"/>
      <c r="FE203" s="275"/>
      <c r="FF203" s="275"/>
      <c r="FG203" s="275"/>
      <c r="FH203" s="275"/>
      <c r="FI203" s="275"/>
      <c r="FJ203" s="275"/>
      <c r="FK203" s="275"/>
      <c r="FL203" s="275"/>
      <c r="FM203" s="275"/>
      <c r="FN203" s="275"/>
      <c r="FO203" s="275"/>
      <c r="FP203" s="275"/>
      <c r="FQ203" s="275"/>
      <c r="FR203" s="275"/>
      <c r="FS203" s="275"/>
      <c r="FT203" s="275"/>
      <c r="FU203" s="275"/>
      <c r="FV203" s="275"/>
      <c r="FW203" s="275"/>
      <c r="FX203" s="275"/>
      <c r="FY203" s="275"/>
      <c r="FZ203" s="275"/>
      <c r="GA203" s="275"/>
      <c r="GB203" s="275"/>
      <c r="GC203" s="275"/>
      <c r="GD203" s="275"/>
      <c r="GE203" s="275"/>
      <c r="GF203" s="275"/>
      <c r="GG203" s="275"/>
      <c r="GH203" s="275"/>
      <c r="GI203" s="275"/>
      <c r="GJ203" s="275"/>
      <c r="GK203" s="275"/>
      <c r="GL203" s="275"/>
      <c r="GM203" s="275"/>
      <c r="GN203" s="275"/>
      <c r="GO203" s="275"/>
      <c r="GP203" s="275"/>
      <c r="GQ203" s="275"/>
      <c r="GR203" s="275"/>
      <c r="GS203" s="275"/>
      <c r="GT203" s="275"/>
      <c r="GU203" s="275"/>
      <c r="GV203" s="275"/>
      <c r="GW203" s="275"/>
      <c r="GX203" s="275"/>
      <c r="GY203" s="275"/>
      <c r="GZ203" s="275"/>
      <c r="HA203" s="275"/>
      <c r="HB203" s="275"/>
      <c r="HC203" s="275"/>
      <c r="HD203" s="275"/>
      <c r="HE203" s="275"/>
      <c r="HF203" s="275"/>
      <c r="HG203" s="275"/>
      <c r="HH203" s="275"/>
      <c r="HI203" s="275"/>
      <c r="HJ203" s="275"/>
      <c r="HK203" s="275"/>
      <c r="HL203" s="275"/>
      <c r="HM203" s="275"/>
      <c r="HN203" s="275"/>
      <c r="HO203" s="275"/>
      <c r="HP203" s="275"/>
      <c r="HQ203" s="275"/>
      <c r="HR203" s="275"/>
      <c r="HS203" s="275"/>
      <c r="HT203" s="275"/>
      <c r="HU203" s="275"/>
      <c r="HV203" s="275"/>
      <c r="HW203" s="275"/>
      <c r="HX203" s="275"/>
      <c r="HY203" s="275"/>
      <c r="HZ203" s="275"/>
      <c r="IA203" s="275"/>
      <c r="IB203" s="275"/>
      <c r="IC203" s="275"/>
      <c r="ID203" s="275"/>
      <c r="IE203" s="275"/>
      <c r="IF203" s="275"/>
      <c r="IG203" s="275"/>
      <c r="IH203" s="275"/>
      <c r="II203" s="275"/>
      <c r="IJ203" s="275"/>
      <c r="IK203" s="275"/>
      <c r="IL203" s="275"/>
      <c r="IM203" s="275"/>
      <c r="IN203" s="275"/>
      <c r="IO203" s="275"/>
      <c r="IP203" s="275"/>
      <c r="IQ203" s="275"/>
      <c r="IR203" s="275"/>
      <c r="IS203" s="275"/>
      <c r="IT203" s="275"/>
      <c r="IU203" s="275"/>
      <c r="IV203" s="275"/>
    </row>
    <row r="204" spans="1:256" ht="15" x14ac:dyDescent="0.25">
      <c r="A204" s="368"/>
      <c r="B204" s="368"/>
      <c r="C204" s="368"/>
      <c r="D204" s="377" t="s">
        <v>70</v>
      </c>
      <c r="E204" s="377"/>
      <c r="F204" s="377"/>
      <c r="G204" s="377"/>
      <c r="H204" s="377"/>
      <c r="I204" s="377"/>
      <c r="J204" s="378">
        <f>J195*0.925</f>
        <v>3441.41</v>
      </c>
      <c r="K204" s="378"/>
      <c r="L204" s="378">
        <f>L195*0.925</f>
        <v>83385.31</v>
      </c>
      <c r="M204" s="287">
        <v>21718.35</v>
      </c>
      <c r="N204" s="275"/>
      <c r="O204" s="275"/>
      <c r="P204" s="275"/>
      <c r="Q204" s="275"/>
      <c r="R204" s="275"/>
      <c r="S204" s="275"/>
      <c r="T204" s="275"/>
      <c r="U204" s="275"/>
      <c r="V204" s="275"/>
      <c r="W204" s="275"/>
      <c r="X204" s="275"/>
      <c r="Y204" s="275"/>
      <c r="Z204" s="275"/>
      <c r="AA204" s="275"/>
      <c r="AB204" s="275"/>
      <c r="AC204" s="275"/>
      <c r="AD204" s="275"/>
      <c r="AE204" s="275"/>
      <c r="AF204" s="275"/>
      <c r="AG204" s="275"/>
      <c r="AH204" s="275"/>
      <c r="AI204" s="275"/>
      <c r="AJ204" s="275"/>
      <c r="AK204" s="275"/>
      <c r="AL204" s="275"/>
      <c r="AM204" s="275"/>
      <c r="AN204" s="275"/>
      <c r="AO204" s="275"/>
      <c r="AP204" s="275"/>
      <c r="AQ204" s="275"/>
      <c r="AR204" s="275"/>
      <c r="AS204" s="275"/>
      <c r="AT204" s="275"/>
      <c r="AU204" s="275"/>
      <c r="AV204" s="275"/>
      <c r="AW204" s="275"/>
      <c r="AX204" s="275"/>
      <c r="AY204" s="275"/>
      <c r="AZ204" s="275"/>
      <c r="BA204" s="275"/>
      <c r="BB204" s="275"/>
      <c r="BC204" s="275"/>
      <c r="BD204" s="275"/>
      <c r="BE204" s="275"/>
      <c r="BF204" s="275"/>
      <c r="BG204" s="275"/>
      <c r="BH204" s="275"/>
      <c r="BI204" s="275"/>
      <c r="BJ204" s="275"/>
      <c r="BK204" s="275"/>
      <c r="BL204" s="275"/>
      <c r="BM204" s="275"/>
      <c r="BN204" s="275"/>
      <c r="BO204" s="275"/>
      <c r="BP204" s="275"/>
      <c r="BQ204" s="275"/>
      <c r="BR204" s="275"/>
      <c r="BS204" s="275"/>
      <c r="BT204" s="275"/>
      <c r="BU204" s="275"/>
      <c r="BV204" s="275"/>
      <c r="BW204" s="275"/>
      <c r="BX204" s="275"/>
      <c r="BY204" s="275"/>
      <c r="BZ204" s="275"/>
      <c r="CA204" s="275"/>
      <c r="CB204" s="275"/>
      <c r="CC204" s="275"/>
      <c r="CD204" s="275"/>
      <c r="CE204" s="275"/>
      <c r="CF204" s="275"/>
      <c r="CG204" s="275"/>
      <c r="CH204" s="275"/>
      <c r="CI204" s="275"/>
      <c r="CJ204" s="275"/>
      <c r="CK204" s="275"/>
      <c r="CL204" s="275"/>
      <c r="CM204" s="275"/>
      <c r="CN204" s="275"/>
      <c r="CO204" s="275"/>
      <c r="CP204" s="275"/>
      <c r="CQ204" s="275"/>
      <c r="CR204" s="275"/>
      <c r="CS204" s="275"/>
      <c r="CT204" s="275"/>
      <c r="CU204" s="275"/>
      <c r="CV204" s="275"/>
      <c r="CW204" s="275"/>
      <c r="CX204" s="275"/>
      <c r="CY204" s="275"/>
      <c r="CZ204" s="275"/>
      <c r="DA204" s="275"/>
      <c r="DB204" s="275"/>
      <c r="DC204" s="275"/>
      <c r="DD204" s="275"/>
      <c r="DE204" s="275"/>
      <c r="DF204" s="275"/>
      <c r="DG204" s="275"/>
      <c r="DH204" s="275"/>
      <c r="DI204" s="275"/>
      <c r="DJ204" s="275"/>
      <c r="DK204" s="275"/>
      <c r="DL204" s="275"/>
      <c r="DM204" s="275"/>
      <c r="DN204" s="275"/>
      <c r="DO204" s="275"/>
      <c r="DP204" s="275"/>
      <c r="DQ204" s="275"/>
      <c r="DR204" s="275"/>
      <c r="DS204" s="275"/>
      <c r="DT204" s="275"/>
      <c r="DU204" s="275"/>
      <c r="DV204" s="275"/>
      <c r="DW204" s="275"/>
      <c r="DX204" s="275"/>
      <c r="DY204" s="275"/>
      <c r="DZ204" s="275"/>
      <c r="EA204" s="275"/>
      <c r="EB204" s="275"/>
      <c r="EC204" s="275"/>
      <c r="ED204" s="275"/>
      <c r="EE204" s="275"/>
      <c r="EF204" s="275"/>
      <c r="EG204" s="275"/>
      <c r="EH204" s="275"/>
      <c r="EI204" s="275"/>
      <c r="EJ204" s="275"/>
      <c r="EK204" s="275"/>
      <c r="EL204" s="275"/>
      <c r="EM204" s="275"/>
      <c r="EN204" s="275"/>
      <c r="EO204" s="275"/>
      <c r="EP204" s="275"/>
      <c r="EQ204" s="275"/>
      <c r="ER204" s="275"/>
      <c r="ES204" s="275"/>
      <c r="ET204" s="275"/>
      <c r="EU204" s="275"/>
      <c r="EV204" s="275"/>
      <c r="EW204" s="275"/>
      <c r="EX204" s="275"/>
      <c r="EY204" s="275"/>
      <c r="EZ204" s="275"/>
      <c r="FA204" s="275"/>
      <c r="FB204" s="275"/>
      <c r="FC204" s="275"/>
      <c r="FD204" s="275"/>
      <c r="FE204" s="275"/>
      <c r="FF204" s="275"/>
      <c r="FG204" s="275"/>
      <c r="FH204" s="275"/>
      <c r="FI204" s="275"/>
      <c r="FJ204" s="275"/>
      <c r="FK204" s="275"/>
      <c r="FL204" s="275"/>
      <c r="FM204" s="275"/>
      <c r="FN204" s="275"/>
      <c r="FO204" s="275"/>
      <c r="FP204" s="275"/>
      <c r="FQ204" s="275"/>
      <c r="FR204" s="275"/>
      <c r="FS204" s="275"/>
      <c r="FT204" s="275"/>
      <c r="FU204" s="275"/>
      <c r="FV204" s="275"/>
      <c r="FW204" s="275"/>
      <c r="FX204" s="275"/>
      <c r="FY204" s="275"/>
      <c r="FZ204" s="275"/>
      <c r="GA204" s="275"/>
      <c r="GB204" s="275"/>
      <c r="GC204" s="275"/>
      <c r="GD204" s="275"/>
      <c r="GE204" s="275"/>
      <c r="GF204" s="275"/>
      <c r="GG204" s="275"/>
      <c r="GH204" s="275"/>
      <c r="GI204" s="275"/>
      <c r="GJ204" s="275"/>
      <c r="GK204" s="275"/>
      <c r="GL204" s="275"/>
      <c r="GM204" s="275"/>
      <c r="GN204" s="275"/>
      <c r="GO204" s="275"/>
      <c r="GP204" s="275"/>
      <c r="GQ204" s="275"/>
      <c r="GR204" s="275"/>
      <c r="GS204" s="275"/>
      <c r="GT204" s="275"/>
      <c r="GU204" s="275"/>
      <c r="GV204" s="275"/>
      <c r="GW204" s="275"/>
      <c r="GX204" s="275"/>
      <c r="GY204" s="275"/>
      <c r="GZ204" s="275"/>
      <c r="HA204" s="275"/>
      <c r="HB204" s="275"/>
      <c r="HC204" s="275"/>
      <c r="HD204" s="275"/>
      <c r="HE204" s="275"/>
      <c r="HF204" s="275"/>
      <c r="HG204" s="275"/>
      <c r="HH204" s="275"/>
      <c r="HI204" s="275"/>
      <c r="HJ204" s="275"/>
      <c r="HK204" s="275"/>
      <c r="HL204" s="275"/>
      <c r="HM204" s="275"/>
      <c r="HN204" s="275"/>
      <c r="HO204" s="275"/>
      <c r="HP204" s="275"/>
      <c r="HQ204" s="275"/>
      <c r="HR204" s="275"/>
      <c r="HS204" s="275"/>
      <c r="HT204" s="275"/>
      <c r="HU204" s="275"/>
      <c r="HV204" s="275"/>
      <c r="HW204" s="275"/>
      <c r="HX204" s="275"/>
      <c r="HY204" s="275"/>
      <c r="HZ204" s="275"/>
      <c r="IA204" s="275"/>
      <c r="IB204" s="275"/>
      <c r="IC204" s="275"/>
      <c r="ID204" s="275"/>
      <c r="IE204" s="275"/>
      <c r="IF204" s="275"/>
      <c r="IG204" s="275"/>
      <c r="IH204" s="275"/>
      <c r="II204" s="275"/>
      <c r="IJ204" s="275"/>
      <c r="IK204" s="275"/>
      <c r="IL204" s="275"/>
      <c r="IM204" s="275"/>
      <c r="IN204" s="275"/>
      <c r="IO204" s="275"/>
      <c r="IP204" s="275"/>
      <c r="IQ204" s="275"/>
      <c r="IR204" s="275"/>
      <c r="IS204" s="275"/>
      <c r="IT204" s="275"/>
      <c r="IU204" s="275"/>
      <c r="IV204" s="275"/>
    </row>
    <row r="205" spans="1:256" ht="15" x14ac:dyDescent="0.25">
      <c r="A205" s="368"/>
      <c r="B205" s="368"/>
      <c r="C205" s="368"/>
      <c r="D205" s="377" t="s">
        <v>195</v>
      </c>
      <c r="E205" s="377"/>
      <c r="F205" s="377"/>
      <c r="G205" s="377"/>
      <c r="H205" s="377"/>
      <c r="I205" s="377"/>
      <c r="J205" s="378">
        <f>J196</f>
        <v>99741.49</v>
      </c>
      <c r="K205" s="378"/>
      <c r="L205" s="378">
        <f>L196*0.925</f>
        <v>342307.15</v>
      </c>
      <c r="M205" s="287"/>
    </row>
    <row r="206" spans="1:256" ht="15" x14ac:dyDescent="0.25">
      <c r="A206" s="368"/>
      <c r="B206" s="368"/>
      <c r="C206" s="368"/>
      <c r="D206" s="383" t="s">
        <v>157</v>
      </c>
      <c r="E206" s="377"/>
      <c r="F206" s="377"/>
      <c r="G206" s="377"/>
      <c r="H206" s="377"/>
      <c r="I206" s="377"/>
      <c r="J206" s="384">
        <v>0</v>
      </c>
      <c r="K206" s="378"/>
      <c r="L206" s="384">
        <v>0</v>
      </c>
      <c r="M206" s="287"/>
    </row>
    <row r="207" spans="1:256" ht="15" x14ac:dyDescent="0.25">
      <c r="A207" s="368"/>
      <c r="B207" s="368"/>
      <c r="C207" s="368"/>
      <c r="D207" s="377" t="s">
        <v>196</v>
      </c>
      <c r="E207" s="377"/>
      <c r="F207" s="377"/>
      <c r="G207" s="377"/>
      <c r="H207" s="377"/>
      <c r="I207" s="377"/>
      <c r="J207" s="378">
        <f>J204*0.15</f>
        <v>516.21</v>
      </c>
      <c r="K207" s="378"/>
      <c r="L207" s="378">
        <f>L204*0.15</f>
        <v>12507.8</v>
      </c>
      <c r="M207" s="287">
        <v>3257.75</v>
      </c>
    </row>
    <row r="208" spans="1:256" ht="15" x14ac:dyDescent="0.25">
      <c r="A208" s="368"/>
      <c r="B208" s="368"/>
      <c r="C208" s="368"/>
      <c r="D208" s="379" t="s">
        <v>199</v>
      </c>
      <c r="E208" s="380"/>
      <c r="F208" s="380"/>
      <c r="G208" s="380"/>
      <c r="H208" s="380"/>
      <c r="I208" s="380"/>
      <c r="J208" s="382">
        <f>J207+J202</f>
        <v>111885.56</v>
      </c>
      <c r="K208" s="380"/>
      <c r="L208" s="382">
        <f>L207+L202</f>
        <v>564504.25</v>
      </c>
      <c r="M208" s="287" t="e">
        <v>#REF!</v>
      </c>
    </row>
    <row r="209" spans="1:13" ht="15" x14ac:dyDescent="0.25">
      <c r="A209" s="368"/>
      <c r="B209" s="368"/>
      <c r="C209" s="368"/>
      <c r="D209" s="385"/>
      <c r="E209" s="385"/>
      <c r="F209" s="385"/>
      <c r="G209" s="385"/>
      <c r="H209" s="385"/>
      <c r="I209" s="385"/>
      <c r="J209" s="385"/>
      <c r="K209" s="385"/>
      <c r="L209" s="385"/>
      <c r="M209" s="287"/>
    </row>
    <row r="210" spans="1:13" ht="15" x14ac:dyDescent="0.25">
      <c r="A210" s="368"/>
      <c r="B210" s="368"/>
      <c r="C210" s="368"/>
      <c r="D210" s="385"/>
      <c r="E210" s="385"/>
      <c r="F210" s="385"/>
      <c r="G210" s="385"/>
      <c r="H210" s="385"/>
      <c r="I210" s="385"/>
      <c r="J210" s="385"/>
      <c r="K210" s="385"/>
      <c r="L210" s="385"/>
      <c r="M210" s="287"/>
    </row>
    <row r="211" spans="1:13" ht="15" x14ac:dyDescent="0.25">
      <c r="A211" s="368"/>
      <c r="B211" s="368"/>
      <c r="C211" s="368"/>
      <c r="D211" s="386" t="s">
        <v>200</v>
      </c>
      <c r="E211" s="387"/>
      <c r="F211" s="387"/>
      <c r="G211" s="387"/>
      <c r="H211" s="387"/>
      <c r="I211" s="388"/>
      <c r="J211" s="389">
        <f>J208</f>
        <v>111885.56</v>
      </c>
      <c r="K211" s="390"/>
      <c r="L211" s="389">
        <f>L208</f>
        <v>564504.25</v>
      </c>
      <c r="M211" s="287"/>
    </row>
    <row r="212" spans="1:13" ht="15" x14ac:dyDescent="0.25">
      <c r="A212" s="368"/>
      <c r="B212" s="368"/>
      <c r="C212" s="368"/>
      <c r="D212" s="391" t="s">
        <v>201</v>
      </c>
      <c r="E212" s="392"/>
      <c r="F212" s="392"/>
      <c r="G212" s="392"/>
      <c r="H212" s="392"/>
      <c r="I212" s="393"/>
      <c r="J212" s="394">
        <f>J203</f>
        <v>111369.35</v>
      </c>
      <c r="K212" s="395"/>
      <c r="L212" s="394">
        <f>L203</f>
        <v>551996.44999999995</v>
      </c>
      <c r="M212" s="287"/>
    </row>
    <row r="213" spans="1:13" ht="15" x14ac:dyDescent="0.25">
      <c r="A213" s="368"/>
      <c r="B213" s="368"/>
      <c r="C213" s="368"/>
      <c r="D213" s="391" t="s">
        <v>202</v>
      </c>
      <c r="E213" s="392"/>
      <c r="F213" s="392"/>
      <c r="G213" s="392"/>
      <c r="H213" s="392"/>
      <c r="I213" s="393"/>
      <c r="J213" s="394">
        <f>J207</f>
        <v>516.21</v>
      </c>
      <c r="K213" s="396"/>
      <c r="L213" s="394">
        <f>L207</f>
        <v>12507.8</v>
      </c>
      <c r="M213" s="287"/>
    </row>
    <row r="214" spans="1:13" ht="15" x14ac:dyDescent="0.25">
      <c r="A214" s="368"/>
      <c r="B214" s="368"/>
      <c r="C214" s="368"/>
      <c r="D214" s="391" t="s">
        <v>203</v>
      </c>
      <c r="E214" s="392"/>
      <c r="F214" s="392"/>
      <c r="G214" s="392"/>
      <c r="H214" s="392"/>
      <c r="I214" s="393"/>
      <c r="J214" s="394">
        <v>0</v>
      </c>
      <c r="K214" s="394"/>
      <c r="L214" s="394">
        <v>0</v>
      </c>
      <c r="M214" s="287"/>
    </row>
    <row r="215" spans="1:13" ht="15" x14ac:dyDescent="0.25">
      <c r="A215" s="368"/>
      <c r="B215" s="368"/>
      <c r="C215" s="368"/>
      <c r="D215" s="391" t="s">
        <v>204</v>
      </c>
      <c r="E215" s="392"/>
      <c r="F215" s="392"/>
      <c r="G215" s="392"/>
      <c r="H215" s="392"/>
      <c r="I215" s="393"/>
      <c r="J215" s="397">
        <v>0</v>
      </c>
      <c r="K215" s="397"/>
      <c r="L215" s="397">
        <v>0</v>
      </c>
      <c r="M215" s="287"/>
    </row>
    <row r="216" spans="1:13" ht="14.25" x14ac:dyDescent="0.2">
      <c r="A216" s="423"/>
      <c r="B216" s="423"/>
      <c r="C216" s="423"/>
      <c r="D216" s="423"/>
      <c r="E216" s="423"/>
      <c r="F216" s="423"/>
      <c r="G216" s="423"/>
      <c r="H216" s="423"/>
      <c r="I216" s="423"/>
      <c r="J216" s="423"/>
      <c r="K216" s="423"/>
      <c r="L216" s="423"/>
    </row>
    <row r="217" spans="1:13" ht="14.25" x14ac:dyDescent="0.2">
      <c r="A217" s="423"/>
      <c r="B217" s="423"/>
      <c r="C217" s="423"/>
      <c r="D217" s="423"/>
      <c r="E217" s="423"/>
      <c r="F217" s="423"/>
      <c r="G217" s="423"/>
      <c r="H217" s="423"/>
      <c r="I217" s="423"/>
      <c r="J217" s="423"/>
      <c r="K217" s="423"/>
      <c r="L217" s="423"/>
    </row>
    <row r="218" spans="1:13" ht="14.25" x14ac:dyDescent="0.2">
      <c r="A218" s="423"/>
      <c r="B218" s="423"/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</row>
  </sheetData>
  <mergeCells count="126">
    <mergeCell ref="I2:L2"/>
    <mergeCell ref="I3:L3"/>
    <mergeCell ref="I4:L4"/>
    <mergeCell ref="J6:L6"/>
    <mergeCell ref="J7:L7"/>
    <mergeCell ref="J8:L9"/>
    <mergeCell ref="C14:H14"/>
    <mergeCell ref="J14:L15"/>
    <mergeCell ref="C15:H15"/>
    <mergeCell ref="C16:H16"/>
    <mergeCell ref="C17:H17"/>
    <mergeCell ref="C18:H18"/>
    <mergeCell ref="J18:L19"/>
    <mergeCell ref="C19:H19"/>
    <mergeCell ref="C9:H9"/>
    <mergeCell ref="C10:H10"/>
    <mergeCell ref="J10:L11"/>
    <mergeCell ref="C11:H11"/>
    <mergeCell ref="C12:H12"/>
    <mergeCell ref="J12:L13"/>
    <mergeCell ref="C13:H13"/>
    <mergeCell ref="J24:L24"/>
    <mergeCell ref="G26:G27"/>
    <mergeCell ref="H26:H27"/>
    <mergeCell ref="I26:J26"/>
    <mergeCell ref="A30:L30"/>
    <mergeCell ref="A31:L31"/>
    <mergeCell ref="C20:H20"/>
    <mergeCell ref="G21:I21"/>
    <mergeCell ref="J21:L21"/>
    <mergeCell ref="G22:H22"/>
    <mergeCell ref="J22:L22"/>
    <mergeCell ref="J23:L23"/>
    <mergeCell ref="A34:L34"/>
    <mergeCell ref="A35:B35"/>
    <mergeCell ref="C35:C39"/>
    <mergeCell ref="D35:D39"/>
    <mergeCell ref="E35:E39"/>
    <mergeCell ref="F35:F39"/>
    <mergeCell ref="G35:G39"/>
    <mergeCell ref="H35:H39"/>
    <mergeCell ref="I35:I39"/>
    <mergeCell ref="A50:L50"/>
    <mergeCell ref="I60:J60"/>
    <mergeCell ref="K60:L60"/>
    <mergeCell ref="I65:J65"/>
    <mergeCell ref="K65:L65"/>
    <mergeCell ref="A45:L45"/>
    <mergeCell ref="A46:L46"/>
    <mergeCell ref="A47:L47"/>
    <mergeCell ref="J35:J39"/>
    <mergeCell ref="K35:K39"/>
    <mergeCell ref="L35:L39"/>
    <mergeCell ref="A36:A39"/>
    <mergeCell ref="B36:B39"/>
    <mergeCell ref="I81:J81"/>
    <mergeCell ref="K81:L81"/>
    <mergeCell ref="I86:J86"/>
    <mergeCell ref="K86:L86"/>
    <mergeCell ref="I88:J88"/>
    <mergeCell ref="K88:L88"/>
    <mergeCell ref="I67:J67"/>
    <mergeCell ref="K67:L67"/>
    <mergeCell ref="I69:J69"/>
    <mergeCell ref="K69:L69"/>
    <mergeCell ref="I71:J71"/>
    <mergeCell ref="K71:L71"/>
    <mergeCell ref="I108:J108"/>
    <mergeCell ref="K108:L108"/>
    <mergeCell ref="I119:J119"/>
    <mergeCell ref="K119:L119"/>
    <mergeCell ref="I124:J124"/>
    <mergeCell ref="K124:L124"/>
    <mergeCell ref="I90:J90"/>
    <mergeCell ref="K90:L90"/>
    <mergeCell ref="I101:J101"/>
    <mergeCell ref="K101:L101"/>
    <mergeCell ref="I106:J106"/>
    <mergeCell ref="K106:L106"/>
    <mergeCell ref="K165:L165"/>
    <mergeCell ref="I144:J144"/>
    <mergeCell ref="K144:L144"/>
    <mergeCell ref="I154:J154"/>
    <mergeCell ref="K154:L154"/>
    <mergeCell ref="I159:J159"/>
    <mergeCell ref="K159:L159"/>
    <mergeCell ref="I126:J126"/>
    <mergeCell ref="K126:L126"/>
    <mergeCell ref="I137:J137"/>
    <mergeCell ref="K137:L137"/>
    <mergeCell ref="I142:J142"/>
    <mergeCell ref="K142:L142"/>
    <mergeCell ref="A32:L32"/>
    <mergeCell ref="A33:L33"/>
    <mergeCell ref="A42:L42"/>
    <mergeCell ref="A43:L43"/>
    <mergeCell ref="A44:L44"/>
    <mergeCell ref="I186:J186"/>
    <mergeCell ref="K186:L186"/>
    <mergeCell ref="I187:J187"/>
    <mergeCell ref="K187:L187"/>
    <mergeCell ref="K173:L173"/>
    <mergeCell ref="A180:H180"/>
    <mergeCell ref="I180:J180"/>
    <mergeCell ref="K180:L180"/>
    <mergeCell ref="I167:J167"/>
    <mergeCell ref="K167:L167"/>
    <mergeCell ref="I169:J169"/>
    <mergeCell ref="K169:L169"/>
    <mergeCell ref="I171:J171"/>
    <mergeCell ref="K171:L171"/>
    <mergeCell ref="I161:J161"/>
    <mergeCell ref="K161:L161"/>
    <mergeCell ref="I163:J163"/>
    <mergeCell ref="K163:L163"/>
    <mergeCell ref="I165:J165"/>
    <mergeCell ref="D189:H189"/>
    <mergeCell ref="D190:H190"/>
    <mergeCell ref="I183:J183"/>
    <mergeCell ref="K183:L183"/>
    <mergeCell ref="I184:J184"/>
    <mergeCell ref="K184:L184"/>
    <mergeCell ref="I185:J185"/>
    <mergeCell ref="K185:L185"/>
    <mergeCell ref="A173:H173"/>
    <mergeCell ref="I173:J173"/>
  </mergeCells>
  <pageMargins left="0.4" right="0.2" top="0.2" bottom="0.4" header="0.2" footer="0.2"/>
  <pageSetup paperSize="9" scale="59" fitToHeight="0" orientation="portrait" r:id="rId1"/>
  <headerFooter>
    <oddHeader>&amp;L&amp;8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IV300"/>
  <sheetViews>
    <sheetView view="pageBreakPreview" topLeftCell="A32" zoomScale="70" zoomScaleNormal="70" zoomScaleSheetLayoutView="70" workbookViewId="0">
      <selection activeCell="K54" sqref="K54"/>
    </sheetView>
  </sheetViews>
  <sheetFormatPr defaultRowHeight="12.75" x14ac:dyDescent="0.2"/>
  <cols>
    <col min="1" max="1" width="5.7109375" style="482" customWidth="1"/>
    <col min="2" max="2" width="7.140625" style="482" customWidth="1"/>
    <col min="3" max="3" width="11.7109375" style="482" customWidth="1"/>
    <col min="4" max="4" width="40.7109375" style="482" customWidth="1"/>
    <col min="5" max="6" width="11.7109375" style="482" customWidth="1"/>
    <col min="7" max="7" width="12.85546875" style="482" customWidth="1"/>
    <col min="8" max="8" width="12.7109375" style="482" customWidth="1"/>
    <col min="9" max="9" width="10.7109375" style="482" customWidth="1"/>
    <col min="10" max="12" width="12.7109375" style="482" customWidth="1"/>
    <col min="13" max="13" width="11.85546875" style="482" bestFit="1" customWidth="1"/>
    <col min="14" max="14" width="9.140625" style="482"/>
    <col min="15" max="36" width="0" style="482" hidden="1" customWidth="1"/>
    <col min="37" max="37" width="155.7109375" style="482" hidden="1" customWidth="1"/>
    <col min="38" max="38" width="109.7109375" style="482" hidden="1" customWidth="1"/>
    <col min="39" max="42" width="0" style="482" hidden="1" customWidth="1"/>
    <col min="43" max="16384" width="9.140625" style="482"/>
  </cols>
  <sheetData>
    <row r="1" spans="1:12" hidden="1" x14ac:dyDescent="0.2">
      <c r="A1" s="481" t="str">
        <f>[90]Source!B1</f>
        <v>Smeta.RU  (495) 974-1589</v>
      </c>
    </row>
    <row r="2" spans="1:12" ht="15" hidden="1" x14ac:dyDescent="0.25">
      <c r="A2" s="483"/>
      <c r="B2" s="483"/>
      <c r="C2" s="484"/>
      <c r="D2" s="484"/>
      <c r="E2" s="484"/>
      <c r="F2" s="483"/>
      <c r="G2" s="483"/>
      <c r="H2" s="483"/>
      <c r="I2" s="717" t="s">
        <v>0</v>
      </c>
      <c r="J2" s="717"/>
      <c r="K2" s="717"/>
      <c r="L2" s="717"/>
    </row>
    <row r="3" spans="1:12" ht="14.25" hidden="1" x14ac:dyDescent="0.2">
      <c r="A3" s="483"/>
      <c r="B3" s="483"/>
      <c r="C3" s="483"/>
      <c r="D3" s="483"/>
      <c r="E3" s="483"/>
      <c r="F3" s="483"/>
      <c r="G3" s="483"/>
      <c r="H3" s="483"/>
      <c r="I3" s="717" t="s">
        <v>1</v>
      </c>
      <c r="J3" s="717"/>
      <c r="K3" s="717"/>
      <c r="L3" s="717"/>
    </row>
    <row r="4" spans="1:12" ht="14.25" hidden="1" x14ac:dyDescent="0.2">
      <c r="A4" s="483"/>
      <c r="B4" s="483"/>
      <c r="C4" s="483"/>
      <c r="D4" s="483"/>
      <c r="E4" s="483"/>
      <c r="F4" s="483"/>
      <c r="G4" s="483"/>
      <c r="H4" s="483"/>
      <c r="I4" s="717" t="s">
        <v>2</v>
      </c>
      <c r="J4" s="717"/>
      <c r="K4" s="717"/>
      <c r="L4" s="717"/>
    </row>
    <row r="5" spans="1:12" ht="14.25" hidden="1" x14ac:dyDescent="0.2">
      <c r="A5" s="483"/>
      <c r="B5" s="483"/>
      <c r="C5" s="483"/>
      <c r="D5" s="483"/>
      <c r="E5" s="483"/>
      <c r="F5" s="483"/>
      <c r="G5" s="483"/>
      <c r="H5" s="483"/>
      <c r="I5" s="483"/>
      <c r="J5" s="483"/>
      <c r="K5" s="483"/>
      <c r="L5" s="483"/>
    </row>
    <row r="6" spans="1:12" ht="14.25" hidden="1" x14ac:dyDescent="0.2">
      <c r="A6" s="483"/>
      <c r="B6" s="483"/>
      <c r="C6" s="483"/>
      <c r="D6" s="483"/>
      <c r="E6" s="483"/>
      <c r="F6" s="483"/>
      <c r="G6" s="483"/>
      <c r="H6" s="483"/>
      <c r="I6" s="483"/>
      <c r="J6" s="718" t="s">
        <v>3</v>
      </c>
      <c r="K6" s="718"/>
      <c r="L6" s="718"/>
    </row>
    <row r="7" spans="1:12" ht="14.25" hidden="1" x14ac:dyDescent="0.2">
      <c r="A7" s="483"/>
      <c r="B7" s="483"/>
      <c r="C7" s="483"/>
      <c r="D7" s="483"/>
      <c r="E7" s="483"/>
      <c r="F7" s="483"/>
      <c r="G7" s="483"/>
      <c r="H7" s="483"/>
      <c r="I7" s="485" t="s">
        <v>4</v>
      </c>
      <c r="J7" s="719" t="s">
        <v>5</v>
      </c>
      <c r="K7" s="719"/>
      <c r="L7" s="719"/>
    </row>
    <row r="8" spans="1:12" ht="14.25" hidden="1" x14ac:dyDescent="0.2">
      <c r="A8" s="483"/>
      <c r="B8" s="483"/>
      <c r="C8" s="483"/>
      <c r="D8" s="483"/>
      <c r="E8" s="483"/>
      <c r="F8" s="483"/>
      <c r="G8" s="483"/>
      <c r="H8" s="483"/>
      <c r="I8" s="483"/>
      <c r="J8" s="720" t="s">
        <v>6</v>
      </c>
      <c r="K8" s="720"/>
      <c r="L8" s="720"/>
    </row>
    <row r="9" spans="1:12" ht="14.25" hidden="1" x14ac:dyDescent="0.2">
      <c r="A9" s="483" t="s">
        <v>218</v>
      </c>
      <c r="B9" s="483"/>
      <c r="C9" s="728" t="s">
        <v>219</v>
      </c>
      <c r="D9" s="728"/>
      <c r="E9" s="728"/>
      <c r="F9" s="728"/>
      <c r="G9" s="728"/>
      <c r="H9" s="728"/>
      <c r="I9" s="485" t="s">
        <v>9</v>
      </c>
      <c r="J9" s="720"/>
      <c r="K9" s="720"/>
      <c r="L9" s="720"/>
    </row>
    <row r="10" spans="1:12" ht="14.25" hidden="1" x14ac:dyDescent="0.2">
      <c r="A10" s="483"/>
      <c r="B10" s="483"/>
      <c r="C10" s="721" t="s">
        <v>10</v>
      </c>
      <c r="D10" s="721"/>
      <c r="E10" s="721"/>
      <c r="F10" s="721"/>
      <c r="G10" s="721"/>
      <c r="H10" s="721"/>
      <c r="I10" s="483"/>
      <c r="J10" s="722" t="s">
        <v>11</v>
      </c>
      <c r="K10" s="723"/>
      <c r="L10" s="724"/>
    </row>
    <row r="11" spans="1:12" ht="14.25" hidden="1" x14ac:dyDescent="0.2">
      <c r="A11" s="483" t="s">
        <v>220</v>
      </c>
      <c r="B11" s="483"/>
      <c r="C11" s="728" t="s">
        <v>221</v>
      </c>
      <c r="D11" s="728"/>
      <c r="E11" s="728"/>
      <c r="F11" s="728"/>
      <c r="G11" s="728"/>
      <c r="H11" s="728"/>
      <c r="I11" s="485" t="s">
        <v>9</v>
      </c>
      <c r="J11" s="725"/>
      <c r="K11" s="726"/>
      <c r="L11" s="727"/>
    </row>
    <row r="12" spans="1:12" ht="14.25" hidden="1" x14ac:dyDescent="0.2">
      <c r="A12" s="483"/>
      <c r="B12" s="483"/>
      <c r="C12" s="721" t="s">
        <v>10</v>
      </c>
      <c r="D12" s="721"/>
      <c r="E12" s="721"/>
      <c r="F12" s="721"/>
      <c r="G12" s="721"/>
      <c r="H12" s="721"/>
      <c r="I12" s="483"/>
      <c r="J12" s="720">
        <v>29478604</v>
      </c>
      <c r="K12" s="720"/>
      <c r="L12" s="720"/>
    </row>
    <row r="13" spans="1:12" ht="14.25" hidden="1" x14ac:dyDescent="0.2">
      <c r="A13" s="483" t="s">
        <v>15</v>
      </c>
      <c r="B13" s="483"/>
      <c r="C13" s="728" t="s">
        <v>222</v>
      </c>
      <c r="D13" s="728"/>
      <c r="E13" s="728"/>
      <c r="F13" s="728"/>
      <c r="G13" s="728"/>
      <c r="H13" s="728"/>
      <c r="I13" s="485" t="s">
        <v>9</v>
      </c>
      <c r="J13" s="720"/>
      <c r="K13" s="720"/>
      <c r="L13" s="720"/>
    </row>
    <row r="14" spans="1:12" ht="14.25" hidden="1" x14ac:dyDescent="0.2">
      <c r="A14" s="483"/>
      <c r="B14" s="483"/>
      <c r="C14" s="721" t="s">
        <v>10</v>
      </c>
      <c r="D14" s="721"/>
      <c r="E14" s="721"/>
      <c r="F14" s="721"/>
      <c r="G14" s="721"/>
      <c r="H14" s="721"/>
      <c r="I14" s="483"/>
      <c r="J14" s="722" t="s">
        <v>132</v>
      </c>
      <c r="K14" s="723"/>
      <c r="L14" s="724"/>
    </row>
    <row r="15" spans="1:12" ht="14.25" hidden="1" customHeight="1" x14ac:dyDescent="0.2">
      <c r="A15" s="483" t="s">
        <v>185</v>
      </c>
      <c r="B15" s="483"/>
      <c r="C15" s="728" t="s">
        <v>213</v>
      </c>
      <c r="D15" s="728"/>
      <c r="E15" s="728"/>
      <c r="F15" s="728"/>
      <c r="G15" s="728"/>
      <c r="H15" s="728"/>
      <c r="I15" s="485" t="s">
        <v>9</v>
      </c>
      <c r="J15" s="725"/>
      <c r="K15" s="726"/>
      <c r="L15" s="727"/>
    </row>
    <row r="16" spans="1:12" ht="14.25" hidden="1" x14ac:dyDescent="0.2">
      <c r="A16" s="483"/>
      <c r="B16" s="483"/>
      <c r="C16" s="721" t="s">
        <v>10</v>
      </c>
      <c r="D16" s="721"/>
      <c r="E16" s="721"/>
      <c r="F16" s="721"/>
      <c r="G16" s="721"/>
      <c r="H16" s="721"/>
      <c r="I16" s="483"/>
      <c r="J16" s="486"/>
      <c r="K16" s="487"/>
      <c r="L16" s="488"/>
    </row>
    <row r="17" spans="1:36" ht="35.25" hidden="1" customHeight="1" x14ac:dyDescent="0.2">
      <c r="A17" s="483" t="s">
        <v>17</v>
      </c>
      <c r="B17" s="483"/>
      <c r="C17" s="729" t="s">
        <v>223</v>
      </c>
      <c r="D17" s="729"/>
      <c r="E17" s="729"/>
      <c r="F17" s="729"/>
      <c r="G17" s="729"/>
      <c r="H17" s="729"/>
      <c r="I17" s="483"/>
      <c r="J17" s="489"/>
      <c r="K17" s="490"/>
      <c r="L17" s="491"/>
      <c r="AJ17" s="492" t="s">
        <v>224</v>
      </c>
    </row>
    <row r="18" spans="1:36" ht="14.25" hidden="1" x14ac:dyDescent="0.2">
      <c r="A18" s="483"/>
      <c r="B18" s="483"/>
      <c r="C18" s="721" t="s">
        <v>20</v>
      </c>
      <c r="D18" s="721"/>
      <c r="E18" s="721"/>
      <c r="F18" s="721"/>
      <c r="G18" s="721"/>
      <c r="H18" s="721"/>
      <c r="I18" s="483"/>
      <c r="J18" s="718" t="str">
        <f>IF([80]Source!CP15 &lt;&gt; "", [80]Source!CP15, "")</f>
        <v/>
      </c>
      <c r="K18" s="718"/>
      <c r="L18" s="718"/>
    </row>
    <row r="19" spans="1:36" ht="32.25" hidden="1" customHeight="1" x14ac:dyDescent="0.2">
      <c r="A19" s="483" t="s">
        <v>21</v>
      </c>
      <c r="B19" s="483"/>
      <c r="C19" s="729" t="s">
        <v>223</v>
      </c>
      <c r="D19" s="729"/>
      <c r="E19" s="729"/>
      <c r="F19" s="729"/>
      <c r="G19" s="729"/>
      <c r="H19" s="729"/>
      <c r="I19" s="483"/>
      <c r="J19" s="718"/>
      <c r="K19" s="718"/>
      <c r="L19" s="718"/>
      <c r="AJ19" s="493" t="str">
        <f>IF([80]Source!G12&lt;&gt;"Новый объект", [80]Source!G12, "")</f>
        <v>12-4017-Л-Р-8.3.1-ВК-СМ1 Инженерные системы. Тонельный водопровод и водоотвод</v>
      </c>
    </row>
    <row r="20" spans="1:36" ht="14.25" hidden="1" x14ac:dyDescent="0.2">
      <c r="A20" s="483"/>
      <c r="B20" s="483"/>
      <c r="C20" s="721" t="s">
        <v>22</v>
      </c>
      <c r="D20" s="721"/>
      <c r="E20" s="721"/>
      <c r="F20" s="721"/>
      <c r="G20" s="721"/>
      <c r="H20" s="721"/>
      <c r="I20" s="483"/>
      <c r="J20" s="483"/>
      <c r="K20" s="483"/>
      <c r="L20" s="483"/>
    </row>
    <row r="21" spans="1:36" ht="14.25" hidden="1" x14ac:dyDescent="0.2">
      <c r="A21" s="483"/>
      <c r="B21" s="483"/>
      <c r="C21" s="483"/>
      <c r="D21" s="483"/>
      <c r="E21" s="483"/>
      <c r="F21" s="483"/>
      <c r="G21" s="736" t="s">
        <v>23</v>
      </c>
      <c r="H21" s="736"/>
      <c r="I21" s="737"/>
      <c r="J21" s="718" t="str">
        <f>IF([80]Source!CQ15 &lt;&gt; "", [80]Source!CQ15, "")</f>
        <v/>
      </c>
      <c r="K21" s="718"/>
      <c r="L21" s="718"/>
    </row>
    <row r="22" spans="1:36" ht="14.25" hidden="1" x14ac:dyDescent="0.2">
      <c r="A22" s="483"/>
      <c r="B22" s="483"/>
      <c r="C22" s="483"/>
      <c r="D22" s="483"/>
      <c r="E22" s="483"/>
      <c r="F22" s="483"/>
      <c r="G22" s="736" t="s">
        <v>24</v>
      </c>
      <c r="H22" s="738"/>
      <c r="I22" s="494" t="s">
        <v>25</v>
      </c>
      <c r="J22" s="718" t="s">
        <v>225</v>
      </c>
      <c r="K22" s="718"/>
      <c r="L22" s="718"/>
    </row>
    <row r="23" spans="1:36" ht="14.25" hidden="1" x14ac:dyDescent="0.2">
      <c r="A23" s="483"/>
      <c r="B23" s="483"/>
      <c r="C23" s="483"/>
      <c r="D23" s="483"/>
      <c r="E23" s="483"/>
      <c r="F23" s="483"/>
      <c r="G23" s="483"/>
      <c r="H23" s="483"/>
      <c r="I23" s="495" t="s">
        <v>26</v>
      </c>
      <c r="J23" s="739">
        <v>43713</v>
      </c>
      <c r="K23" s="739"/>
      <c r="L23" s="739"/>
    </row>
    <row r="24" spans="1:36" ht="14.25" hidden="1" x14ac:dyDescent="0.2">
      <c r="A24" s="483"/>
      <c r="B24" s="483"/>
      <c r="C24" s="483"/>
      <c r="D24" s="483"/>
      <c r="E24" s="483"/>
      <c r="F24" s="483"/>
      <c r="G24" s="483"/>
      <c r="H24" s="483"/>
      <c r="I24" s="485" t="s">
        <v>27</v>
      </c>
      <c r="J24" s="718" t="str">
        <f>IF([80]Source!CT15 &lt;&gt; "", [80]Source!CT15, "")</f>
        <v/>
      </c>
      <c r="K24" s="718"/>
      <c r="L24" s="718"/>
    </row>
    <row r="25" spans="1:36" ht="14.25" hidden="1" x14ac:dyDescent="0.2">
      <c r="A25" s="483"/>
      <c r="B25" s="483"/>
      <c r="C25" s="483"/>
      <c r="D25" s="483"/>
      <c r="E25" s="483"/>
      <c r="F25" s="483"/>
      <c r="G25" s="483"/>
      <c r="H25" s="483"/>
      <c r="I25" s="483"/>
      <c r="J25" s="483"/>
      <c r="K25" s="483"/>
      <c r="L25" s="483"/>
    </row>
    <row r="26" spans="1:36" ht="14.25" hidden="1" x14ac:dyDescent="0.2">
      <c r="A26" s="483"/>
      <c r="B26" s="483"/>
      <c r="C26" s="483"/>
      <c r="D26" s="483"/>
      <c r="E26" s="483"/>
      <c r="F26" s="483"/>
      <c r="G26" s="730" t="s">
        <v>28</v>
      </c>
      <c r="H26" s="732" t="s">
        <v>29</v>
      </c>
      <c r="I26" s="732" t="s">
        <v>30</v>
      </c>
      <c r="J26" s="734"/>
      <c r="K26" s="483"/>
      <c r="L26" s="483"/>
    </row>
    <row r="27" spans="1:36" ht="14.25" hidden="1" x14ac:dyDescent="0.2">
      <c r="A27" s="483"/>
      <c r="B27" s="483"/>
      <c r="C27" s="483"/>
      <c r="D27" s="483"/>
      <c r="E27" s="483"/>
      <c r="F27" s="483"/>
      <c r="G27" s="731"/>
      <c r="H27" s="733"/>
      <c r="I27" s="496" t="s">
        <v>31</v>
      </c>
      <c r="J27" s="497" t="s">
        <v>32</v>
      </c>
      <c r="K27" s="483"/>
      <c r="L27" s="483"/>
    </row>
    <row r="28" spans="1:36" ht="14.25" hidden="1" x14ac:dyDescent="0.2">
      <c r="A28" s="483"/>
      <c r="B28" s="483"/>
      <c r="C28" s="483"/>
      <c r="D28" s="483"/>
      <c r="E28" s="483"/>
      <c r="F28" s="483"/>
      <c r="G28" s="498">
        <v>44084</v>
      </c>
      <c r="H28" s="498">
        <v>44012</v>
      </c>
      <c r="I28" s="498" t="s">
        <v>237</v>
      </c>
      <c r="J28" s="499" t="s">
        <v>238</v>
      </c>
      <c r="K28" s="483"/>
      <c r="L28" s="483"/>
    </row>
    <row r="29" spans="1:36" ht="14.25" hidden="1" x14ac:dyDescent="0.2">
      <c r="A29" s="483"/>
      <c r="B29" s="483"/>
      <c r="C29" s="483"/>
      <c r="D29" s="483"/>
      <c r="E29" s="483"/>
      <c r="F29" s="483"/>
      <c r="G29" s="483"/>
      <c r="H29" s="483"/>
      <c r="I29" s="483"/>
      <c r="J29" s="483"/>
      <c r="K29" s="483"/>
      <c r="L29" s="483"/>
    </row>
    <row r="30" spans="1:36" ht="18" hidden="1" x14ac:dyDescent="0.25">
      <c r="A30" s="735" t="s">
        <v>34</v>
      </c>
      <c r="B30" s="735"/>
      <c r="C30" s="735"/>
      <c r="D30" s="735"/>
      <c r="E30" s="735"/>
      <c r="F30" s="735"/>
      <c r="G30" s="735"/>
      <c r="H30" s="735"/>
      <c r="I30" s="735"/>
      <c r="J30" s="735"/>
      <c r="K30" s="735"/>
      <c r="L30" s="735"/>
    </row>
    <row r="31" spans="1:36" ht="18" hidden="1" x14ac:dyDescent="0.25">
      <c r="A31" s="735" t="s">
        <v>35</v>
      </c>
      <c r="B31" s="735"/>
      <c r="C31" s="735"/>
      <c r="D31" s="735"/>
      <c r="E31" s="735"/>
      <c r="F31" s="735"/>
      <c r="G31" s="735"/>
      <c r="H31" s="735"/>
      <c r="I31" s="735"/>
      <c r="J31" s="735"/>
      <c r="K31" s="735"/>
      <c r="L31" s="735"/>
    </row>
    <row r="32" spans="1:36" ht="15" x14ac:dyDescent="0.25">
      <c r="A32" s="697" t="s">
        <v>396</v>
      </c>
      <c r="B32" s="697"/>
      <c r="C32" s="697"/>
      <c r="D32" s="697"/>
      <c r="E32" s="697"/>
      <c r="F32" s="697"/>
      <c r="G32" s="697"/>
      <c r="H32" s="697"/>
      <c r="I32" s="697"/>
      <c r="J32" s="697"/>
      <c r="K32" s="697"/>
      <c r="L32" s="697"/>
    </row>
    <row r="33" spans="1:37" ht="16.5" x14ac:dyDescent="0.25">
      <c r="A33" s="679" t="s">
        <v>309</v>
      </c>
      <c r="B33" s="679"/>
      <c r="C33" s="679"/>
      <c r="D33" s="679"/>
      <c r="E33" s="679"/>
      <c r="F33" s="679"/>
      <c r="G33" s="679"/>
      <c r="H33" s="679"/>
      <c r="I33" s="679"/>
      <c r="J33" s="679"/>
      <c r="K33" s="679"/>
      <c r="L33" s="679"/>
    </row>
    <row r="34" spans="1:37" ht="28.5" x14ac:dyDescent="0.2">
      <c r="A34" s="728" t="s">
        <v>226</v>
      </c>
      <c r="B34" s="728"/>
      <c r="C34" s="728"/>
      <c r="D34" s="728"/>
      <c r="E34" s="728"/>
      <c r="F34" s="728"/>
      <c r="G34" s="728"/>
      <c r="H34" s="728"/>
      <c r="I34" s="728"/>
      <c r="J34" s="728"/>
      <c r="K34" s="728"/>
      <c r="L34" s="728"/>
      <c r="AK34" s="492" t="s">
        <v>226</v>
      </c>
    </row>
    <row r="35" spans="1:37" ht="14.25" x14ac:dyDescent="0.2">
      <c r="A35" s="740" t="s">
        <v>36</v>
      </c>
      <c r="B35" s="740"/>
      <c r="C35" s="740" t="s">
        <v>37</v>
      </c>
      <c r="D35" s="740" t="s">
        <v>38</v>
      </c>
      <c r="E35" s="740" t="s">
        <v>39</v>
      </c>
      <c r="F35" s="740" t="s">
        <v>40</v>
      </c>
      <c r="G35" s="740" t="s">
        <v>41</v>
      </c>
      <c r="H35" s="741" t="s">
        <v>42</v>
      </c>
      <c r="I35" s="741" t="s">
        <v>43</v>
      </c>
      <c r="J35" s="740" t="s">
        <v>227</v>
      </c>
      <c r="K35" s="740" t="s">
        <v>44</v>
      </c>
      <c r="L35" s="740" t="s">
        <v>45</v>
      </c>
    </row>
    <row r="36" spans="1:37" x14ac:dyDescent="0.2">
      <c r="A36" s="741" t="s">
        <v>46</v>
      </c>
      <c r="B36" s="741" t="s">
        <v>47</v>
      </c>
      <c r="C36" s="740"/>
      <c r="D36" s="740"/>
      <c r="E36" s="740"/>
      <c r="F36" s="740"/>
      <c r="G36" s="740"/>
      <c r="H36" s="742"/>
      <c r="I36" s="742"/>
      <c r="J36" s="740"/>
      <c r="K36" s="740"/>
      <c r="L36" s="740"/>
    </row>
    <row r="37" spans="1:37" x14ac:dyDescent="0.2">
      <c r="A37" s="742"/>
      <c r="B37" s="742"/>
      <c r="C37" s="740"/>
      <c r="D37" s="740"/>
      <c r="E37" s="740"/>
      <c r="F37" s="740"/>
      <c r="G37" s="740"/>
      <c r="H37" s="742"/>
      <c r="I37" s="742"/>
      <c r="J37" s="740"/>
      <c r="K37" s="740"/>
      <c r="L37" s="740"/>
    </row>
    <row r="38" spans="1:37" ht="20.100000000000001" customHeight="1" x14ac:dyDescent="0.2">
      <c r="A38" s="742"/>
      <c r="B38" s="742"/>
      <c r="C38" s="740"/>
      <c r="D38" s="740"/>
      <c r="E38" s="740"/>
      <c r="F38" s="740"/>
      <c r="G38" s="740"/>
      <c r="H38" s="742"/>
      <c r="I38" s="742"/>
      <c r="J38" s="740"/>
      <c r="K38" s="740"/>
      <c r="L38" s="740"/>
    </row>
    <row r="39" spans="1:37" ht="20.100000000000001" customHeight="1" x14ac:dyDescent="0.2">
      <c r="A39" s="743"/>
      <c r="B39" s="743"/>
      <c r="C39" s="740"/>
      <c r="D39" s="740"/>
      <c r="E39" s="740"/>
      <c r="F39" s="740"/>
      <c r="G39" s="740"/>
      <c r="H39" s="743"/>
      <c r="I39" s="743"/>
      <c r="J39" s="740"/>
      <c r="K39" s="740"/>
      <c r="L39" s="740"/>
    </row>
    <row r="40" spans="1:37" ht="14.25" x14ac:dyDescent="0.2">
      <c r="A40" s="500">
        <v>1</v>
      </c>
      <c r="B40" s="500">
        <v>2</v>
      </c>
      <c r="C40" s="500">
        <v>3</v>
      </c>
      <c r="D40" s="500">
        <v>4</v>
      </c>
      <c r="E40" s="500">
        <v>5</v>
      </c>
      <c r="F40" s="500">
        <v>6</v>
      </c>
      <c r="G40" s="500">
        <v>7</v>
      </c>
      <c r="H40" s="500">
        <v>8</v>
      </c>
      <c r="I40" s="500">
        <v>9</v>
      </c>
      <c r="J40" s="500">
        <v>10</v>
      </c>
      <c r="K40" s="500">
        <v>11</v>
      </c>
      <c r="L40" s="500">
        <v>12</v>
      </c>
    </row>
    <row r="42" spans="1:37" ht="16.5" x14ac:dyDescent="0.25">
      <c r="A42" s="688" t="s">
        <v>48</v>
      </c>
      <c r="B42" s="688"/>
      <c r="C42" s="688"/>
      <c r="D42" s="688"/>
      <c r="E42" s="688"/>
      <c r="F42" s="688"/>
      <c r="G42" s="688"/>
      <c r="H42" s="688"/>
      <c r="I42" s="688"/>
      <c r="J42" s="688"/>
      <c r="K42" s="688"/>
      <c r="L42" s="688"/>
      <c r="AK42" s="501"/>
    </row>
    <row r="43" spans="1:37" ht="16.5" x14ac:dyDescent="0.25">
      <c r="A43" s="688" t="s">
        <v>420</v>
      </c>
      <c r="B43" s="688"/>
      <c r="C43" s="688"/>
      <c r="D43" s="688"/>
      <c r="E43" s="688"/>
      <c r="F43" s="688"/>
      <c r="G43" s="688"/>
      <c r="H43" s="688"/>
      <c r="I43" s="688"/>
      <c r="J43" s="688"/>
      <c r="K43" s="688"/>
      <c r="L43" s="688"/>
      <c r="AK43" s="501"/>
    </row>
    <row r="44" spans="1:37" ht="16.5" x14ac:dyDescent="0.25">
      <c r="A44" s="688" t="s">
        <v>398</v>
      </c>
      <c r="B44" s="688"/>
      <c r="C44" s="688"/>
      <c r="D44" s="688"/>
      <c r="E44" s="688"/>
      <c r="F44" s="688"/>
      <c r="G44" s="688"/>
      <c r="H44" s="688"/>
      <c r="I44" s="688"/>
      <c r="J44" s="688"/>
      <c r="K44" s="688"/>
      <c r="L44" s="688"/>
      <c r="AK44" s="501"/>
    </row>
    <row r="45" spans="1:37" ht="16.5" hidden="1" x14ac:dyDescent="0.25">
      <c r="A45" s="680" t="s">
        <v>49</v>
      </c>
      <c r="B45" s="681"/>
      <c r="C45" s="681"/>
      <c r="D45" s="681"/>
      <c r="E45" s="681"/>
      <c r="F45" s="681"/>
      <c r="G45" s="681"/>
      <c r="H45" s="681"/>
      <c r="I45" s="681"/>
      <c r="J45" s="681"/>
      <c r="K45" s="681"/>
      <c r="L45" s="682"/>
      <c r="AK45" s="501"/>
    </row>
    <row r="46" spans="1:37" ht="16.5" hidden="1" x14ac:dyDescent="0.25">
      <c r="A46" s="683" t="s">
        <v>50</v>
      </c>
      <c r="B46" s="683"/>
      <c r="C46" s="683"/>
      <c r="D46" s="683"/>
      <c r="E46" s="683"/>
      <c r="F46" s="683"/>
      <c r="G46" s="683"/>
      <c r="H46" s="683"/>
      <c r="I46" s="683"/>
      <c r="J46" s="683"/>
      <c r="K46" s="683"/>
      <c r="L46" s="683"/>
      <c r="AK46" s="501"/>
    </row>
    <row r="47" spans="1:37" ht="16.5" hidden="1" x14ac:dyDescent="0.25">
      <c r="A47" s="683" t="s">
        <v>51</v>
      </c>
      <c r="B47" s="683"/>
      <c r="C47" s="683"/>
      <c r="D47" s="683"/>
      <c r="E47" s="683"/>
      <c r="F47" s="683"/>
      <c r="G47" s="683"/>
      <c r="H47" s="683"/>
      <c r="I47" s="683"/>
      <c r="J47" s="683"/>
      <c r="K47" s="683"/>
      <c r="L47" s="683"/>
      <c r="AK47" s="501"/>
    </row>
    <row r="48" spans="1:37" ht="16.5" x14ac:dyDescent="0.25">
      <c r="A48" s="458" t="s">
        <v>379</v>
      </c>
      <c r="B48" s="426"/>
      <c r="C48" s="426"/>
      <c r="D48" s="426"/>
      <c r="E48" s="426"/>
      <c r="F48" s="426"/>
      <c r="G48" s="426"/>
      <c r="H48" s="426"/>
      <c r="I48" s="426"/>
      <c r="J48" s="426"/>
      <c r="K48" s="426"/>
      <c r="L48" s="426"/>
      <c r="AK48" s="501"/>
    </row>
    <row r="49" spans="1:37" ht="16.5" x14ac:dyDescent="0.25">
      <c r="A49" s="501"/>
      <c r="B49" s="501"/>
      <c r="C49" s="501"/>
      <c r="D49" s="501"/>
      <c r="E49" s="501"/>
      <c r="F49" s="501"/>
      <c r="G49" s="501"/>
      <c r="H49" s="501"/>
      <c r="I49" s="501"/>
      <c r="J49" s="501"/>
      <c r="K49" s="501"/>
      <c r="L49" s="501"/>
      <c r="AK49" s="501"/>
    </row>
    <row r="50" spans="1:37" ht="16.5" x14ac:dyDescent="0.25">
      <c r="A50" s="744" t="str">
        <f>CONCATENATE("Раздел: ",IF([90]Source!G73&lt;&gt;"Новый раздел", [90]Source!G73, ""))</f>
        <v>Раздел: Вентиляция</v>
      </c>
      <c r="B50" s="744"/>
      <c r="C50" s="744"/>
      <c r="D50" s="744"/>
      <c r="E50" s="744"/>
      <c r="F50" s="744"/>
      <c r="G50" s="744"/>
      <c r="H50" s="744"/>
      <c r="I50" s="744"/>
      <c r="J50" s="744"/>
      <c r="K50" s="744"/>
      <c r="L50" s="744"/>
    </row>
    <row r="52" spans="1:37" ht="16.5" x14ac:dyDescent="0.25">
      <c r="A52" s="744" t="str">
        <f>CONCATENATE("Подраздел: ",IF([90]Source!G993&lt;&gt;"Новый подраздел", [90]Source!G993, ""))</f>
        <v>Подраздел: В2-35</v>
      </c>
      <c r="B52" s="744"/>
      <c r="C52" s="744"/>
      <c r="D52" s="744"/>
      <c r="E52" s="744"/>
      <c r="F52" s="744"/>
      <c r="G52" s="744"/>
      <c r="H52" s="744"/>
      <c r="I52" s="744"/>
      <c r="J52" s="744"/>
      <c r="K52" s="744"/>
      <c r="L52" s="744"/>
    </row>
    <row r="53" spans="1:37" ht="14.25" x14ac:dyDescent="0.2">
      <c r="D53" s="502">
        <f>[90]Source!G1013</f>
        <v>0</v>
      </c>
    </row>
    <row r="54" spans="1:37" ht="65.25" x14ac:dyDescent="0.2">
      <c r="A54" s="503">
        <v>1</v>
      </c>
      <c r="B54" s="503" t="str">
        <f>[90]Source!E1099</f>
        <v>134</v>
      </c>
      <c r="C54" s="504" t="s">
        <v>310</v>
      </c>
      <c r="D54" s="504" t="s">
        <v>311</v>
      </c>
      <c r="E54" s="505" t="str">
        <f>[90]Source!H1099</f>
        <v>1  ШТ.</v>
      </c>
      <c r="F54" s="485">
        <f>[90]Source!I1099</f>
        <v>3</v>
      </c>
      <c r="G54" s="506"/>
      <c r="H54" s="507"/>
      <c r="I54" s="485"/>
      <c r="J54" s="508"/>
      <c r="K54" s="485"/>
      <c r="L54" s="508"/>
      <c r="Q54" s="482">
        <f>ROUND(([90]Source!DN1099/100)*ROUND((ROUND(([90]Source!AF1099*[90]Source!AV1099*[90]Source!I1099),2)),2), 2)</f>
        <v>83.33</v>
      </c>
      <c r="R54" s="482">
        <f>[90]Source!X1099</f>
        <v>1615.17</v>
      </c>
      <c r="S54" s="482">
        <f>ROUND(([90]Source!DO1099/100)*ROUND((ROUND(([90]Source!AF1099*[90]Source!AV1099*[90]Source!I1099),2)),2), 2)</f>
        <v>62.66</v>
      </c>
      <c r="T54" s="482">
        <f>[90]Source!Y1099</f>
        <v>726.83</v>
      </c>
      <c r="U54" s="482">
        <f>ROUND((175/100)*ROUND((ROUND(([90]Source!AE1099*[90]Source!AV1099*[90]Source!I1099),2)),2), 2)</f>
        <v>1.31</v>
      </c>
      <c r="V54" s="482">
        <f>ROUND((157/100)*ROUND(ROUND((ROUND(([90]Source!AE1099*[90]Source!AV1099*[90]Source!I1099),2)*[90]Source!BS1099),2), 2), 2)</f>
        <v>28.53</v>
      </c>
    </row>
    <row r="55" spans="1:37" ht="14.25" x14ac:dyDescent="0.2">
      <c r="A55" s="503"/>
      <c r="B55" s="503"/>
      <c r="C55" s="504"/>
      <c r="D55" s="504" t="s">
        <v>52</v>
      </c>
      <c r="E55" s="505"/>
      <c r="F55" s="485"/>
      <c r="G55" s="506">
        <f>[90]Source!AO1099</f>
        <v>12.47</v>
      </c>
      <c r="H55" s="507" t="str">
        <f>[90]Source!DG1099</f>
        <v>)*1,67</v>
      </c>
      <c r="I55" s="485">
        <f>[90]Source!AV1099</f>
        <v>1.0669999999999999</v>
      </c>
      <c r="J55" s="508">
        <f>ROUND((ROUND(([90]Source!AF1099*[90]Source!AV1099*[90]Source!I1099),2)),2)</f>
        <v>66.66</v>
      </c>
      <c r="K55" s="485">
        <f>IF([90]Source!BA1099&lt;&gt; 0, [90]Source!BA1099, 1)</f>
        <v>24.23</v>
      </c>
      <c r="L55" s="508">
        <f>[90]Source!S1099</f>
        <v>1615.17</v>
      </c>
      <c r="W55" s="482">
        <f>J55</f>
        <v>66.66</v>
      </c>
    </row>
    <row r="56" spans="1:37" ht="14.25" x14ac:dyDescent="0.2">
      <c r="A56" s="503"/>
      <c r="B56" s="503"/>
      <c r="C56" s="504"/>
      <c r="D56" s="504" t="s">
        <v>53</v>
      </c>
      <c r="E56" s="505"/>
      <c r="F56" s="485"/>
      <c r="G56" s="506">
        <f>[90]Source!AM1099</f>
        <v>0.77</v>
      </c>
      <c r="H56" s="507">
        <f>[90]Source!DE1099</f>
        <v>0</v>
      </c>
      <c r="I56" s="485">
        <f>[90]Source!AV1099</f>
        <v>1.0669999999999999</v>
      </c>
      <c r="J56" s="508">
        <f>(ROUND((ROUND((([90]Source!ET1099)*[90]Source!AV1099*[90]Source!I1099),2)),2)+ROUND((ROUND((([90]Source!AE1099-([90]Source!EU1099))*[90]Source!AV1099*[90]Source!I1099),2)),2))-J65</f>
        <v>2.46</v>
      </c>
      <c r="K56" s="485">
        <f>IF([90]Source!BB1099&lt;&gt; 0, [90]Source!BB1099, 1)</f>
        <v>9.27</v>
      </c>
      <c r="L56" s="508">
        <f>[90]Source!Q1099-L65</f>
        <v>22.79</v>
      </c>
    </row>
    <row r="57" spans="1:37" ht="14.25" x14ac:dyDescent="0.2">
      <c r="A57" s="503"/>
      <c r="B57" s="503"/>
      <c r="C57" s="504"/>
      <c r="D57" s="504" t="s">
        <v>54</v>
      </c>
      <c r="E57" s="505"/>
      <c r="F57" s="485"/>
      <c r="G57" s="506">
        <f>[90]Source!AN1099</f>
        <v>0.14000000000000001</v>
      </c>
      <c r="H57" s="507">
        <f>[90]Source!DE1099</f>
        <v>0</v>
      </c>
      <c r="I57" s="485">
        <f>[90]Source!AV1099</f>
        <v>1.0669999999999999</v>
      </c>
      <c r="J57" s="509">
        <f>ROUND((ROUND(([90]Source!AE1099*[90]Source!AV1099*[90]Source!I1099),2)),2)-J66</f>
        <v>0.45</v>
      </c>
      <c r="K57" s="485">
        <f>IF([90]Source!BS1099&lt;&gt; 0, [90]Source!BS1099, 1)</f>
        <v>24.23</v>
      </c>
      <c r="L57" s="509">
        <f>[90]Source!R1099-L66</f>
        <v>10.89</v>
      </c>
      <c r="W57" s="482">
        <f>J57</f>
        <v>0.45</v>
      </c>
    </row>
    <row r="58" spans="1:37" ht="14.25" x14ac:dyDescent="0.2">
      <c r="A58" s="503"/>
      <c r="B58" s="503"/>
      <c r="C58" s="504"/>
      <c r="D58" s="504" t="s">
        <v>55</v>
      </c>
      <c r="E58" s="505"/>
      <c r="F58" s="485"/>
      <c r="G58" s="506">
        <f>[90]Source!AL1099</f>
        <v>16.53</v>
      </c>
      <c r="H58" s="507">
        <f>[90]Source!DD1099</f>
        <v>0</v>
      </c>
      <c r="I58" s="485">
        <f>[90]Source!AW1099</f>
        <v>1</v>
      </c>
      <c r="J58" s="508">
        <f>ROUND((ROUND(([90]Source!AC1099*[90]Source!AW1099*[90]Source!I1099),2)),2)</f>
        <v>49.59</v>
      </c>
      <c r="K58" s="485">
        <f>IF([90]Source!BC1099&lt;&gt; 0, [90]Source!BC1099, 1)</f>
        <v>2.54</v>
      </c>
      <c r="L58" s="508">
        <f>[90]Source!P1099</f>
        <v>125.96</v>
      </c>
    </row>
    <row r="59" spans="1:37" ht="14.25" x14ac:dyDescent="0.2">
      <c r="A59" s="503"/>
      <c r="B59" s="503"/>
      <c r="C59" s="504"/>
      <c r="D59" s="504" t="s">
        <v>56</v>
      </c>
      <c r="E59" s="505" t="s">
        <v>57</v>
      </c>
      <c r="F59" s="485">
        <f>[90]Source!DN1099</f>
        <v>125</v>
      </c>
      <c r="G59" s="506"/>
      <c r="H59" s="507"/>
      <c r="I59" s="485"/>
      <c r="J59" s="508">
        <f>SUM(Q54:Q58)</f>
        <v>83.33</v>
      </c>
      <c r="K59" s="485">
        <f>[90]Source!BZ1099</f>
        <v>100</v>
      </c>
      <c r="L59" s="508">
        <f>SUM(R54:R58)</f>
        <v>1615.17</v>
      </c>
    </row>
    <row r="60" spans="1:37" ht="14.25" x14ac:dyDescent="0.2">
      <c r="A60" s="503"/>
      <c r="B60" s="503"/>
      <c r="C60" s="504"/>
      <c r="D60" s="504" t="s">
        <v>58</v>
      </c>
      <c r="E60" s="505" t="s">
        <v>57</v>
      </c>
      <c r="F60" s="485">
        <f>[90]Source!DO1099</f>
        <v>94</v>
      </c>
      <c r="G60" s="506"/>
      <c r="H60" s="507"/>
      <c r="I60" s="485"/>
      <c r="J60" s="508">
        <f>SUM(S54:S59)</f>
        <v>62.66</v>
      </c>
      <c r="K60" s="485">
        <f>[90]Source!CA1099</f>
        <v>45</v>
      </c>
      <c r="L60" s="508">
        <f>SUM(T54:T59)</f>
        <v>726.83</v>
      </c>
    </row>
    <row r="61" spans="1:37" ht="14.25" x14ac:dyDescent="0.2">
      <c r="A61" s="503"/>
      <c r="B61" s="503"/>
      <c r="C61" s="504"/>
      <c r="D61" s="504" t="s">
        <v>59</v>
      </c>
      <c r="E61" s="505" t="s">
        <v>57</v>
      </c>
      <c r="F61" s="485">
        <f>175</f>
        <v>175</v>
      </c>
      <c r="G61" s="506"/>
      <c r="H61" s="507"/>
      <c r="I61" s="485"/>
      <c r="J61" s="508">
        <f>SUM(U54:U60)-J67</f>
        <v>0.78</v>
      </c>
      <c r="K61" s="485">
        <f>157</f>
        <v>157</v>
      </c>
      <c r="L61" s="508">
        <f>SUM(V54:V60)-L67</f>
        <v>17.100000000000001</v>
      </c>
    </row>
    <row r="62" spans="1:37" ht="14.25" x14ac:dyDescent="0.2">
      <c r="A62" s="503"/>
      <c r="B62" s="503"/>
      <c r="C62" s="504"/>
      <c r="D62" s="504" t="s">
        <v>60</v>
      </c>
      <c r="E62" s="505" t="s">
        <v>61</v>
      </c>
      <c r="F62" s="485">
        <f>[90]Source!AQ1099</f>
        <v>1.06</v>
      </c>
      <c r="G62" s="506"/>
      <c r="H62" s="507">
        <f>[90]Source!DI1099</f>
        <v>0</v>
      </c>
      <c r="I62" s="485">
        <f>[90]Source!AV1099</f>
        <v>1.0669999999999999</v>
      </c>
      <c r="J62" s="508">
        <f>[90]Source!U1099</f>
        <v>3.39</v>
      </c>
      <c r="K62" s="485"/>
      <c r="L62" s="508"/>
    </row>
    <row r="63" spans="1:37" ht="15" x14ac:dyDescent="0.25">
      <c r="I63" s="745">
        <f>J55+J56+J58+J59+J60+J61</f>
        <v>265.48</v>
      </c>
      <c r="J63" s="745"/>
      <c r="K63" s="745">
        <f>L55+L56+L58+L59+L60+L61</f>
        <v>4123.0200000000004</v>
      </c>
      <c r="L63" s="745"/>
      <c r="O63" s="510">
        <f>J55+J56+J58+J59+J60+J61</f>
        <v>265.48</v>
      </c>
      <c r="P63" s="510">
        <f>L55+L56+L58+L59+L60+L61</f>
        <v>4123.0200000000004</v>
      </c>
      <c r="X63" s="482">
        <f>IF([90]Source!BI1099&lt;=1,J55+J56+J58+J59+J60+J61-0, 0)</f>
        <v>265.48</v>
      </c>
      <c r="Y63" s="482">
        <f>IF([90]Source!BI1099=2,J55+J56+J58+J59+J60+J61-0, 0)</f>
        <v>0</v>
      </c>
      <c r="Z63" s="482">
        <f>IF([90]Source!BI1099=3,J55+J56+J58+J59+J60+J61-0, 0)</f>
        <v>0</v>
      </c>
      <c r="AA63" s="482">
        <f>IF([90]Source!BI1099=4,J55+J56+J58+J59+J60+J61,0)</f>
        <v>0</v>
      </c>
    </row>
    <row r="64" spans="1:37" ht="28.5" x14ac:dyDescent="0.2">
      <c r="A64" s="511"/>
      <c r="B64" s="511"/>
      <c r="C64" s="512"/>
      <c r="D64" s="512" t="s">
        <v>62</v>
      </c>
      <c r="E64" s="505"/>
      <c r="F64" s="513"/>
      <c r="G64" s="514"/>
      <c r="H64" s="505"/>
      <c r="I64" s="513"/>
      <c r="J64" s="509"/>
      <c r="K64" s="513"/>
      <c r="L64" s="509"/>
    </row>
    <row r="65" spans="1:27" ht="14.25" x14ac:dyDescent="0.2">
      <c r="A65" s="511"/>
      <c r="B65" s="511"/>
      <c r="C65" s="512"/>
      <c r="D65" s="512" t="s">
        <v>53</v>
      </c>
      <c r="E65" s="505"/>
      <c r="F65" s="513"/>
      <c r="G65" s="514">
        <f t="shared" ref="G65:L65" si="0">G66</f>
        <v>0.14000000000000001</v>
      </c>
      <c r="H65" s="515" t="str">
        <f t="shared" si="0"/>
        <v>)*(1.67-1)</v>
      </c>
      <c r="I65" s="513">
        <f t="shared" si="0"/>
        <v>1.0669999999999999</v>
      </c>
      <c r="J65" s="509">
        <f t="shared" si="0"/>
        <v>0.3</v>
      </c>
      <c r="K65" s="513">
        <f t="shared" si="0"/>
        <v>24.23</v>
      </c>
      <c r="L65" s="509">
        <f t="shared" si="0"/>
        <v>7.28</v>
      </c>
    </row>
    <row r="66" spans="1:27" ht="14.25" x14ac:dyDescent="0.2">
      <c r="A66" s="511"/>
      <c r="B66" s="511"/>
      <c r="C66" s="512"/>
      <c r="D66" s="512" t="s">
        <v>54</v>
      </c>
      <c r="E66" s="505"/>
      <c r="F66" s="513"/>
      <c r="G66" s="514">
        <f>[90]Source!AN1099</f>
        <v>0.14000000000000001</v>
      </c>
      <c r="H66" s="515" t="s">
        <v>63</v>
      </c>
      <c r="I66" s="513">
        <f>[90]Source!AV1099</f>
        <v>1.0669999999999999</v>
      </c>
      <c r="J66" s="509">
        <f>ROUND(F54*G66*I66*(1.67-1), 2)</f>
        <v>0.3</v>
      </c>
      <c r="K66" s="513">
        <f>IF([90]Source!BS1099&lt;&gt; 0, [90]Source!BS1099, 1)</f>
        <v>24.23</v>
      </c>
      <c r="L66" s="509">
        <f>ROUND(F54*G66*I66*(1.67-1)*K66, 2)</f>
        <v>7.28</v>
      </c>
      <c r="W66" s="482">
        <f>J66</f>
        <v>0.3</v>
      </c>
    </row>
    <row r="67" spans="1:27" ht="14.25" x14ac:dyDescent="0.2">
      <c r="A67" s="511"/>
      <c r="B67" s="511"/>
      <c r="C67" s="512"/>
      <c r="D67" s="512" t="s">
        <v>59</v>
      </c>
      <c r="E67" s="505" t="s">
        <v>57</v>
      </c>
      <c r="F67" s="513">
        <f>175</f>
        <v>175</v>
      </c>
      <c r="G67" s="514"/>
      <c r="H67" s="505"/>
      <c r="I67" s="513"/>
      <c r="J67" s="509">
        <f>ROUND(J66*(F67/100), 2)</f>
        <v>0.53</v>
      </c>
      <c r="K67" s="513">
        <f>157</f>
        <v>157</v>
      </c>
      <c r="L67" s="509">
        <f>ROUND(L66*(K67/100), 2)</f>
        <v>11.43</v>
      </c>
    </row>
    <row r="68" spans="1:27" ht="15" x14ac:dyDescent="0.25">
      <c r="I68" s="745">
        <f>J67+J66</f>
        <v>0.83</v>
      </c>
      <c r="J68" s="745"/>
      <c r="K68" s="745">
        <f>L67+L66</f>
        <v>18.71</v>
      </c>
      <c r="L68" s="745"/>
      <c r="O68" s="510">
        <f>I68</f>
        <v>0.83</v>
      </c>
      <c r="P68" s="510">
        <f>K68</f>
        <v>18.71</v>
      </c>
      <c r="X68" s="482">
        <f>IF([90]Source!BI1099&lt;=1,I68, 0)</f>
        <v>0.83</v>
      </c>
      <c r="Y68" s="482">
        <f>IF([90]Source!BI1099=2,I68, 0)</f>
        <v>0</v>
      </c>
      <c r="Z68" s="482">
        <f>IF([90]Source!BI1099=3,I68, 0)</f>
        <v>0</v>
      </c>
      <c r="AA68" s="482">
        <f>IF([90]Source!BI1099=4,I68, 0)</f>
        <v>0</v>
      </c>
    </row>
    <row r="70" spans="1:27" ht="15" x14ac:dyDescent="0.25">
      <c r="A70" s="516"/>
      <c r="B70" s="516"/>
      <c r="C70" s="517"/>
      <c r="D70" s="517" t="s">
        <v>64</v>
      </c>
      <c r="E70" s="518"/>
      <c r="F70" s="519"/>
      <c r="G70" s="520"/>
      <c r="H70" s="521"/>
      <c r="I70" s="745">
        <f>I63+I68</f>
        <v>266.31</v>
      </c>
      <c r="J70" s="745"/>
      <c r="K70" s="745">
        <f>K63+K68</f>
        <v>4141.7299999999996</v>
      </c>
      <c r="L70" s="745"/>
    </row>
    <row r="71" spans="1:27" ht="69" customHeight="1" x14ac:dyDescent="0.2">
      <c r="A71" s="503">
        <v>2</v>
      </c>
      <c r="B71" s="503" t="str">
        <f>[90]Source!E1105</f>
        <v>135</v>
      </c>
      <c r="C71" s="504" t="s">
        <v>312</v>
      </c>
      <c r="D71" s="504" t="s">
        <v>313</v>
      </c>
      <c r="E71" s="505" t="str">
        <f>[90]Source!H1105</f>
        <v>шт.</v>
      </c>
      <c r="F71" s="485">
        <f>[90]Source!I1105</f>
        <v>3</v>
      </c>
      <c r="G71" s="506">
        <f>[90]Source!AL1105</f>
        <v>258.63</v>
      </c>
      <c r="H71" s="507">
        <f>[90]Source!DD1105</f>
        <v>0</v>
      </c>
      <c r="I71" s="485">
        <f>[90]Source!AW1105</f>
        <v>1</v>
      </c>
      <c r="J71" s="508">
        <f>ROUND((ROUND(([90]Source!AC1105*[90]Source!AW1105*[90]Source!I1105),2)),2)</f>
        <v>775.89</v>
      </c>
      <c r="K71" s="485">
        <f>IF([90]Source!BC1105&lt;&gt; 0, [90]Source!BC1105, 1)</f>
        <v>3.51</v>
      </c>
      <c r="L71" s="508">
        <f>[90]Source!P1105</f>
        <v>2723.37</v>
      </c>
      <c r="Q71" s="482">
        <f>ROUND(([90]Source!DN1105/100)*ROUND((ROUND(([90]Source!AF1105*[90]Source!AV1105*[90]Source!I1105),2)),2), 2)</f>
        <v>0</v>
      </c>
      <c r="R71" s="482">
        <f>[90]Source!X1105</f>
        <v>0</v>
      </c>
      <c r="S71" s="482">
        <f>ROUND(([90]Source!DO1105/100)*ROUND((ROUND(([90]Source!AF1105*[90]Source!AV1105*[90]Source!I1105),2)),2), 2)</f>
        <v>0</v>
      </c>
      <c r="T71" s="482">
        <f>[90]Source!Y1105</f>
        <v>0</v>
      </c>
      <c r="U71" s="482">
        <f>ROUND((175/100)*ROUND((ROUND(([90]Source!AE1105*[90]Source!AV1105*[90]Source!I1105),2)),2), 2)</f>
        <v>0</v>
      </c>
      <c r="V71" s="482">
        <f>ROUND((157/100)*ROUND(ROUND((ROUND(([90]Source!AE1105*[90]Source!AV1105*[90]Source!I1105),2)*[90]Source!BS1105),2), 2), 2)</f>
        <v>0</v>
      </c>
    </row>
    <row r="72" spans="1:27" ht="15" x14ac:dyDescent="0.25">
      <c r="A72" s="522"/>
      <c r="B72" s="522"/>
      <c r="C72" s="522"/>
      <c r="D72" s="522"/>
      <c r="E72" s="522"/>
      <c r="F72" s="522"/>
      <c r="G72" s="522"/>
      <c r="H72" s="522"/>
      <c r="I72" s="745">
        <f>J71</f>
        <v>775.89</v>
      </c>
      <c r="J72" s="745"/>
      <c r="K72" s="745">
        <f>L71</f>
        <v>2723.37</v>
      </c>
      <c r="L72" s="745"/>
      <c r="O72" s="510">
        <f>J71</f>
        <v>775.89</v>
      </c>
      <c r="P72" s="510">
        <f>L71</f>
        <v>2723.37</v>
      </c>
      <c r="X72" s="482">
        <f>IF([90]Source!BI1105&lt;=1,J71-0, 0)</f>
        <v>775.89</v>
      </c>
      <c r="Y72" s="482">
        <f>IF([90]Source!BI1105=2,J71-0, 0)</f>
        <v>0</v>
      </c>
      <c r="Z72" s="482">
        <f>IF([90]Source!BI1105=3,J71-0, 0)</f>
        <v>0</v>
      </c>
      <c r="AA72" s="482">
        <f>IF([90]Source!BI1105=4,J71,0)</f>
        <v>0</v>
      </c>
    </row>
    <row r="73" spans="1:27" ht="116.25" x14ac:dyDescent="0.2">
      <c r="A73" s="503">
        <v>3</v>
      </c>
      <c r="B73" s="503" t="str">
        <f>[90]Source!E1129</f>
        <v>147</v>
      </c>
      <c r="C73" s="504" t="s">
        <v>314</v>
      </c>
      <c r="D73" s="504" t="s">
        <v>315</v>
      </c>
      <c r="E73" s="505" t="str">
        <f>[90]Source!H1129</f>
        <v>1 клапан</v>
      </c>
      <c r="F73" s="485">
        <f>[90]Source!I1129</f>
        <v>5</v>
      </c>
      <c r="G73" s="506"/>
      <c r="H73" s="507"/>
      <c r="I73" s="485"/>
      <c r="J73" s="508"/>
      <c r="K73" s="485"/>
      <c r="L73" s="508"/>
      <c r="Q73" s="482">
        <f>ROUND(([90]Source!DN1129/100)*ROUND((ROUND(([90]Source!AF1129*[90]Source!AV1129*[90]Source!I1129),2)),2), 2)</f>
        <v>552.88</v>
      </c>
      <c r="R73" s="482">
        <f>[90]Source!X1129</f>
        <v>10716.93</v>
      </c>
      <c r="S73" s="482">
        <f>ROUND(([90]Source!DO1129/100)*ROUND((ROUND(([90]Source!AF1129*[90]Source!AV1129*[90]Source!I1129),2)),2), 2)</f>
        <v>415.76</v>
      </c>
      <c r="T73" s="482">
        <f>[90]Source!Y1129</f>
        <v>4822.62</v>
      </c>
      <c r="U73" s="482">
        <f>ROUND((175/100)*ROUND((ROUND(([90]Source!AE1129*[90]Source!AV1129*[90]Source!I1129),2)),2), 2)</f>
        <v>5.72</v>
      </c>
      <c r="V73" s="482">
        <f>ROUND((157/100)*ROUND(ROUND((ROUND(([90]Source!AE1129*[90]Source!AV1129*[90]Source!I1129),2)*[90]Source!BS1129),2), 2), 2)</f>
        <v>124.39</v>
      </c>
    </row>
    <row r="74" spans="1:27" ht="14.25" x14ac:dyDescent="0.2">
      <c r="A74" s="503"/>
      <c r="B74" s="503"/>
      <c r="C74" s="504"/>
      <c r="D74" s="504" t="s">
        <v>52</v>
      </c>
      <c r="E74" s="505"/>
      <c r="F74" s="485"/>
      <c r="G74" s="506">
        <f>[90]Source!AO1129</f>
        <v>47.28</v>
      </c>
      <c r="H74" s="507" t="str">
        <f>[90]Source!DG1129</f>
        <v>)*1,67)*1,05</v>
      </c>
      <c r="I74" s="485">
        <f>[90]Source!AV1129</f>
        <v>1.0669999999999999</v>
      </c>
      <c r="J74" s="508">
        <f>ROUND((ROUND(([90]Source!AF1129*[90]Source!AV1129*[90]Source!I1129),2)),2)</f>
        <v>442.3</v>
      </c>
      <c r="K74" s="485">
        <f>IF([90]Source!BA1129&lt;&gt; 0, [90]Source!BA1129, 1)</f>
        <v>24.23</v>
      </c>
      <c r="L74" s="508">
        <f>[90]Source!S1129</f>
        <v>10716.93</v>
      </c>
      <c r="W74" s="482">
        <f>J74</f>
        <v>442.3</v>
      </c>
    </row>
    <row r="75" spans="1:27" ht="14.25" x14ac:dyDescent="0.2">
      <c r="A75" s="503"/>
      <c r="B75" s="503"/>
      <c r="C75" s="504"/>
      <c r="D75" s="504" t="s">
        <v>53</v>
      </c>
      <c r="E75" s="505"/>
      <c r="F75" s="485"/>
      <c r="G75" s="506">
        <f>[90]Source!AM1129</f>
        <v>1.49</v>
      </c>
      <c r="H75" s="507" t="str">
        <f>[90]Source!DE1129</f>
        <v>)*1,05</v>
      </c>
      <c r="I75" s="485">
        <f>[90]Source!AV1129</f>
        <v>1.0669999999999999</v>
      </c>
      <c r="J75" s="508">
        <f>(ROUND((ROUND(((([90]Source!ET1129*1.05))*[90]Source!AV1129*[90]Source!I1129),2)),2)+ROUND((ROUND((([90]Source!AE1129-(([90]Source!EU1129*1.05)))*[90]Source!AV1129*[90]Source!I1129),2)),2))-J84</f>
        <v>8.35</v>
      </c>
      <c r="K75" s="485">
        <f>IF([90]Source!BB1129&lt;&gt; 0, [90]Source!BB1129, 1)</f>
        <v>9.9499999999999993</v>
      </c>
      <c r="L75" s="508">
        <f>[90]Source!Q1129-L84</f>
        <v>82.99</v>
      </c>
    </row>
    <row r="76" spans="1:27" ht="14.25" x14ac:dyDescent="0.2">
      <c r="A76" s="503"/>
      <c r="B76" s="503"/>
      <c r="C76" s="504"/>
      <c r="D76" s="504" t="s">
        <v>54</v>
      </c>
      <c r="E76" s="505"/>
      <c r="F76" s="485"/>
      <c r="G76" s="506">
        <f>[90]Source!AN1129</f>
        <v>0.35</v>
      </c>
      <c r="H76" s="507" t="str">
        <f>[90]Source!DE1129</f>
        <v>)*1,05</v>
      </c>
      <c r="I76" s="485">
        <f>[90]Source!AV1129</f>
        <v>1.0669999999999999</v>
      </c>
      <c r="J76" s="509">
        <f>ROUND((ROUND(([90]Source!AE1129*[90]Source!AV1129*[90]Source!I1129),2)),2)-J85</f>
        <v>1.96</v>
      </c>
      <c r="K76" s="485">
        <f>IF([90]Source!BS1129&lt;&gt; 0, [90]Source!BS1129, 1)</f>
        <v>24.23</v>
      </c>
      <c r="L76" s="509">
        <f>[90]Source!R1129-L85</f>
        <v>47.4</v>
      </c>
      <c r="W76" s="482">
        <f>J76</f>
        <v>1.96</v>
      </c>
    </row>
    <row r="77" spans="1:27" ht="14.25" x14ac:dyDescent="0.2">
      <c r="A77" s="503"/>
      <c r="B77" s="503"/>
      <c r="C77" s="504"/>
      <c r="D77" s="504" t="s">
        <v>55</v>
      </c>
      <c r="E77" s="505"/>
      <c r="F77" s="485"/>
      <c r="G77" s="506">
        <f>[90]Source!AL1129</f>
        <v>15.67</v>
      </c>
      <c r="H77" s="507">
        <f>[90]Source!DD1129</f>
        <v>0</v>
      </c>
      <c r="I77" s="485">
        <f>[90]Source!AW1129</f>
        <v>1</v>
      </c>
      <c r="J77" s="508">
        <f>ROUND((ROUND(([90]Source!AC1129*[90]Source!AW1129*[90]Source!I1129),2)),2)</f>
        <v>78.349999999999994</v>
      </c>
      <c r="K77" s="485">
        <f>IF([90]Source!BC1129&lt;&gt; 0, [90]Source!BC1129, 1)</f>
        <v>8.25</v>
      </c>
      <c r="L77" s="508">
        <f>[90]Source!P1129</f>
        <v>646.39</v>
      </c>
    </row>
    <row r="78" spans="1:27" ht="14.25" x14ac:dyDescent="0.2">
      <c r="A78" s="503"/>
      <c r="B78" s="503"/>
      <c r="C78" s="504"/>
      <c r="D78" s="504" t="s">
        <v>56</v>
      </c>
      <c r="E78" s="505" t="s">
        <v>57</v>
      </c>
      <c r="F78" s="485">
        <f>[90]Source!DN1129</f>
        <v>125</v>
      </c>
      <c r="G78" s="506"/>
      <c r="H78" s="507"/>
      <c r="I78" s="485"/>
      <c r="J78" s="508">
        <f>SUM(Q73:Q77)</f>
        <v>552.88</v>
      </c>
      <c r="K78" s="485">
        <f>[90]Source!BZ1129</f>
        <v>100</v>
      </c>
      <c r="L78" s="508">
        <f>SUM(R73:R77)</f>
        <v>10716.93</v>
      </c>
    </row>
    <row r="79" spans="1:27" ht="14.25" x14ac:dyDescent="0.2">
      <c r="A79" s="503"/>
      <c r="B79" s="503"/>
      <c r="C79" s="504"/>
      <c r="D79" s="504" t="s">
        <v>58</v>
      </c>
      <c r="E79" s="505" t="s">
        <v>57</v>
      </c>
      <c r="F79" s="485">
        <f>[90]Source!DO1129</f>
        <v>94</v>
      </c>
      <c r="G79" s="506"/>
      <c r="H79" s="507"/>
      <c r="I79" s="485"/>
      <c r="J79" s="508">
        <f>SUM(S73:S78)</f>
        <v>415.76</v>
      </c>
      <c r="K79" s="485">
        <f>[90]Source!CA1129</f>
        <v>45</v>
      </c>
      <c r="L79" s="508">
        <f>SUM(T73:T78)</f>
        <v>4822.62</v>
      </c>
    </row>
    <row r="80" spans="1:27" ht="14.25" x14ac:dyDescent="0.2">
      <c r="A80" s="503"/>
      <c r="B80" s="503"/>
      <c r="C80" s="504"/>
      <c r="D80" s="504" t="s">
        <v>59</v>
      </c>
      <c r="E80" s="505" t="s">
        <v>57</v>
      </c>
      <c r="F80" s="485">
        <f>175</f>
        <v>175</v>
      </c>
      <c r="G80" s="506"/>
      <c r="H80" s="507"/>
      <c r="I80" s="485"/>
      <c r="J80" s="508">
        <f>SUM(U73:U79)-J86</f>
        <v>3.43</v>
      </c>
      <c r="K80" s="485">
        <f>157</f>
        <v>157</v>
      </c>
      <c r="L80" s="508">
        <f>SUM(V73:V79)-L86</f>
        <v>74.42</v>
      </c>
    </row>
    <row r="81" spans="1:27" ht="14.25" x14ac:dyDescent="0.2">
      <c r="A81" s="503"/>
      <c r="B81" s="503"/>
      <c r="C81" s="504"/>
      <c r="D81" s="504" t="s">
        <v>60</v>
      </c>
      <c r="E81" s="505" t="s">
        <v>61</v>
      </c>
      <c r="F81" s="485">
        <f>[90]Source!AQ1129</f>
        <v>4.0199999999999996</v>
      </c>
      <c r="G81" s="506"/>
      <c r="H81" s="507" t="str">
        <f>[90]Source!DI1129</f>
        <v>)*1,05</v>
      </c>
      <c r="I81" s="485">
        <f>[90]Source!AV1129</f>
        <v>1.0669999999999999</v>
      </c>
      <c r="J81" s="508">
        <f>[90]Source!U1129</f>
        <v>22.52</v>
      </c>
      <c r="K81" s="485"/>
      <c r="L81" s="508"/>
    </row>
    <row r="82" spans="1:27" ht="15" x14ac:dyDescent="0.25">
      <c r="I82" s="745">
        <f>J74+J75+J77+J78+J79+J80</f>
        <v>1501.07</v>
      </c>
      <c r="J82" s="745"/>
      <c r="K82" s="745">
        <f>L74+L75+L77+L78+L79+L80</f>
        <v>27060.28</v>
      </c>
      <c r="L82" s="745"/>
      <c r="O82" s="510">
        <f>J74+J75+J77+J78+J79+J80</f>
        <v>1501.07</v>
      </c>
      <c r="P82" s="510">
        <f>L74+L75+L77+L78+L79+L80</f>
        <v>27060.28</v>
      </c>
      <c r="X82" s="482">
        <f>IF([90]Source!BI1129&lt;=1,J74+J75+J77+J78+J79+J80-0, 0)</f>
        <v>1501.07</v>
      </c>
      <c r="Y82" s="482">
        <f>IF([90]Source!BI1129=2,J74+J75+J77+J78+J79+J80-0, 0)</f>
        <v>0</v>
      </c>
      <c r="Z82" s="482">
        <f>IF([90]Source!BI1129=3,J74+J75+J77+J78+J79+J80-0, 0)</f>
        <v>0</v>
      </c>
      <c r="AA82" s="482">
        <f>IF([90]Source!BI1129=4,J74+J75+J77+J78+J79+J80,0)</f>
        <v>0</v>
      </c>
    </row>
    <row r="83" spans="1:27" ht="28.5" x14ac:dyDescent="0.2">
      <c r="A83" s="511"/>
      <c r="B83" s="511"/>
      <c r="C83" s="512"/>
      <c r="D83" s="512" t="s">
        <v>62</v>
      </c>
      <c r="E83" s="505"/>
      <c r="F83" s="513"/>
      <c r="G83" s="514"/>
      <c r="H83" s="505"/>
      <c r="I83" s="513"/>
      <c r="J83" s="509"/>
      <c r="K83" s="513"/>
      <c r="L83" s="509"/>
    </row>
    <row r="84" spans="1:27" ht="14.25" x14ac:dyDescent="0.2">
      <c r="A84" s="511"/>
      <c r="B84" s="511"/>
      <c r="C84" s="512"/>
      <c r="D84" s="512" t="s">
        <v>53</v>
      </c>
      <c r="E84" s="505"/>
      <c r="F84" s="513"/>
      <c r="G84" s="514">
        <f t="shared" ref="G84:L84" si="1">G85</f>
        <v>0.35</v>
      </c>
      <c r="H84" s="515" t="str">
        <f t="shared" si="1"/>
        <v>)*(1.67-1)*1.05</v>
      </c>
      <c r="I84" s="513">
        <f t="shared" si="1"/>
        <v>1.0669999999999999</v>
      </c>
      <c r="J84" s="509">
        <f t="shared" si="1"/>
        <v>1.31</v>
      </c>
      <c r="K84" s="513">
        <f t="shared" si="1"/>
        <v>24.23</v>
      </c>
      <c r="L84" s="509">
        <f t="shared" si="1"/>
        <v>31.83</v>
      </c>
    </row>
    <row r="85" spans="1:27" ht="14.25" x14ac:dyDescent="0.2">
      <c r="A85" s="511"/>
      <c r="B85" s="511"/>
      <c r="C85" s="512"/>
      <c r="D85" s="512" t="s">
        <v>54</v>
      </c>
      <c r="E85" s="505"/>
      <c r="F85" s="513"/>
      <c r="G85" s="514">
        <f>[90]Source!AN1129</f>
        <v>0.35</v>
      </c>
      <c r="H85" s="515" t="s">
        <v>316</v>
      </c>
      <c r="I85" s="513">
        <f>[90]Source!AV1129</f>
        <v>1.0669999999999999</v>
      </c>
      <c r="J85" s="509">
        <f>ROUND(F73*G85*I85*(1.67-1)*1.05, 2)</f>
        <v>1.31</v>
      </c>
      <c r="K85" s="513">
        <f>IF([90]Source!BS1129&lt;&gt; 0, [90]Source!BS1129, 1)</f>
        <v>24.23</v>
      </c>
      <c r="L85" s="509">
        <f>ROUND(F73*G85*I85*(1.67-1)*1.05*K85, 2)</f>
        <v>31.83</v>
      </c>
      <c r="W85" s="482">
        <f>J85</f>
        <v>1.31</v>
      </c>
    </row>
    <row r="86" spans="1:27" ht="14.25" x14ac:dyDescent="0.2">
      <c r="A86" s="511"/>
      <c r="B86" s="511"/>
      <c r="C86" s="512"/>
      <c r="D86" s="512" t="s">
        <v>59</v>
      </c>
      <c r="E86" s="505" t="s">
        <v>57</v>
      </c>
      <c r="F86" s="513">
        <f>175</f>
        <v>175</v>
      </c>
      <c r="G86" s="514"/>
      <c r="H86" s="505"/>
      <c r="I86" s="513"/>
      <c r="J86" s="509">
        <f>ROUND(J85*(F86/100), 2)</f>
        <v>2.29</v>
      </c>
      <c r="K86" s="513">
        <f>157</f>
        <v>157</v>
      </c>
      <c r="L86" s="509">
        <f>ROUND(L85*(K86/100), 2)</f>
        <v>49.97</v>
      </c>
    </row>
    <row r="87" spans="1:27" ht="15" x14ac:dyDescent="0.25">
      <c r="I87" s="745">
        <f>J86+J85</f>
        <v>3.6</v>
      </c>
      <c r="J87" s="745"/>
      <c r="K87" s="745">
        <f>L86+L85</f>
        <v>81.8</v>
      </c>
      <c r="L87" s="745"/>
      <c r="O87" s="510">
        <f>I87</f>
        <v>3.6</v>
      </c>
      <c r="P87" s="510">
        <f>K87</f>
        <v>81.8</v>
      </c>
      <c r="X87" s="482">
        <f>IF([90]Source!BI1129&lt;=1,I87, 0)</f>
        <v>3.6</v>
      </c>
      <c r="Y87" s="482">
        <f>IF([90]Source!BI1129=2,I87, 0)</f>
        <v>0</v>
      </c>
      <c r="Z87" s="482">
        <f>IF([90]Source!BI1129=3,I87, 0)</f>
        <v>0</v>
      </c>
      <c r="AA87" s="482">
        <f>IF([90]Source!BI1129=4,I87, 0)</f>
        <v>0</v>
      </c>
    </row>
    <row r="89" spans="1:27" ht="15" x14ac:dyDescent="0.25">
      <c r="A89" s="516"/>
      <c r="B89" s="516"/>
      <c r="C89" s="517"/>
      <c r="D89" s="517" t="s">
        <v>64</v>
      </c>
      <c r="E89" s="518"/>
      <c r="F89" s="519"/>
      <c r="G89" s="520"/>
      <c r="H89" s="521"/>
      <c r="I89" s="745">
        <f>I82+I87</f>
        <v>1504.67</v>
      </c>
      <c r="J89" s="745"/>
      <c r="K89" s="745">
        <f>K82+K87</f>
        <v>27142.080000000002</v>
      </c>
      <c r="L89" s="745"/>
    </row>
    <row r="90" spans="1:27" ht="142.5" x14ac:dyDescent="0.2">
      <c r="A90" s="503">
        <v>4</v>
      </c>
      <c r="B90" s="503" t="str">
        <f>[90]Source!E1133</f>
        <v>149</v>
      </c>
      <c r="C90" s="504" t="str">
        <f>[90]Source!F1133</f>
        <v>МКЭ-33-1005/8-1  26.07.2018</v>
      </c>
      <c r="D90" s="504" t="s">
        <v>317</v>
      </c>
      <c r="E90" s="505" t="str">
        <f>[90]Source!H1133</f>
        <v>шт.</v>
      </c>
      <c r="F90" s="485">
        <f>[90]Source!I1133</f>
        <v>3</v>
      </c>
      <c r="G90" s="506">
        <f>[90]Source!AL1133</f>
        <v>2539.27</v>
      </c>
      <c r="H90" s="507">
        <f>[90]Source!DD1133</f>
        <v>0</v>
      </c>
      <c r="I90" s="485">
        <f>[90]Source!AW1133</f>
        <v>1</v>
      </c>
      <c r="J90" s="508">
        <v>7617.82</v>
      </c>
      <c r="K90" s="485">
        <f>IF([90]Source!BC1133&lt;&gt; 0, [90]Source!BC1133, 1)</f>
        <v>5.58</v>
      </c>
      <c r="L90" s="508">
        <v>42507.44</v>
      </c>
      <c r="Q90" s="482">
        <f>ROUND(([90]Source!DN1133/100)*ROUND((ROUND(([90]Source!AF1133*[90]Source!AV1133*[90]Source!I1133),2)),2), 2)</f>
        <v>0</v>
      </c>
      <c r="R90" s="482">
        <f>[90]Source!X1133</f>
        <v>0</v>
      </c>
      <c r="S90" s="482">
        <f>ROUND(([90]Source!DO1133/100)*ROUND((ROUND(([90]Source!AF1133*[90]Source!AV1133*[90]Source!I1133),2)),2), 2)</f>
        <v>0</v>
      </c>
      <c r="T90" s="482">
        <f>[90]Source!Y1133</f>
        <v>0</v>
      </c>
      <c r="U90" s="482">
        <f>ROUND((175/100)*ROUND((ROUND(([90]Source!AE1133*[90]Source!AV1133*[90]Source!I1133),2)),2), 2)</f>
        <v>0</v>
      </c>
      <c r="V90" s="482">
        <f>ROUND((157/100)*ROUND(ROUND((ROUND(([90]Source!AE1133*[90]Source!AV1133*[90]Source!I1133),2)*[90]Source!BS1133),2), 2), 2)</f>
        <v>0</v>
      </c>
    </row>
    <row r="91" spans="1:27" ht="15" x14ac:dyDescent="0.25">
      <c r="A91" s="522"/>
      <c r="B91" s="522"/>
      <c r="C91" s="522"/>
      <c r="D91" s="522"/>
      <c r="E91" s="522"/>
      <c r="F91" s="522"/>
      <c r="G91" s="522"/>
      <c r="H91" s="522"/>
      <c r="I91" s="745">
        <f>J90</f>
        <v>7617.82</v>
      </c>
      <c r="J91" s="745"/>
      <c r="K91" s="745">
        <f>L90</f>
        <v>42507.44</v>
      </c>
      <c r="L91" s="745"/>
      <c r="O91" s="510">
        <f>J90</f>
        <v>7617.82</v>
      </c>
      <c r="P91" s="510">
        <f>L90</f>
        <v>42507.44</v>
      </c>
      <c r="X91" s="482">
        <f>IF([90]Source!BI1133&lt;=1,J90-0, 0)</f>
        <v>7617.82</v>
      </c>
      <c r="Y91" s="482">
        <f>IF([90]Source!BI1133=2,J90-0, 0)</f>
        <v>0</v>
      </c>
      <c r="Z91" s="482">
        <f>IF([90]Source!BI1133=3,J90-0, 0)</f>
        <v>0</v>
      </c>
      <c r="AA91" s="482">
        <f>IF([90]Source!BI1133=4,J90,0)</f>
        <v>0</v>
      </c>
    </row>
    <row r="92" spans="1:27" ht="242.25" x14ac:dyDescent="0.2">
      <c r="A92" s="503">
        <v>5</v>
      </c>
      <c r="B92" s="503" t="str">
        <f>[90]Source!E1141</f>
        <v>153</v>
      </c>
      <c r="C92" s="504" t="str">
        <f>[90]Source!F1141</f>
        <v>МКЭ-33-1714/7-1  14.09.2017</v>
      </c>
      <c r="D92" s="504" t="s">
        <v>419</v>
      </c>
      <c r="E92" s="505" t="str">
        <f>[90]Source!H1141</f>
        <v>шт.</v>
      </c>
      <c r="F92" s="485">
        <f>[90]Source!I1141</f>
        <v>1</v>
      </c>
      <c r="G92" s="506">
        <f>[90]Source!AL1141</f>
        <v>2625.25</v>
      </c>
      <c r="H92" s="507">
        <f>[90]Source!DD1141</f>
        <v>0</v>
      </c>
      <c r="I92" s="485">
        <f>[90]Source!AW1141</f>
        <v>1</v>
      </c>
      <c r="J92" s="508">
        <f>ROUND((ROUND(([90]Source!AC1141*[90]Source!AW1141*[90]Source!I1141),2)),2)</f>
        <v>2625.25</v>
      </c>
      <c r="K92" s="485">
        <f>IF([90]Source!BC1141&lt;&gt; 0, [90]Source!BC1141, 1)</f>
        <v>5.58</v>
      </c>
      <c r="L92" s="508">
        <v>14648.87</v>
      </c>
      <c r="Q92" s="482">
        <f>ROUND(([90]Source!DN1141/100)*ROUND((ROUND(([90]Source!AF1141*[90]Source!AV1141*[90]Source!I1141),2)),2), 2)</f>
        <v>0</v>
      </c>
      <c r="R92" s="482">
        <f>[90]Source!X1141</f>
        <v>0</v>
      </c>
      <c r="S92" s="482">
        <f>ROUND(([90]Source!DO1141/100)*ROUND((ROUND(([90]Source!AF1141*[90]Source!AV1141*[90]Source!I1141),2)),2), 2)</f>
        <v>0</v>
      </c>
      <c r="T92" s="482">
        <f>[90]Source!Y1141</f>
        <v>0</v>
      </c>
      <c r="U92" s="482">
        <f>ROUND((175/100)*ROUND((ROUND(([90]Source!AE1141*[90]Source!AV1141*[90]Source!I1141),2)),2), 2)</f>
        <v>0</v>
      </c>
      <c r="V92" s="482">
        <f>ROUND((157/100)*ROUND(ROUND((ROUND(([90]Source!AE1141*[90]Source!AV1141*[90]Source!I1141),2)*[90]Source!BS1141),2), 2), 2)</f>
        <v>0</v>
      </c>
    </row>
    <row r="93" spans="1:27" ht="15" x14ac:dyDescent="0.25">
      <c r="A93" s="522"/>
      <c r="B93" s="522"/>
      <c r="C93" s="522"/>
      <c r="D93" s="522"/>
      <c r="E93" s="522"/>
      <c r="F93" s="522"/>
      <c r="G93" s="522"/>
      <c r="H93" s="522"/>
      <c r="I93" s="745">
        <f>J92</f>
        <v>2625.25</v>
      </c>
      <c r="J93" s="745"/>
      <c r="K93" s="745">
        <f>L92</f>
        <v>14648.87</v>
      </c>
      <c r="L93" s="745"/>
      <c r="O93" s="510">
        <f>J92</f>
        <v>2625.25</v>
      </c>
      <c r="P93" s="510">
        <f>L92</f>
        <v>14648.87</v>
      </c>
      <c r="X93" s="482">
        <f>IF([90]Source!BI1141&lt;=1,J92-0, 0)</f>
        <v>2625.25</v>
      </c>
      <c r="Y93" s="482">
        <f>IF([90]Source!BI1141=2,J92-0, 0)</f>
        <v>0</v>
      </c>
      <c r="Z93" s="482">
        <f>IF([90]Source!BI1141=3,J92-0, 0)</f>
        <v>0</v>
      </c>
      <c r="AA93" s="482">
        <f>IF([90]Source!BI1141=4,J92,0)</f>
        <v>0</v>
      </c>
    </row>
    <row r="94" spans="1:27" ht="182.25" x14ac:dyDescent="0.2">
      <c r="A94" s="503">
        <v>6</v>
      </c>
      <c r="B94" s="503" t="str">
        <f>[90]Source!E1145</f>
        <v>155</v>
      </c>
      <c r="C94" s="504" t="str">
        <f>[90]Source!F1145</f>
        <v>МКЭ-33-1005/8-1 от 26.07.2018г.</v>
      </c>
      <c r="D94" s="504" t="s">
        <v>318</v>
      </c>
      <c r="E94" s="505" t="str">
        <f>[90]Source!H1145</f>
        <v>шт.</v>
      </c>
      <c r="F94" s="485">
        <f>[90]Source!I1145</f>
        <v>1</v>
      </c>
      <c r="G94" s="506">
        <f>[90]Source!AL1145</f>
        <v>2696.12</v>
      </c>
      <c r="H94" s="507">
        <f>[90]Source!DD1145</f>
        <v>0</v>
      </c>
      <c r="I94" s="485">
        <f>[90]Source!AW1145</f>
        <v>1</v>
      </c>
      <c r="J94" s="508">
        <v>2696.11</v>
      </c>
      <c r="K94" s="485">
        <v>5.58</v>
      </c>
      <c r="L94" s="508">
        <v>15044.32</v>
      </c>
      <c r="Q94" s="482">
        <f>ROUND(([90]Source!DN1145/100)*ROUND((ROUND(([90]Source!AF1145*[90]Source!AV1145*[90]Source!I1145),2)),2), 2)</f>
        <v>0</v>
      </c>
      <c r="R94" s="482">
        <f>[90]Source!X1145</f>
        <v>0</v>
      </c>
      <c r="S94" s="482">
        <f>ROUND(([90]Source!DO1145/100)*ROUND((ROUND(([90]Source!AF1145*[90]Source!AV1145*[90]Source!I1145),2)),2), 2)</f>
        <v>0</v>
      </c>
      <c r="T94" s="482">
        <f>[90]Source!Y1145</f>
        <v>0</v>
      </c>
      <c r="U94" s="482">
        <f>ROUND((175/100)*ROUND((ROUND(([90]Source!AE1145*[90]Source!AV1145*[90]Source!I1145),2)),2), 2)</f>
        <v>0</v>
      </c>
      <c r="V94" s="482">
        <f>ROUND((157/100)*ROUND(ROUND((ROUND(([90]Source!AE1145*[90]Source!AV1145*[90]Source!I1145),2)*[90]Source!BS1145),2), 2), 2)</f>
        <v>0</v>
      </c>
    </row>
    <row r="95" spans="1:27" ht="15" x14ac:dyDescent="0.25">
      <c r="A95" s="522"/>
      <c r="B95" s="522"/>
      <c r="C95" s="522"/>
      <c r="D95" s="522"/>
      <c r="E95" s="522"/>
      <c r="F95" s="522"/>
      <c r="G95" s="522"/>
      <c r="H95" s="522"/>
      <c r="I95" s="745">
        <f>J94</f>
        <v>2696.11</v>
      </c>
      <c r="J95" s="745"/>
      <c r="K95" s="745">
        <f>L94</f>
        <v>15044.32</v>
      </c>
      <c r="L95" s="745"/>
      <c r="O95" s="510">
        <f>J94</f>
        <v>2696.11</v>
      </c>
      <c r="P95" s="510">
        <f>L94</f>
        <v>15044.32</v>
      </c>
      <c r="X95" s="482">
        <f>IF([90]Source!BI1145&lt;=1,J94-0, 0)</f>
        <v>2696.11</v>
      </c>
      <c r="Y95" s="482">
        <f>IF([90]Source!BI1145=2,J94-0, 0)</f>
        <v>0</v>
      </c>
      <c r="Z95" s="482">
        <f>IF([90]Source!BI1145=3,J94-0, 0)</f>
        <v>0</v>
      </c>
      <c r="AA95" s="482">
        <f>IF([90]Source!BI1145=4,J94,0)</f>
        <v>0</v>
      </c>
    </row>
    <row r="96" spans="1:27" ht="116.25" x14ac:dyDescent="0.2">
      <c r="A96" s="503">
        <v>7</v>
      </c>
      <c r="B96" s="503" t="str">
        <f>[90]Source!E1153</f>
        <v>159</v>
      </c>
      <c r="C96" s="504" t="s">
        <v>319</v>
      </c>
      <c r="D96" s="504" t="s">
        <v>320</v>
      </c>
      <c r="E96" s="505" t="str">
        <f>[90]Source!H1153</f>
        <v>1 клапан</v>
      </c>
      <c r="F96" s="485">
        <f>[90]Source!I1153</f>
        <v>4</v>
      </c>
      <c r="G96" s="506"/>
      <c r="H96" s="507"/>
      <c r="I96" s="485"/>
      <c r="J96" s="508"/>
      <c r="K96" s="485"/>
      <c r="L96" s="508"/>
      <c r="Q96" s="482">
        <f>ROUND(([90]Source!DN1153/100)*ROUND((ROUND(([90]Source!AF1153*[90]Source!AV1153*[90]Source!I1153),2)),2), 2)</f>
        <v>593.01</v>
      </c>
      <c r="R96" s="482">
        <f>[90]Source!X1153</f>
        <v>11494.95</v>
      </c>
      <c r="S96" s="482">
        <f>ROUND(([90]Source!DO1153/100)*ROUND((ROUND(([90]Source!AF1153*[90]Source!AV1153*[90]Source!I1153),2)),2), 2)</f>
        <v>445.95</v>
      </c>
      <c r="T96" s="482">
        <f>[90]Source!Y1153</f>
        <v>5172.7299999999996</v>
      </c>
      <c r="U96" s="482">
        <f>ROUND((175/100)*ROUND((ROUND(([90]Source!AE1153*[90]Source!AV1153*[90]Source!I1153),2)),2), 2)</f>
        <v>23.05</v>
      </c>
      <c r="V96" s="482">
        <f>ROUND((157/100)*ROUND(ROUND((ROUND(([90]Source!AE1153*[90]Source!AV1153*[90]Source!I1153),2)*[90]Source!BS1153),2), 2), 2)</f>
        <v>501</v>
      </c>
    </row>
    <row r="97" spans="1:27" ht="14.25" x14ac:dyDescent="0.2">
      <c r="A97" s="503"/>
      <c r="B97" s="503"/>
      <c r="C97" s="504"/>
      <c r="D97" s="504" t="s">
        <v>52</v>
      </c>
      <c r="E97" s="505"/>
      <c r="F97" s="485"/>
      <c r="G97" s="506">
        <f>[90]Source!AO1153</f>
        <v>63.39</v>
      </c>
      <c r="H97" s="507" t="str">
        <f>[90]Source!DG1153</f>
        <v>)*1,67)*1,05</v>
      </c>
      <c r="I97" s="485">
        <f>[90]Source!AV1153</f>
        <v>1.0669999999999999</v>
      </c>
      <c r="J97" s="508">
        <f>ROUND((ROUND(([90]Source!AF1153*[90]Source!AV1153*[90]Source!I1153),2)),2)</f>
        <v>474.41</v>
      </c>
      <c r="K97" s="485">
        <f>IF([90]Source!BA1153&lt;&gt; 0, [90]Source!BA1153, 1)</f>
        <v>24.23</v>
      </c>
      <c r="L97" s="508">
        <f>[90]Source!S1153</f>
        <v>11494.95</v>
      </c>
      <c r="W97" s="482">
        <f>J97</f>
        <v>474.41</v>
      </c>
    </row>
    <row r="98" spans="1:27" ht="14.25" x14ac:dyDescent="0.2">
      <c r="A98" s="503"/>
      <c r="B98" s="503"/>
      <c r="C98" s="504"/>
      <c r="D98" s="504" t="s">
        <v>53</v>
      </c>
      <c r="E98" s="505"/>
      <c r="F98" s="485"/>
      <c r="G98" s="506">
        <f>[90]Source!AM1153</f>
        <v>7.44</v>
      </c>
      <c r="H98" s="507" t="str">
        <f>[90]Source!DE1153</f>
        <v>)*1,05</v>
      </c>
      <c r="I98" s="485">
        <f>[90]Source!AV1153</f>
        <v>1.0669999999999999</v>
      </c>
      <c r="J98" s="508">
        <f>(ROUND((ROUND(((([90]Source!ET1153*1.05))*[90]Source!AV1153*[90]Source!I1153),2)),2)+ROUND((ROUND((([90]Source!AE1153-(([90]Source!EU1153*1.05)))*[90]Source!AV1153*[90]Source!I1153),2)),2))-J107</f>
        <v>33.340000000000003</v>
      </c>
      <c r="K98" s="485">
        <f>IF([90]Source!BB1153&lt;&gt; 0, [90]Source!BB1153, 1)</f>
        <v>9.98</v>
      </c>
      <c r="L98" s="508">
        <f>[90]Source!Q1153-L107</f>
        <v>332.62</v>
      </c>
    </row>
    <row r="99" spans="1:27" ht="14.25" x14ac:dyDescent="0.2">
      <c r="A99" s="503"/>
      <c r="B99" s="503"/>
      <c r="C99" s="504"/>
      <c r="D99" s="504" t="s">
        <v>54</v>
      </c>
      <c r="E99" s="505"/>
      <c r="F99" s="485"/>
      <c r="G99" s="506">
        <f>[90]Source!AN1153</f>
        <v>1.76</v>
      </c>
      <c r="H99" s="507" t="str">
        <f>[90]Source!DE1153</f>
        <v>)*1,05</v>
      </c>
      <c r="I99" s="485">
        <f>[90]Source!AV1153</f>
        <v>1.0669999999999999</v>
      </c>
      <c r="J99" s="509">
        <f>ROUND((ROUND(([90]Source!AE1153*[90]Source!AV1153*[90]Source!I1153),2)),2)-J108</f>
        <v>7.89</v>
      </c>
      <c r="K99" s="485">
        <f>IF([90]Source!BS1153&lt;&gt; 0, [90]Source!BS1153, 1)</f>
        <v>24.23</v>
      </c>
      <c r="L99" s="509">
        <f>[90]Source!R1153-L108</f>
        <v>191.07</v>
      </c>
      <c r="W99" s="482">
        <f>J99</f>
        <v>7.89</v>
      </c>
    </row>
    <row r="100" spans="1:27" ht="14.25" x14ac:dyDescent="0.2">
      <c r="A100" s="503"/>
      <c r="B100" s="503"/>
      <c r="C100" s="504"/>
      <c r="D100" s="504" t="s">
        <v>55</v>
      </c>
      <c r="E100" s="505"/>
      <c r="F100" s="485"/>
      <c r="G100" s="506">
        <f>[90]Source!AL1153</f>
        <v>24.35</v>
      </c>
      <c r="H100" s="507">
        <f>[90]Source!DD1153</f>
        <v>0</v>
      </c>
      <c r="I100" s="485">
        <f>[90]Source!AW1153</f>
        <v>1</v>
      </c>
      <c r="J100" s="508">
        <f>ROUND((ROUND(([90]Source!AC1153*[90]Source!AW1153*[90]Source!I1153),2)),2)</f>
        <v>97.4</v>
      </c>
      <c r="K100" s="485">
        <f>IF([90]Source!BC1153&lt;&gt; 0, [90]Source!BC1153, 1)</f>
        <v>7.3</v>
      </c>
      <c r="L100" s="508">
        <f>[90]Source!P1153</f>
        <v>711.02</v>
      </c>
    </row>
    <row r="101" spans="1:27" ht="14.25" x14ac:dyDescent="0.2">
      <c r="A101" s="503"/>
      <c r="B101" s="503"/>
      <c r="C101" s="504"/>
      <c r="D101" s="504" t="s">
        <v>56</v>
      </c>
      <c r="E101" s="505" t="s">
        <v>57</v>
      </c>
      <c r="F101" s="485">
        <f>[90]Source!DN1153</f>
        <v>125</v>
      </c>
      <c r="G101" s="506"/>
      <c r="H101" s="507"/>
      <c r="I101" s="485"/>
      <c r="J101" s="508">
        <f>SUM(Q96:Q100)</f>
        <v>593.01</v>
      </c>
      <c r="K101" s="485">
        <f>[90]Source!BZ1153</f>
        <v>100</v>
      </c>
      <c r="L101" s="508">
        <f>SUM(R96:R100)</f>
        <v>11494.95</v>
      </c>
    </row>
    <row r="102" spans="1:27" ht="14.25" x14ac:dyDescent="0.2">
      <c r="A102" s="503"/>
      <c r="B102" s="503"/>
      <c r="C102" s="504"/>
      <c r="D102" s="504" t="s">
        <v>58</v>
      </c>
      <c r="E102" s="505" t="s">
        <v>57</v>
      </c>
      <c r="F102" s="485">
        <f>[90]Source!DO1153</f>
        <v>94</v>
      </c>
      <c r="G102" s="506"/>
      <c r="H102" s="507"/>
      <c r="I102" s="485"/>
      <c r="J102" s="508">
        <f>SUM(S96:S101)</f>
        <v>445.95</v>
      </c>
      <c r="K102" s="485">
        <f>[90]Source!CA1153</f>
        <v>45</v>
      </c>
      <c r="L102" s="508">
        <f>SUM(T96:T101)</f>
        <v>5172.7299999999996</v>
      </c>
    </row>
    <row r="103" spans="1:27" ht="14.25" x14ac:dyDescent="0.2">
      <c r="A103" s="503"/>
      <c r="B103" s="503"/>
      <c r="C103" s="504"/>
      <c r="D103" s="504" t="s">
        <v>59</v>
      </c>
      <c r="E103" s="505" t="s">
        <v>57</v>
      </c>
      <c r="F103" s="485">
        <f>175</f>
        <v>175</v>
      </c>
      <c r="G103" s="506"/>
      <c r="H103" s="507"/>
      <c r="I103" s="485"/>
      <c r="J103" s="508">
        <f>SUM(U96:U102)-J109</f>
        <v>13.81</v>
      </c>
      <c r="K103" s="485">
        <f>157</f>
        <v>157</v>
      </c>
      <c r="L103" s="508">
        <f>SUM(V96:V102)-L109</f>
        <v>299.98</v>
      </c>
    </row>
    <row r="104" spans="1:27" ht="14.25" x14ac:dyDescent="0.2">
      <c r="A104" s="503"/>
      <c r="B104" s="503"/>
      <c r="C104" s="504"/>
      <c r="D104" s="504" t="s">
        <v>60</v>
      </c>
      <c r="E104" s="505" t="s">
        <v>61</v>
      </c>
      <c r="F104" s="485">
        <f>[90]Source!AQ1153</f>
        <v>5.46</v>
      </c>
      <c r="G104" s="506"/>
      <c r="H104" s="507" t="str">
        <f>[90]Source!DI1153</f>
        <v>)*1,05</v>
      </c>
      <c r="I104" s="485">
        <f>[90]Source!AV1153</f>
        <v>1.0669999999999999</v>
      </c>
      <c r="J104" s="508">
        <f>[90]Source!U1153</f>
        <v>24.47</v>
      </c>
      <c r="K104" s="485"/>
      <c r="L104" s="508"/>
    </row>
    <row r="105" spans="1:27" ht="15" x14ac:dyDescent="0.25">
      <c r="I105" s="745">
        <f>J97+J98+J100+J101+J102+J103</f>
        <v>1657.92</v>
      </c>
      <c r="J105" s="745"/>
      <c r="K105" s="745">
        <f>L97+L98+L100+L101+L102+L103</f>
        <v>29506.25</v>
      </c>
      <c r="L105" s="745"/>
      <c r="O105" s="510">
        <f>J97+J98+J100+J101+J102+J103</f>
        <v>1657.92</v>
      </c>
      <c r="P105" s="510">
        <f>L97+L98+L100+L101+L102+L103</f>
        <v>29506.25</v>
      </c>
      <c r="X105" s="482">
        <f>IF([90]Source!BI1153&lt;=1,J97+J98+J100+J101+J102+J103-0, 0)</f>
        <v>1657.92</v>
      </c>
      <c r="Y105" s="482">
        <f>IF([90]Source!BI1153=2,J97+J98+J100+J101+J102+J103-0, 0)</f>
        <v>0</v>
      </c>
      <c r="Z105" s="482">
        <f>IF([90]Source!BI1153=3,J97+J98+J100+J101+J102+J103-0, 0)</f>
        <v>0</v>
      </c>
      <c r="AA105" s="482">
        <f>IF([90]Source!BI1153=4,J97+J98+J100+J101+J102+J103,0)</f>
        <v>0</v>
      </c>
    </row>
    <row r="106" spans="1:27" ht="28.5" x14ac:dyDescent="0.2">
      <c r="A106" s="511"/>
      <c r="B106" s="511"/>
      <c r="C106" s="512"/>
      <c r="D106" s="512" t="s">
        <v>62</v>
      </c>
      <c r="E106" s="505"/>
      <c r="F106" s="513"/>
      <c r="G106" s="514"/>
      <c r="H106" s="505"/>
      <c r="I106" s="513"/>
      <c r="J106" s="509"/>
      <c r="K106" s="513"/>
      <c r="L106" s="509"/>
    </row>
    <row r="107" spans="1:27" ht="14.25" x14ac:dyDescent="0.2">
      <c r="A107" s="511"/>
      <c r="B107" s="511"/>
      <c r="C107" s="512"/>
      <c r="D107" s="512" t="s">
        <v>53</v>
      </c>
      <c r="E107" s="505"/>
      <c r="F107" s="513"/>
      <c r="G107" s="514">
        <f t="shared" ref="G107:L107" si="2">G108</f>
        <v>1.76</v>
      </c>
      <c r="H107" s="515" t="str">
        <f t="shared" si="2"/>
        <v>)*(1.67-1)*1.05</v>
      </c>
      <c r="I107" s="513">
        <f t="shared" si="2"/>
        <v>1.0669999999999999</v>
      </c>
      <c r="J107" s="509">
        <f t="shared" si="2"/>
        <v>5.28</v>
      </c>
      <c r="K107" s="513">
        <f t="shared" si="2"/>
        <v>24.23</v>
      </c>
      <c r="L107" s="509">
        <f t="shared" si="2"/>
        <v>128.04</v>
      </c>
    </row>
    <row r="108" spans="1:27" ht="14.25" x14ac:dyDescent="0.2">
      <c r="A108" s="511"/>
      <c r="B108" s="511"/>
      <c r="C108" s="512"/>
      <c r="D108" s="512" t="s">
        <v>54</v>
      </c>
      <c r="E108" s="505"/>
      <c r="F108" s="513"/>
      <c r="G108" s="514">
        <f>[90]Source!AN1153</f>
        <v>1.76</v>
      </c>
      <c r="H108" s="515" t="s">
        <v>316</v>
      </c>
      <c r="I108" s="513">
        <f>[90]Source!AV1153</f>
        <v>1.0669999999999999</v>
      </c>
      <c r="J108" s="509">
        <f>ROUND(F96*G108*I108*(1.67-1)*1.05, 2)</f>
        <v>5.28</v>
      </c>
      <c r="K108" s="513">
        <f>IF([90]Source!BS1153&lt;&gt; 0, [90]Source!BS1153, 1)</f>
        <v>24.23</v>
      </c>
      <c r="L108" s="509">
        <f>ROUND(F96*G108*I108*(1.67-1)*1.05*K108, 2)</f>
        <v>128.04</v>
      </c>
      <c r="W108" s="482">
        <f>J108</f>
        <v>5.28</v>
      </c>
    </row>
    <row r="109" spans="1:27" ht="14.25" x14ac:dyDescent="0.2">
      <c r="A109" s="511"/>
      <c r="B109" s="511"/>
      <c r="C109" s="512"/>
      <c r="D109" s="512" t="s">
        <v>59</v>
      </c>
      <c r="E109" s="505" t="s">
        <v>57</v>
      </c>
      <c r="F109" s="513">
        <f>175</f>
        <v>175</v>
      </c>
      <c r="G109" s="514"/>
      <c r="H109" s="505"/>
      <c r="I109" s="513"/>
      <c r="J109" s="509">
        <f>ROUND(J108*(F109/100), 2)</f>
        <v>9.24</v>
      </c>
      <c r="K109" s="513">
        <f>157</f>
        <v>157</v>
      </c>
      <c r="L109" s="509">
        <f>ROUND(L108*(K109/100), 2)</f>
        <v>201.02</v>
      </c>
    </row>
    <row r="110" spans="1:27" ht="15" x14ac:dyDescent="0.25">
      <c r="I110" s="745">
        <f>J109+J108</f>
        <v>14.52</v>
      </c>
      <c r="J110" s="745"/>
      <c r="K110" s="745">
        <f>L109+L108</f>
        <v>329.06</v>
      </c>
      <c r="L110" s="745"/>
      <c r="O110" s="510">
        <f>I110</f>
        <v>14.52</v>
      </c>
      <c r="P110" s="510">
        <f>K110</f>
        <v>329.06</v>
      </c>
      <c r="X110" s="482">
        <f>IF([90]Source!BI1153&lt;=1,I110, 0)</f>
        <v>14.52</v>
      </c>
      <c r="Y110" s="482">
        <f>IF([90]Source!BI1153=2,I110, 0)</f>
        <v>0</v>
      </c>
      <c r="Z110" s="482">
        <f>IF([90]Source!BI1153=3,I110, 0)</f>
        <v>0</v>
      </c>
      <c r="AA110" s="482">
        <f>IF([90]Source!BI1153=4,I110, 0)</f>
        <v>0</v>
      </c>
    </row>
    <row r="112" spans="1:27" ht="15" x14ac:dyDescent="0.25">
      <c r="A112" s="516"/>
      <c r="B112" s="516"/>
      <c r="C112" s="517"/>
      <c r="D112" s="517" t="s">
        <v>64</v>
      </c>
      <c r="E112" s="518"/>
      <c r="F112" s="519"/>
      <c r="G112" s="520"/>
      <c r="H112" s="521"/>
      <c r="I112" s="745">
        <f>I105+I110</f>
        <v>1672.44</v>
      </c>
      <c r="J112" s="745"/>
      <c r="K112" s="745">
        <f>K105+K110</f>
        <v>29835.31</v>
      </c>
      <c r="L112" s="745"/>
    </row>
    <row r="113" spans="1:27" ht="225" x14ac:dyDescent="0.2">
      <c r="A113" s="503">
        <v>8</v>
      </c>
      <c r="B113" s="503" t="str">
        <f>[90]Source!E1157</f>
        <v>161</v>
      </c>
      <c r="C113" s="504" t="str">
        <f>[90]Source!F1157</f>
        <v>МКЭ-33-442/7-1  29.03.2017</v>
      </c>
      <c r="D113" s="504" t="s">
        <v>321</v>
      </c>
      <c r="E113" s="505" t="str">
        <f>[90]Source!H1157</f>
        <v>шт.</v>
      </c>
      <c r="F113" s="485">
        <f>[90]Source!I1157</f>
        <v>4</v>
      </c>
      <c r="G113" s="506">
        <f>[90]Source!AL1157</f>
        <v>2754.2</v>
      </c>
      <c r="H113" s="507">
        <f>[90]Source!DD1157</f>
        <v>0</v>
      </c>
      <c r="I113" s="485">
        <f>[90]Source!AW1157</f>
        <v>1</v>
      </c>
      <c r="J113" s="508">
        <v>11016.8</v>
      </c>
      <c r="K113" s="485">
        <v>5.58</v>
      </c>
      <c r="L113" s="508">
        <v>61473.77</v>
      </c>
      <c r="Q113" s="482">
        <f>ROUND(([90]Source!DN1157/100)*ROUND((ROUND(([90]Source!AF1157*[90]Source!AV1157*[90]Source!I1157),2)),2), 2)</f>
        <v>0</v>
      </c>
      <c r="R113" s="482">
        <f>[90]Source!X1157</f>
        <v>0</v>
      </c>
      <c r="S113" s="482">
        <f>ROUND(([90]Source!DO1157/100)*ROUND((ROUND(([90]Source!AF1157*[90]Source!AV1157*[90]Source!I1157),2)),2), 2)</f>
        <v>0</v>
      </c>
      <c r="T113" s="482">
        <f>[90]Source!Y1157</f>
        <v>0</v>
      </c>
      <c r="U113" s="482">
        <f>ROUND((175/100)*ROUND((ROUND(([90]Source!AE1157*[90]Source!AV1157*[90]Source!I1157),2)),2), 2)</f>
        <v>0</v>
      </c>
      <c r="V113" s="482">
        <f>ROUND((157/100)*ROUND(ROUND((ROUND(([90]Source!AE1157*[90]Source!AV1157*[90]Source!I1157),2)*[90]Source!BS1157),2), 2), 2)</f>
        <v>0</v>
      </c>
    </row>
    <row r="114" spans="1:27" ht="15" x14ac:dyDescent="0.25">
      <c r="A114" s="522"/>
      <c r="B114" s="522"/>
      <c r="C114" s="522"/>
      <c r="D114" s="522"/>
      <c r="E114" s="522"/>
      <c r="F114" s="522"/>
      <c r="G114" s="522"/>
      <c r="H114" s="522"/>
      <c r="I114" s="745">
        <f>J113</f>
        <v>11016.8</v>
      </c>
      <c r="J114" s="745"/>
      <c r="K114" s="745">
        <f>L113</f>
        <v>61473.77</v>
      </c>
      <c r="L114" s="745"/>
      <c r="O114" s="510">
        <f>J113</f>
        <v>11016.8</v>
      </c>
      <c r="P114" s="510">
        <f>L113</f>
        <v>61473.77</v>
      </c>
      <c r="X114" s="482">
        <f>IF([90]Source!BI1157&lt;=1,J113-0, 0)</f>
        <v>11016.8</v>
      </c>
      <c r="Y114" s="482">
        <f>IF([90]Source!BI1157=2,J113-0, 0)</f>
        <v>0</v>
      </c>
      <c r="Z114" s="482">
        <f>IF([90]Source!BI1157=3,J113-0, 0)</f>
        <v>0</v>
      </c>
      <c r="AA114" s="482">
        <f>IF([90]Source!BI1157=4,J113,0)</f>
        <v>0</v>
      </c>
    </row>
    <row r="115" spans="1:27" ht="51" customHeight="1" x14ac:dyDescent="0.2">
      <c r="A115" s="503">
        <v>9</v>
      </c>
      <c r="B115" s="503" t="str">
        <f>[90]Source!E1163</f>
        <v>164</v>
      </c>
      <c r="C115" s="504" t="s">
        <v>322</v>
      </c>
      <c r="D115" s="504" t="s">
        <v>323</v>
      </c>
      <c r="E115" s="505" t="str">
        <f>[90]Source!H1163</f>
        <v>1 клапан</v>
      </c>
      <c r="F115" s="485">
        <f>[90]Source!I1163</f>
        <v>2</v>
      </c>
      <c r="G115" s="506"/>
      <c r="H115" s="507"/>
      <c r="I115" s="485"/>
      <c r="J115" s="508"/>
      <c r="K115" s="485"/>
      <c r="L115" s="508"/>
      <c r="Q115" s="482">
        <f>ROUND(([90]Source!DN1163/100)*ROUND((ROUND(([90]Source!AF1163*[90]Source!AV1163*[90]Source!I1163),2)),2), 2)</f>
        <v>379.11</v>
      </c>
      <c r="R115" s="482">
        <f>[90]Source!X1163</f>
        <v>7348.72</v>
      </c>
      <c r="S115" s="482">
        <f>ROUND(([90]Source!DO1163/100)*ROUND((ROUND(([90]Source!AF1163*[90]Source!AV1163*[90]Source!I1163),2)),2), 2)</f>
        <v>285.08999999999997</v>
      </c>
      <c r="T115" s="482">
        <f>[90]Source!Y1163</f>
        <v>3306.92</v>
      </c>
      <c r="U115" s="482">
        <f>ROUND((175/100)*ROUND((ROUND(([90]Source!AE1163*[90]Source!AV1163*[90]Source!I1163),2)),2), 2)</f>
        <v>20.76</v>
      </c>
      <c r="V115" s="482">
        <f>ROUND((157/100)*ROUND(ROUND((ROUND(([90]Source!AE1163*[90]Source!AV1163*[90]Source!I1163),2)*[90]Source!BS1163),2), 2), 2)</f>
        <v>451.17</v>
      </c>
    </row>
    <row r="116" spans="1:27" ht="14.25" x14ac:dyDescent="0.2">
      <c r="A116" s="503"/>
      <c r="B116" s="503"/>
      <c r="C116" s="504"/>
      <c r="D116" s="504" t="s">
        <v>52</v>
      </c>
      <c r="E116" s="505"/>
      <c r="F116" s="485"/>
      <c r="G116" s="506">
        <f>[90]Source!AO1163</f>
        <v>81.05</v>
      </c>
      <c r="H116" s="507" t="str">
        <f>[90]Source!DG1163</f>
        <v>)*1,67)*1,05</v>
      </c>
      <c r="I116" s="485">
        <f>[90]Source!AV1163</f>
        <v>1.0669999999999999</v>
      </c>
      <c r="J116" s="508">
        <f>ROUND((ROUND(([90]Source!AF1163*[90]Source!AV1163*[90]Source!I1163),2)),2)</f>
        <v>303.29000000000002</v>
      </c>
      <c r="K116" s="485">
        <f>IF([90]Source!BA1163&lt;&gt; 0, [90]Source!BA1163, 1)</f>
        <v>24.23</v>
      </c>
      <c r="L116" s="508">
        <f>[90]Source!S1163</f>
        <v>7348.72</v>
      </c>
      <c r="W116" s="482">
        <f>J116</f>
        <v>303.29000000000002</v>
      </c>
    </row>
    <row r="117" spans="1:27" ht="14.25" x14ac:dyDescent="0.2">
      <c r="A117" s="503"/>
      <c r="B117" s="503"/>
      <c r="C117" s="504"/>
      <c r="D117" s="504" t="s">
        <v>53</v>
      </c>
      <c r="E117" s="505"/>
      <c r="F117" s="485"/>
      <c r="G117" s="506">
        <f>[90]Source!AM1163</f>
        <v>13.4</v>
      </c>
      <c r="H117" s="507" t="str">
        <f>[90]Source!DE1163</f>
        <v>)*1,05</v>
      </c>
      <c r="I117" s="485">
        <f>[90]Source!AV1163</f>
        <v>1.0669999999999999</v>
      </c>
      <c r="J117" s="508">
        <f>(ROUND((ROUND(((([90]Source!ET1163*1.05))*[90]Source!AV1163*[90]Source!I1163),2)),2)+ROUND((ROUND((([90]Source!AE1163-(([90]Source!EU1163*1.05)))*[90]Source!AV1163*[90]Source!I1163),2)),2))-J126</f>
        <v>30.03</v>
      </c>
      <c r="K117" s="485">
        <f>IF([90]Source!BB1163&lt;&gt; 0, [90]Source!BB1163, 1)</f>
        <v>9.98</v>
      </c>
      <c r="L117" s="508">
        <f>[90]Source!Q1163-L126</f>
        <v>299.72000000000003</v>
      </c>
    </row>
    <row r="118" spans="1:27" ht="14.25" x14ac:dyDescent="0.2">
      <c r="A118" s="503"/>
      <c r="B118" s="503"/>
      <c r="C118" s="504"/>
      <c r="D118" s="504" t="s">
        <v>54</v>
      </c>
      <c r="E118" s="505"/>
      <c r="F118" s="485"/>
      <c r="G118" s="506">
        <f>[90]Source!AN1163</f>
        <v>3.17</v>
      </c>
      <c r="H118" s="507" t="str">
        <f>[90]Source!DE1163</f>
        <v>)*1,05</v>
      </c>
      <c r="I118" s="485">
        <f>[90]Source!AV1163</f>
        <v>1.0669999999999999</v>
      </c>
      <c r="J118" s="509">
        <f>ROUND((ROUND(([90]Source!AE1163*[90]Source!AV1163*[90]Source!I1163),2)),2)-J127</f>
        <v>7.1</v>
      </c>
      <c r="K118" s="485">
        <f>IF([90]Source!BS1163&lt;&gt; 0, [90]Source!BS1163, 1)</f>
        <v>24.23</v>
      </c>
      <c r="L118" s="509">
        <f>[90]Source!R1163-L127</f>
        <v>172.06</v>
      </c>
      <c r="W118" s="482">
        <f>J118</f>
        <v>7.1</v>
      </c>
    </row>
    <row r="119" spans="1:27" ht="14.25" x14ac:dyDescent="0.2">
      <c r="A119" s="503"/>
      <c r="B119" s="503"/>
      <c r="C119" s="504"/>
      <c r="D119" s="504" t="s">
        <v>55</v>
      </c>
      <c r="E119" s="505"/>
      <c r="F119" s="485"/>
      <c r="G119" s="506">
        <f>[90]Source!AL1163</f>
        <v>37.159999999999997</v>
      </c>
      <c r="H119" s="507">
        <f>[90]Source!DD1163</f>
        <v>0</v>
      </c>
      <c r="I119" s="485">
        <f>[90]Source!AW1163</f>
        <v>1</v>
      </c>
      <c r="J119" s="508">
        <f>ROUND((ROUND(([90]Source!AC1163*[90]Source!AW1163*[90]Source!I1163),2)),2)</f>
        <v>74.319999999999993</v>
      </c>
      <c r="K119" s="485">
        <f>IF([90]Source!BC1163&lt;&gt; 0, [90]Source!BC1163, 1)</f>
        <v>6.71</v>
      </c>
      <c r="L119" s="508">
        <f>[90]Source!P1163</f>
        <v>498.69</v>
      </c>
    </row>
    <row r="120" spans="1:27" ht="14.25" x14ac:dyDescent="0.2">
      <c r="A120" s="503"/>
      <c r="B120" s="503"/>
      <c r="C120" s="504"/>
      <c r="D120" s="504" t="s">
        <v>56</v>
      </c>
      <c r="E120" s="505" t="s">
        <v>57</v>
      </c>
      <c r="F120" s="485">
        <f>[90]Source!DN1163</f>
        <v>125</v>
      </c>
      <c r="G120" s="506"/>
      <c r="H120" s="507"/>
      <c r="I120" s="485"/>
      <c r="J120" s="508">
        <f>SUM(Q115:Q119)</f>
        <v>379.11</v>
      </c>
      <c r="K120" s="485">
        <f>[90]Source!BZ1163</f>
        <v>100</v>
      </c>
      <c r="L120" s="508">
        <f>SUM(R115:R119)</f>
        <v>7348.72</v>
      </c>
    </row>
    <row r="121" spans="1:27" ht="14.25" x14ac:dyDescent="0.2">
      <c r="A121" s="503"/>
      <c r="B121" s="503"/>
      <c r="C121" s="504"/>
      <c r="D121" s="504" t="s">
        <v>58</v>
      </c>
      <c r="E121" s="505" t="s">
        <v>57</v>
      </c>
      <c r="F121" s="485">
        <f>[90]Source!DO1163</f>
        <v>94</v>
      </c>
      <c r="G121" s="506"/>
      <c r="H121" s="507"/>
      <c r="I121" s="485"/>
      <c r="J121" s="508">
        <f>SUM(S115:S120)</f>
        <v>285.08999999999997</v>
      </c>
      <c r="K121" s="485">
        <f>[90]Source!CA1163</f>
        <v>45</v>
      </c>
      <c r="L121" s="508">
        <f>SUM(T115:T120)</f>
        <v>3306.92</v>
      </c>
    </row>
    <row r="122" spans="1:27" ht="14.25" x14ac:dyDescent="0.2">
      <c r="A122" s="503"/>
      <c r="B122" s="503"/>
      <c r="C122" s="504"/>
      <c r="D122" s="504" t="s">
        <v>59</v>
      </c>
      <c r="E122" s="505" t="s">
        <v>57</v>
      </c>
      <c r="F122" s="485">
        <f>175</f>
        <v>175</v>
      </c>
      <c r="G122" s="506"/>
      <c r="H122" s="507"/>
      <c r="I122" s="485"/>
      <c r="J122" s="508">
        <f>SUM(U115:U121)-J128</f>
        <v>12.43</v>
      </c>
      <c r="K122" s="485">
        <f>157</f>
        <v>157</v>
      </c>
      <c r="L122" s="508">
        <f>SUM(V115:V121)-L128</f>
        <v>270.13</v>
      </c>
    </row>
    <row r="123" spans="1:27" ht="14.25" x14ac:dyDescent="0.2">
      <c r="A123" s="503"/>
      <c r="B123" s="503"/>
      <c r="C123" s="504"/>
      <c r="D123" s="504" t="s">
        <v>60</v>
      </c>
      <c r="E123" s="505" t="s">
        <v>61</v>
      </c>
      <c r="F123" s="485">
        <f>[90]Source!AQ1163</f>
        <v>7.16</v>
      </c>
      <c r="G123" s="506"/>
      <c r="H123" s="507" t="str">
        <f>[90]Source!DI1163</f>
        <v>)*1,05</v>
      </c>
      <c r="I123" s="485">
        <f>[90]Source!AV1163</f>
        <v>1.0669999999999999</v>
      </c>
      <c r="J123" s="508">
        <f>[90]Source!U1163</f>
        <v>16.04</v>
      </c>
      <c r="K123" s="485"/>
      <c r="L123" s="508"/>
    </row>
    <row r="124" spans="1:27" ht="15" x14ac:dyDescent="0.25">
      <c r="I124" s="745">
        <f>J116+J117+J119+J120+J121+J122</f>
        <v>1084.27</v>
      </c>
      <c r="J124" s="745"/>
      <c r="K124" s="745">
        <f>L116+L117+L119+L120+L121+L122</f>
        <v>19072.900000000001</v>
      </c>
      <c r="L124" s="745"/>
      <c r="O124" s="510">
        <f>J116+J117+J119+J120+J121+J122</f>
        <v>1084.27</v>
      </c>
      <c r="P124" s="510">
        <f>L116+L117+L119+L120+L121+L122</f>
        <v>19072.900000000001</v>
      </c>
      <c r="X124" s="482">
        <f>IF([90]Source!BI1163&lt;=1,J116+J117+J119+J120+J121+J122-0, 0)</f>
        <v>1084.27</v>
      </c>
      <c r="Y124" s="482">
        <f>IF([90]Source!BI1163=2,J116+J117+J119+J120+J121+J122-0, 0)</f>
        <v>0</v>
      </c>
      <c r="Z124" s="482">
        <f>IF([90]Source!BI1163=3,J116+J117+J119+J120+J121+J122-0, 0)</f>
        <v>0</v>
      </c>
      <c r="AA124" s="482">
        <f>IF([90]Source!BI1163=4,J116+J117+J119+J120+J121+J122,0)</f>
        <v>0</v>
      </c>
    </row>
    <row r="125" spans="1:27" ht="28.5" x14ac:dyDescent="0.2">
      <c r="A125" s="511"/>
      <c r="B125" s="511"/>
      <c r="C125" s="512"/>
      <c r="D125" s="512" t="s">
        <v>62</v>
      </c>
      <c r="E125" s="505"/>
      <c r="F125" s="513"/>
      <c r="G125" s="514"/>
      <c r="H125" s="505"/>
      <c r="I125" s="513"/>
      <c r="J125" s="509"/>
      <c r="K125" s="513"/>
      <c r="L125" s="509"/>
    </row>
    <row r="126" spans="1:27" ht="14.25" x14ac:dyDescent="0.2">
      <c r="A126" s="511"/>
      <c r="B126" s="511"/>
      <c r="C126" s="512"/>
      <c r="D126" s="512" t="s">
        <v>53</v>
      </c>
      <c r="E126" s="505"/>
      <c r="F126" s="513"/>
      <c r="G126" s="514">
        <f t="shared" ref="G126:L126" si="3">G127</f>
        <v>3.17</v>
      </c>
      <c r="H126" s="515" t="str">
        <f t="shared" si="3"/>
        <v>)*(1.67-1)*1.05</v>
      </c>
      <c r="I126" s="513">
        <f t="shared" si="3"/>
        <v>1.0669999999999999</v>
      </c>
      <c r="J126" s="509">
        <f t="shared" si="3"/>
        <v>4.76</v>
      </c>
      <c r="K126" s="513">
        <f t="shared" si="3"/>
        <v>24.23</v>
      </c>
      <c r="L126" s="509">
        <f t="shared" si="3"/>
        <v>115.31</v>
      </c>
    </row>
    <row r="127" spans="1:27" ht="14.25" x14ac:dyDescent="0.2">
      <c r="A127" s="511"/>
      <c r="B127" s="511"/>
      <c r="C127" s="512"/>
      <c r="D127" s="512" t="s">
        <v>54</v>
      </c>
      <c r="E127" s="505"/>
      <c r="F127" s="513"/>
      <c r="G127" s="514">
        <f>[90]Source!AN1163</f>
        <v>3.17</v>
      </c>
      <c r="H127" s="515" t="s">
        <v>316</v>
      </c>
      <c r="I127" s="513">
        <f>[90]Source!AV1163</f>
        <v>1.0669999999999999</v>
      </c>
      <c r="J127" s="509">
        <f>ROUND(F115*G127*I127*(1.67-1)*1.05, 2)</f>
        <v>4.76</v>
      </c>
      <c r="K127" s="513">
        <f>IF([90]Source!BS1163&lt;&gt; 0, [90]Source!BS1163, 1)</f>
        <v>24.23</v>
      </c>
      <c r="L127" s="509">
        <f>ROUND(F115*G127*I127*(1.67-1)*1.05*K127, 2)</f>
        <v>115.31</v>
      </c>
      <c r="W127" s="482">
        <f>J127</f>
        <v>4.76</v>
      </c>
    </row>
    <row r="128" spans="1:27" ht="14.25" x14ac:dyDescent="0.2">
      <c r="A128" s="511"/>
      <c r="B128" s="511"/>
      <c r="C128" s="512"/>
      <c r="D128" s="512" t="s">
        <v>59</v>
      </c>
      <c r="E128" s="505" t="s">
        <v>57</v>
      </c>
      <c r="F128" s="513">
        <f>175</f>
        <v>175</v>
      </c>
      <c r="G128" s="514"/>
      <c r="H128" s="505"/>
      <c r="I128" s="513"/>
      <c r="J128" s="509">
        <f>ROUND(J127*(F128/100), 2)</f>
        <v>8.33</v>
      </c>
      <c r="K128" s="513">
        <f>157</f>
        <v>157</v>
      </c>
      <c r="L128" s="509">
        <f>ROUND(L127*(K128/100), 2)</f>
        <v>181.04</v>
      </c>
    </row>
    <row r="129" spans="1:27" ht="15" x14ac:dyDescent="0.25">
      <c r="I129" s="745">
        <f>J128+J127</f>
        <v>13.09</v>
      </c>
      <c r="J129" s="745"/>
      <c r="K129" s="745">
        <f>L128+L127</f>
        <v>296.35000000000002</v>
      </c>
      <c r="L129" s="745"/>
      <c r="O129" s="510">
        <f>I129</f>
        <v>13.09</v>
      </c>
      <c r="P129" s="510">
        <f>K129</f>
        <v>296.35000000000002</v>
      </c>
      <c r="X129" s="482">
        <f>IF([90]Source!BI1163&lt;=1,I129, 0)</f>
        <v>13.09</v>
      </c>
      <c r="Y129" s="482">
        <f>IF([90]Source!BI1163=2,I129, 0)</f>
        <v>0</v>
      </c>
      <c r="Z129" s="482">
        <f>IF([90]Source!BI1163=3,I129, 0)</f>
        <v>0</v>
      </c>
      <c r="AA129" s="482">
        <f>IF([90]Source!BI1163=4,I129, 0)</f>
        <v>0</v>
      </c>
    </row>
    <row r="131" spans="1:27" ht="15" x14ac:dyDescent="0.25">
      <c r="A131" s="516"/>
      <c r="B131" s="516"/>
      <c r="C131" s="517"/>
      <c r="D131" s="517" t="s">
        <v>64</v>
      </c>
      <c r="E131" s="518"/>
      <c r="F131" s="519"/>
      <c r="G131" s="520"/>
      <c r="H131" s="521"/>
      <c r="I131" s="745">
        <f>I124+I129</f>
        <v>1097.3599999999999</v>
      </c>
      <c r="J131" s="745"/>
      <c r="K131" s="745">
        <f>K124+K129</f>
        <v>19369.25</v>
      </c>
      <c r="L131" s="745"/>
    </row>
    <row r="132" spans="1:27" ht="196.5" x14ac:dyDescent="0.2">
      <c r="A132" s="503">
        <v>10</v>
      </c>
      <c r="B132" s="503" t="str">
        <f>[90]Source!E1165</f>
        <v>165</v>
      </c>
      <c r="C132" s="504" t="str">
        <f>[90]Source!F1165</f>
        <v>МКЭ-28-3032/6-1  12.01.2017</v>
      </c>
      <c r="D132" s="504" t="s">
        <v>324</v>
      </c>
      <c r="E132" s="505" t="str">
        <f>[90]Source!H1165</f>
        <v>шт.</v>
      </c>
      <c r="F132" s="485">
        <f>[90]Source!I1165</f>
        <v>1</v>
      </c>
      <c r="G132" s="506">
        <f>[90]Source!AL1165</f>
        <v>3539.42</v>
      </c>
      <c r="H132" s="507">
        <f>[90]Source!DD1165</f>
        <v>0</v>
      </c>
      <c r="I132" s="485">
        <f>[90]Source!AW1165</f>
        <v>1</v>
      </c>
      <c r="J132" s="508">
        <f>ROUND((ROUND(([90]Source!AC1165*[90]Source!AW1165*[90]Source!I1165),2)),2)</f>
        <v>3539.42</v>
      </c>
      <c r="K132" s="485">
        <f>IF([90]Source!BC1165&lt;&gt; 0, [90]Source!BC1165, 1)</f>
        <v>5.58</v>
      </c>
      <c r="L132" s="508">
        <f>[90]Source!P1165</f>
        <v>19749.96</v>
      </c>
      <c r="Q132" s="482">
        <f>ROUND(([90]Source!DN1165/100)*ROUND((ROUND(([90]Source!AF1165*[90]Source!AV1165*[90]Source!I1165),2)),2), 2)</f>
        <v>0</v>
      </c>
      <c r="R132" s="482">
        <f>[90]Source!X1165</f>
        <v>0</v>
      </c>
      <c r="S132" s="482">
        <f>ROUND(([90]Source!DO1165/100)*ROUND((ROUND(([90]Source!AF1165*[90]Source!AV1165*[90]Source!I1165),2)),2), 2)</f>
        <v>0</v>
      </c>
      <c r="T132" s="482">
        <f>[90]Source!Y1165</f>
        <v>0</v>
      </c>
      <c r="U132" s="482">
        <f>ROUND((175/100)*ROUND((ROUND(([90]Source!AE1165*[90]Source!AV1165*[90]Source!I1165),2)),2), 2)</f>
        <v>0</v>
      </c>
      <c r="V132" s="482">
        <f>ROUND((157/100)*ROUND(ROUND((ROUND(([90]Source!AE1165*[90]Source!AV1165*[90]Source!I1165),2)*[90]Source!BS1165),2), 2), 2)</f>
        <v>0</v>
      </c>
    </row>
    <row r="133" spans="1:27" ht="15" x14ac:dyDescent="0.25">
      <c r="A133" s="522"/>
      <c r="B133" s="522"/>
      <c r="C133" s="522"/>
      <c r="D133" s="522"/>
      <c r="E133" s="522"/>
      <c r="F133" s="522"/>
      <c r="G133" s="522"/>
      <c r="H133" s="522"/>
      <c r="I133" s="745">
        <f>J132</f>
        <v>3539.42</v>
      </c>
      <c r="J133" s="745"/>
      <c r="K133" s="745">
        <f>L132</f>
        <v>19749.96</v>
      </c>
      <c r="L133" s="745"/>
      <c r="O133" s="510">
        <f>J132</f>
        <v>3539.42</v>
      </c>
      <c r="P133" s="510">
        <f>L132</f>
        <v>19749.96</v>
      </c>
      <c r="X133" s="482">
        <f>IF([90]Source!BI1165&lt;=1,J132-0, 0)</f>
        <v>3539.42</v>
      </c>
      <c r="Y133" s="482">
        <f>IF([90]Source!BI1165=2,J132-0, 0)</f>
        <v>0</v>
      </c>
      <c r="Z133" s="482">
        <f>IF([90]Source!BI1165=3,J132-0, 0)</f>
        <v>0</v>
      </c>
      <c r="AA133" s="482">
        <f>IF([90]Source!BI1165=4,J132,0)</f>
        <v>0</v>
      </c>
    </row>
    <row r="134" spans="1:27" ht="210.75" x14ac:dyDescent="0.2">
      <c r="A134" s="503">
        <v>11</v>
      </c>
      <c r="B134" s="503" t="str">
        <f>[90]Source!E1171</f>
        <v>168</v>
      </c>
      <c r="C134" s="504" t="str">
        <f>[90]Source!F1171</f>
        <v>МКЭ-28-1181/6-3  19.05.2016</v>
      </c>
      <c r="D134" s="504" t="s">
        <v>325</v>
      </c>
      <c r="E134" s="505" t="str">
        <f>[90]Source!H1171</f>
        <v>шт.</v>
      </c>
      <c r="F134" s="485">
        <f>[90]Source!I1171</f>
        <v>1</v>
      </c>
      <c r="G134" s="506">
        <f>[90]Source!AL1171</f>
        <v>4714.91</v>
      </c>
      <c r="H134" s="507">
        <f>[90]Source!DD1171</f>
        <v>0</v>
      </c>
      <c r="I134" s="485">
        <f>[90]Source!AW1171</f>
        <v>1</v>
      </c>
      <c r="J134" s="508">
        <v>4714.91</v>
      </c>
      <c r="K134" s="485">
        <v>5.58</v>
      </c>
      <c r="L134" s="508">
        <v>26309.17</v>
      </c>
      <c r="Q134" s="482">
        <f>ROUND(([90]Source!DN1171/100)*ROUND((ROUND(([90]Source!AF1171*[90]Source!AV1171*[90]Source!I1171),2)),2), 2)</f>
        <v>0</v>
      </c>
      <c r="R134" s="482">
        <f>[90]Source!X1171</f>
        <v>0</v>
      </c>
      <c r="S134" s="482">
        <f>ROUND(([90]Source!DO1171/100)*ROUND((ROUND(([90]Source!AF1171*[90]Source!AV1171*[90]Source!I1171),2)),2), 2)</f>
        <v>0</v>
      </c>
      <c r="T134" s="482">
        <f>[90]Source!Y1171</f>
        <v>0</v>
      </c>
      <c r="U134" s="482">
        <f>ROUND((175/100)*ROUND((ROUND(([90]Source!AE1171*[90]Source!AV1171*[90]Source!I1171),2)),2), 2)</f>
        <v>0</v>
      </c>
      <c r="V134" s="482">
        <f>ROUND((157/100)*ROUND(ROUND((ROUND(([90]Source!AE1171*[90]Source!AV1171*[90]Source!I1171),2)*[90]Source!BS1171),2), 2), 2)</f>
        <v>0</v>
      </c>
    </row>
    <row r="135" spans="1:27" ht="15" x14ac:dyDescent="0.25">
      <c r="A135" s="522"/>
      <c r="B135" s="522"/>
      <c r="C135" s="522"/>
      <c r="D135" s="522"/>
      <c r="E135" s="522"/>
      <c r="F135" s="522"/>
      <c r="G135" s="522"/>
      <c r="H135" s="522"/>
      <c r="I135" s="745">
        <f>J134</f>
        <v>4714.91</v>
      </c>
      <c r="J135" s="745"/>
      <c r="K135" s="745">
        <f>L134</f>
        <v>26309.17</v>
      </c>
      <c r="L135" s="745"/>
      <c r="O135" s="510">
        <f>J134</f>
        <v>4714.91</v>
      </c>
      <c r="P135" s="510">
        <f>L134</f>
        <v>26309.17</v>
      </c>
      <c r="X135" s="482">
        <f>IF([90]Source!BI1171&lt;=1,J134-0, 0)</f>
        <v>4714.91</v>
      </c>
      <c r="Y135" s="482">
        <f>IF([90]Source!BI1171=2,J134-0, 0)</f>
        <v>0</v>
      </c>
      <c r="Z135" s="482">
        <f>IF([90]Source!BI1171=3,J134-0, 0)</f>
        <v>0</v>
      </c>
      <c r="AA135" s="482">
        <f>IF([90]Source!BI1171=4,J134,0)</f>
        <v>0</v>
      </c>
    </row>
    <row r="136" spans="1:27" ht="92.25" customHeight="1" x14ac:dyDescent="0.2">
      <c r="A136" s="503">
        <v>12</v>
      </c>
      <c r="B136" s="503" t="str">
        <f>[90]Source!E1193</f>
        <v>179</v>
      </c>
      <c r="C136" s="504" t="s">
        <v>326</v>
      </c>
      <c r="D136" s="504" t="s">
        <v>83</v>
      </c>
      <c r="E136" s="505" t="str">
        <f>[90]Source!H1193</f>
        <v>100 м2 поверхности воздуховодов</v>
      </c>
      <c r="F136" s="485">
        <f>[90]Source!I1193</f>
        <v>0.37319999999999998</v>
      </c>
      <c r="G136" s="506"/>
      <c r="H136" s="507"/>
      <c r="I136" s="485"/>
      <c r="J136" s="508"/>
      <c r="K136" s="485"/>
      <c r="L136" s="508"/>
      <c r="Q136" s="482">
        <f>ROUND(([90]Source!DN1193/100)*ROUND((ROUND(([90]Source!AF1193*[90]Source!AV1193*[90]Source!I1193),2)),2), 2)</f>
        <v>1449.1</v>
      </c>
      <c r="R136" s="482">
        <f>[90]Source!X1193</f>
        <v>28089.35</v>
      </c>
      <c r="S136" s="482">
        <f>ROUND(([90]Source!DO1193/100)*ROUND((ROUND(([90]Source!AF1193*[90]Source!AV1193*[90]Source!I1193),2)),2), 2)</f>
        <v>1089.72</v>
      </c>
      <c r="T136" s="482">
        <f>[90]Source!Y1193</f>
        <v>12640.21</v>
      </c>
      <c r="U136" s="482">
        <f>ROUND((175/100)*ROUND((ROUND(([90]Source!AE1193*[90]Source!AV1193*[90]Source!I1193),2)),2), 2)</f>
        <v>22.79</v>
      </c>
      <c r="V136" s="482">
        <f>ROUND((157/100)*ROUND(ROUND((ROUND(([90]Source!AE1193*[90]Source!AV1193*[90]Source!I1193),2)*[90]Source!BS1193),2), 2), 2)</f>
        <v>495.29</v>
      </c>
    </row>
    <row r="137" spans="1:27" x14ac:dyDescent="0.2">
      <c r="D137" s="523" t="str">
        <f>"Объем: "&amp;[90]Source!I1193&amp;"=(0,98+"&amp;"1,06+"&amp;"0,16+"&amp;"0,59)/"&amp;"100"</f>
        <v>Объем: 0,3732=(0,98+1,06+0,16+0,59)/100</v>
      </c>
    </row>
    <row r="138" spans="1:27" ht="14.25" x14ac:dyDescent="0.2">
      <c r="A138" s="503"/>
      <c r="B138" s="503"/>
      <c r="C138" s="504"/>
      <c r="D138" s="504" t="s">
        <v>52</v>
      </c>
      <c r="E138" s="505"/>
      <c r="F138" s="485"/>
      <c r="G138" s="506">
        <f>[90]Source!AO1193</f>
        <v>1743.28</v>
      </c>
      <c r="H138" s="507" t="str">
        <f>[90]Source!DG1193</f>
        <v>)*1,67</v>
      </c>
      <c r="I138" s="485">
        <f>[90]Source!AV1193</f>
        <v>1.0669999999999999</v>
      </c>
      <c r="J138" s="508">
        <f>ROUND((ROUND(([90]Source!AF1193*[90]Source!AV1193*[90]Source!I1193),2)),2)</f>
        <v>1159.28</v>
      </c>
      <c r="K138" s="485">
        <f>IF([90]Source!BA1193&lt;&gt; 0, [90]Source!BA1193, 1)</f>
        <v>24.23</v>
      </c>
      <c r="L138" s="508">
        <f>[90]Source!S1193</f>
        <v>28089.35</v>
      </c>
      <c r="W138" s="482">
        <f>J138</f>
        <v>1159.28</v>
      </c>
    </row>
    <row r="139" spans="1:27" ht="14.25" x14ac:dyDescent="0.2">
      <c r="A139" s="503"/>
      <c r="B139" s="503"/>
      <c r="C139" s="504"/>
      <c r="D139" s="504" t="s">
        <v>53</v>
      </c>
      <c r="E139" s="505"/>
      <c r="F139" s="485"/>
      <c r="G139" s="506">
        <f>[90]Source!AM1193</f>
        <v>158.18</v>
      </c>
      <c r="H139" s="507">
        <f>[90]Source!DE1193</f>
        <v>0</v>
      </c>
      <c r="I139" s="485">
        <f>[90]Source!AV1193</f>
        <v>1.0669999999999999</v>
      </c>
      <c r="J139" s="508">
        <f>(ROUND((ROUND((([90]Source!ET1193)*[90]Source!AV1193*[90]Source!I1193),2)),2)+ROUND((ROUND((([90]Source!AE1193-([90]Source!EU1193))*[90]Source!AV1193*[90]Source!I1193),2)),2))-J149</f>
        <v>62.99</v>
      </c>
      <c r="K139" s="485">
        <f>IF([90]Source!BB1193&lt;&gt; 0, [90]Source!BB1193, 1)</f>
        <v>8.6</v>
      </c>
      <c r="L139" s="508">
        <f>[90]Source!Q1193-L149</f>
        <v>541.62</v>
      </c>
    </row>
    <row r="140" spans="1:27" ht="14.25" x14ac:dyDescent="0.2">
      <c r="A140" s="503"/>
      <c r="B140" s="503"/>
      <c r="C140" s="504"/>
      <c r="D140" s="504" t="s">
        <v>54</v>
      </c>
      <c r="E140" s="505"/>
      <c r="F140" s="485"/>
      <c r="G140" s="506">
        <f>[90]Source!AN1193</f>
        <v>19.579999999999998</v>
      </c>
      <c r="H140" s="507">
        <f>[90]Source!DE1193</f>
        <v>0</v>
      </c>
      <c r="I140" s="485">
        <f>[90]Source!AV1193</f>
        <v>1.0669999999999999</v>
      </c>
      <c r="J140" s="509">
        <f>ROUND((ROUND(([90]Source!AE1193*[90]Source!AV1193*[90]Source!I1193),2)),2)-J150</f>
        <v>7.8</v>
      </c>
      <c r="K140" s="485">
        <f>IF([90]Source!BS1193&lt;&gt; 0, [90]Source!BS1193, 1)</f>
        <v>24.23</v>
      </c>
      <c r="L140" s="509">
        <f>[90]Source!R1193-L150</f>
        <v>188.9</v>
      </c>
      <c r="W140" s="482">
        <f>J140</f>
        <v>7.8</v>
      </c>
    </row>
    <row r="141" spans="1:27" ht="14.25" x14ac:dyDescent="0.2">
      <c r="A141" s="503"/>
      <c r="B141" s="503"/>
      <c r="C141" s="504"/>
      <c r="D141" s="504" t="s">
        <v>55</v>
      </c>
      <c r="E141" s="505"/>
      <c r="F141" s="485"/>
      <c r="G141" s="506">
        <f>[90]Source!AL1193</f>
        <v>499.52</v>
      </c>
      <c r="H141" s="507">
        <f>[90]Source!DD1193</f>
        <v>0</v>
      </c>
      <c r="I141" s="485">
        <f>[90]Source!AW1193</f>
        <v>1</v>
      </c>
      <c r="J141" s="508">
        <f>ROUND((ROUND(([90]Source!AC1193*[90]Source!AW1193*[90]Source!I1193),2)),2)</f>
        <v>186.42</v>
      </c>
      <c r="K141" s="485">
        <f>IF([90]Source!BC1193&lt;&gt; 0, [90]Source!BC1193, 1)</f>
        <v>3.66</v>
      </c>
      <c r="L141" s="508">
        <f>[90]Source!P1193</f>
        <v>682.3</v>
      </c>
    </row>
    <row r="142" spans="1:27" ht="42.75" x14ac:dyDescent="0.2">
      <c r="A142" s="503">
        <v>13</v>
      </c>
      <c r="B142" s="503" t="str">
        <f>[90]Source!E1195</f>
        <v>179,1</v>
      </c>
      <c r="C142" s="504" t="str">
        <f>[90]Source!F1195</f>
        <v>1.19-3-12</v>
      </c>
      <c r="D142" s="504" t="s">
        <v>84</v>
      </c>
      <c r="E142" s="505" t="str">
        <f>[90]Source!H1195</f>
        <v>м2</v>
      </c>
      <c r="F142" s="485">
        <f>[90]Source!I1195</f>
        <v>37.32</v>
      </c>
      <c r="G142" s="506">
        <f>[90]Source!AK1195</f>
        <v>125.64</v>
      </c>
      <c r="H142" s="524" t="s">
        <v>74</v>
      </c>
      <c r="I142" s="485">
        <f>[90]Source!AW1195</f>
        <v>1</v>
      </c>
      <c r="J142" s="508">
        <f>ROUND((ROUND(([90]Source!AC1195*[90]Source!AW1195*[90]Source!I1195),2)),2)+(ROUND((ROUND((([90]Source!ET1195)*[90]Source!AV1195*[90]Source!I1195),2)),2)+ROUND((ROUND((([90]Source!AE1195-([90]Source!EU1195))*[90]Source!AV1195*[90]Source!I1195),2)),2))+ROUND((ROUND(([90]Source!AF1195*[90]Source!AV1195*[90]Source!I1195),2)),2)</f>
        <v>4688.88</v>
      </c>
      <c r="K142" s="485">
        <f>IF([90]Source!BC1195&lt;&gt; 0, [90]Source!BC1195, 1)</f>
        <v>3.84</v>
      </c>
      <c r="L142" s="508">
        <f>[90]Source!O1195</f>
        <v>18005.3</v>
      </c>
      <c r="Q142" s="482">
        <f>ROUND(([90]Source!DN1195/100)*ROUND((ROUND(([90]Source!AF1195*[90]Source!AV1195*[90]Source!I1195),2)),2), 2)</f>
        <v>0</v>
      </c>
      <c r="R142" s="482">
        <f>[90]Source!X1195</f>
        <v>0</v>
      </c>
      <c r="S142" s="482">
        <f>ROUND(([90]Source!DO1195/100)*ROUND((ROUND(([90]Source!AF1195*[90]Source!AV1195*[90]Source!I1195),2)),2), 2)</f>
        <v>0</v>
      </c>
      <c r="T142" s="482">
        <f>[90]Source!Y1195</f>
        <v>0</v>
      </c>
      <c r="U142" s="482">
        <f>ROUND((175/100)*ROUND((ROUND(([90]Source!AE1195*[90]Source!AV1195*[90]Source!I1195),2)),2), 2)</f>
        <v>0</v>
      </c>
      <c r="V142" s="482">
        <f>ROUND((157/100)*ROUND(ROUND((ROUND(([90]Source!AE1195*[90]Source!AV1195*[90]Source!I1195),2)*[90]Source!BS1195),2), 2), 2)</f>
        <v>0</v>
      </c>
      <c r="X142" s="482">
        <f>IF([90]Source!BI1195&lt;=1,J142, 0)</f>
        <v>4688.88</v>
      </c>
      <c r="Y142" s="482">
        <f>IF([90]Source!BI1195=2,J142, 0)</f>
        <v>0</v>
      </c>
      <c r="Z142" s="482">
        <f>IF([90]Source!BI1195=3,J142, 0)</f>
        <v>0</v>
      </c>
      <c r="AA142" s="482">
        <f>IF([90]Source!BI1195=4,J142, 0)</f>
        <v>0</v>
      </c>
    </row>
    <row r="143" spans="1:27" ht="14.25" x14ac:dyDescent="0.2">
      <c r="A143" s="503"/>
      <c r="B143" s="503"/>
      <c r="C143" s="504"/>
      <c r="D143" s="504" t="s">
        <v>56</v>
      </c>
      <c r="E143" s="505" t="s">
        <v>57</v>
      </c>
      <c r="F143" s="485">
        <f>[90]Source!DN1193</f>
        <v>125</v>
      </c>
      <c r="G143" s="506"/>
      <c r="H143" s="507"/>
      <c r="I143" s="485"/>
      <c r="J143" s="508">
        <f>SUM(Q136:Q142)</f>
        <v>1449.1</v>
      </c>
      <c r="K143" s="485">
        <f>[90]Source!BZ1193</f>
        <v>100</v>
      </c>
      <c r="L143" s="508">
        <f>SUM(R136:R142)</f>
        <v>28089.35</v>
      </c>
    </row>
    <row r="144" spans="1:27" ht="14.25" x14ac:dyDescent="0.2">
      <c r="A144" s="503"/>
      <c r="B144" s="503"/>
      <c r="C144" s="504"/>
      <c r="D144" s="504" t="s">
        <v>58</v>
      </c>
      <c r="E144" s="505" t="s">
        <v>57</v>
      </c>
      <c r="F144" s="485">
        <f>[90]Source!DO1193</f>
        <v>94</v>
      </c>
      <c r="G144" s="506"/>
      <c r="H144" s="507"/>
      <c r="I144" s="485"/>
      <c r="J144" s="508">
        <f>SUM(S136:S143)</f>
        <v>1089.72</v>
      </c>
      <c r="K144" s="485">
        <f>[90]Source!CA1193</f>
        <v>45</v>
      </c>
      <c r="L144" s="508">
        <f>SUM(T136:T143)</f>
        <v>12640.21</v>
      </c>
    </row>
    <row r="145" spans="1:27" ht="14.25" x14ac:dyDescent="0.2">
      <c r="A145" s="503"/>
      <c r="B145" s="503"/>
      <c r="C145" s="504"/>
      <c r="D145" s="504" t="s">
        <v>59</v>
      </c>
      <c r="E145" s="505" t="s">
        <v>57</v>
      </c>
      <c r="F145" s="485">
        <f>175</f>
        <v>175</v>
      </c>
      <c r="G145" s="506"/>
      <c r="H145" s="507"/>
      <c r="I145" s="485"/>
      <c r="J145" s="508">
        <f>SUM(U136:U144)-J151</f>
        <v>13.65</v>
      </c>
      <c r="K145" s="485">
        <f>157</f>
        <v>157</v>
      </c>
      <c r="L145" s="508">
        <f>SUM(V136:V144)-L151</f>
        <v>296.58</v>
      </c>
    </row>
    <row r="146" spans="1:27" ht="14.25" x14ac:dyDescent="0.2">
      <c r="A146" s="503"/>
      <c r="B146" s="503"/>
      <c r="C146" s="504"/>
      <c r="D146" s="504" t="s">
        <v>60</v>
      </c>
      <c r="E146" s="505" t="s">
        <v>61</v>
      </c>
      <c r="F146" s="485">
        <f>[90]Source!AQ1193</f>
        <v>154</v>
      </c>
      <c r="G146" s="506"/>
      <c r="H146" s="507">
        <f>[90]Source!DI1193</f>
        <v>0</v>
      </c>
      <c r="I146" s="485">
        <f>[90]Source!AV1193</f>
        <v>1.0669999999999999</v>
      </c>
      <c r="J146" s="508">
        <f>[90]Source!U1193</f>
        <v>61.32</v>
      </c>
      <c r="K146" s="485"/>
      <c r="L146" s="508"/>
    </row>
    <row r="147" spans="1:27" ht="15" x14ac:dyDescent="0.25">
      <c r="I147" s="745">
        <f>J138+J139+J141+J143+J144+J145+SUM(J142:J142)</f>
        <v>8650.0400000000009</v>
      </c>
      <c r="J147" s="745"/>
      <c r="K147" s="745">
        <f>L138+L139+L141+L143+L144+L145+SUM(L142:L142)</f>
        <v>88344.71</v>
      </c>
      <c r="L147" s="745"/>
      <c r="O147" s="510">
        <f>J138+J139+J141+J143+J144+J145+SUM(J142:J142)</f>
        <v>8650.0400000000009</v>
      </c>
      <c r="P147" s="510">
        <f>L138+L139+L141+L143+L144+L145+SUM(L142:L142)</f>
        <v>88344.71</v>
      </c>
      <c r="X147" s="482">
        <f>IF([90]Source!BI1193&lt;=1,J138+J139+J141+J143+J144+J145-0, 0)</f>
        <v>3961.16</v>
      </c>
      <c r="Y147" s="482">
        <f>IF([90]Source!BI1193=2,J138+J139+J141+J143+J144+J145-0, 0)</f>
        <v>0</v>
      </c>
      <c r="Z147" s="482">
        <f>IF([90]Source!BI1193=3,J138+J139+J141+J143+J144+J145-0, 0)</f>
        <v>0</v>
      </c>
      <c r="AA147" s="482">
        <f>IF([90]Source!BI1193=4,J138+J139+J141+J143+J144+J145,0)</f>
        <v>0</v>
      </c>
    </row>
    <row r="148" spans="1:27" ht="28.5" x14ac:dyDescent="0.2">
      <c r="A148" s="511"/>
      <c r="B148" s="511"/>
      <c r="C148" s="512"/>
      <c r="D148" s="512" t="s">
        <v>62</v>
      </c>
      <c r="E148" s="505"/>
      <c r="F148" s="513"/>
      <c r="G148" s="514"/>
      <c r="H148" s="505"/>
      <c r="I148" s="513"/>
      <c r="J148" s="509"/>
      <c r="K148" s="513"/>
      <c r="L148" s="509"/>
    </row>
    <row r="149" spans="1:27" ht="14.25" x14ac:dyDescent="0.2">
      <c r="A149" s="511"/>
      <c r="B149" s="511"/>
      <c r="C149" s="512"/>
      <c r="D149" s="512" t="s">
        <v>53</v>
      </c>
      <c r="E149" s="505"/>
      <c r="F149" s="513"/>
      <c r="G149" s="514">
        <f t="shared" ref="G149:L149" si="4">G150</f>
        <v>19.579999999999998</v>
      </c>
      <c r="H149" s="515" t="str">
        <f t="shared" si="4"/>
        <v>)*(1.67-1)</v>
      </c>
      <c r="I149" s="513">
        <f t="shared" si="4"/>
        <v>1.0669999999999999</v>
      </c>
      <c r="J149" s="509">
        <f t="shared" si="4"/>
        <v>5.22</v>
      </c>
      <c r="K149" s="513">
        <f t="shared" si="4"/>
        <v>24.23</v>
      </c>
      <c r="L149" s="509">
        <f t="shared" si="4"/>
        <v>126.57</v>
      </c>
    </row>
    <row r="150" spans="1:27" ht="14.25" x14ac:dyDescent="0.2">
      <c r="A150" s="511"/>
      <c r="B150" s="511"/>
      <c r="C150" s="512"/>
      <c r="D150" s="512" t="s">
        <v>54</v>
      </c>
      <c r="E150" s="505"/>
      <c r="F150" s="513"/>
      <c r="G150" s="514">
        <f>[90]Source!AN1193</f>
        <v>19.579999999999998</v>
      </c>
      <c r="H150" s="515" t="s">
        <v>63</v>
      </c>
      <c r="I150" s="513">
        <f>[90]Source!AV1193</f>
        <v>1.0669999999999999</v>
      </c>
      <c r="J150" s="509">
        <f>ROUND(F136*G150*I150*(1.67-1), 2)</f>
        <v>5.22</v>
      </c>
      <c r="K150" s="513">
        <f>IF([90]Source!BS1193&lt;&gt; 0, [90]Source!BS1193, 1)</f>
        <v>24.23</v>
      </c>
      <c r="L150" s="509">
        <f>ROUND(F136*G150*I150*(1.67-1)*K150, 2)</f>
        <v>126.57</v>
      </c>
      <c r="W150" s="482">
        <f>J150</f>
        <v>5.22</v>
      </c>
    </row>
    <row r="151" spans="1:27" ht="14.25" x14ac:dyDescent="0.2">
      <c r="A151" s="511"/>
      <c r="B151" s="511"/>
      <c r="C151" s="512"/>
      <c r="D151" s="512" t="s">
        <v>59</v>
      </c>
      <c r="E151" s="505" t="s">
        <v>57</v>
      </c>
      <c r="F151" s="513">
        <f>175</f>
        <v>175</v>
      </c>
      <c r="G151" s="514"/>
      <c r="H151" s="505"/>
      <c r="I151" s="513"/>
      <c r="J151" s="509">
        <f>ROUND(J150*(F151/100), 2)</f>
        <v>9.14</v>
      </c>
      <c r="K151" s="513">
        <f>157</f>
        <v>157</v>
      </c>
      <c r="L151" s="509">
        <f>ROUND(L150*(K151/100), 2)</f>
        <v>198.71</v>
      </c>
    </row>
    <row r="152" spans="1:27" ht="15" x14ac:dyDescent="0.25">
      <c r="I152" s="745">
        <f>J151+J150</f>
        <v>14.36</v>
      </c>
      <c r="J152" s="745"/>
      <c r="K152" s="745">
        <f>L151+L150</f>
        <v>325.27999999999997</v>
      </c>
      <c r="L152" s="745"/>
      <c r="O152" s="510">
        <f>I152</f>
        <v>14.36</v>
      </c>
      <c r="P152" s="510">
        <f>K152</f>
        <v>325.27999999999997</v>
      </c>
      <c r="X152" s="482">
        <f>IF([90]Source!BI1193&lt;=1,I152, 0)</f>
        <v>14.36</v>
      </c>
      <c r="Y152" s="482">
        <f>IF([90]Source!BI1193=2,I152, 0)</f>
        <v>0</v>
      </c>
      <c r="Z152" s="482">
        <f>IF([90]Source!BI1193=3,I152, 0)</f>
        <v>0</v>
      </c>
      <c r="AA152" s="482">
        <f>IF([90]Source!BI1193=4,I152, 0)</f>
        <v>0</v>
      </c>
    </row>
    <row r="154" spans="1:27" ht="15" x14ac:dyDescent="0.25">
      <c r="A154" s="516"/>
      <c r="B154" s="516"/>
      <c r="C154" s="517"/>
      <c r="D154" s="517" t="s">
        <v>64</v>
      </c>
      <c r="E154" s="518"/>
      <c r="F154" s="519"/>
      <c r="G154" s="520"/>
      <c r="H154" s="521"/>
      <c r="I154" s="745">
        <f>I147+I152</f>
        <v>8664.4</v>
      </c>
      <c r="J154" s="745"/>
      <c r="K154" s="745">
        <f>K147+K152</f>
        <v>88669.99</v>
      </c>
      <c r="L154" s="745"/>
    </row>
    <row r="155" spans="1:27" ht="81" customHeight="1" x14ac:dyDescent="0.2">
      <c r="A155" s="503">
        <v>14</v>
      </c>
      <c r="B155" s="503" t="str">
        <f>[90]Source!E1197</f>
        <v>180</v>
      </c>
      <c r="C155" s="504" t="s">
        <v>327</v>
      </c>
      <c r="D155" s="504" t="s">
        <v>85</v>
      </c>
      <c r="E155" s="505" t="str">
        <f>[90]Source!H1197</f>
        <v>100 м2 поверхности воздуховодов</v>
      </c>
      <c r="F155" s="485">
        <f>[90]Source!I1197</f>
        <v>0.17050000000000001</v>
      </c>
      <c r="G155" s="506"/>
      <c r="H155" s="507"/>
      <c r="I155" s="485"/>
      <c r="J155" s="508"/>
      <c r="K155" s="485"/>
      <c r="L155" s="508"/>
      <c r="Q155" s="482">
        <f>ROUND(([90]Source!DN1197/100)*ROUND((ROUND(([90]Source!AF1197*[90]Source!AV1197*[90]Source!I1197),2)),2), 2)</f>
        <v>606.15</v>
      </c>
      <c r="R155" s="482">
        <f>[90]Source!X1197</f>
        <v>11749.61</v>
      </c>
      <c r="S155" s="482">
        <f>ROUND(([90]Source!DO1197/100)*ROUND((ROUND(([90]Source!AF1197*[90]Source!AV1197*[90]Source!I1197),2)),2), 2)</f>
        <v>455.82</v>
      </c>
      <c r="T155" s="482">
        <f>[90]Source!Y1197</f>
        <v>5287.32</v>
      </c>
      <c r="U155" s="482">
        <f>ROUND((175/100)*ROUND((ROUND(([90]Source!AE1197*[90]Source!AV1197*[90]Source!I1197),2)),2), 2)</f>
        <v>8.2100000000000009</v>
      </c>
      <c r="V155" s="482">
        <f>ROUND((157/100)*ROUND(ROUND((ROUND(([90]Source!AE1197*[90]Source!AV1197*[90]Source!I1197),2)*[90]Source!BS1197),2), 2), 2)</f>
        <v>178.41</v>
      </c>
    </row>
    <row r="156" spans="1:27" x14ac:dyDescent="0.2">
      <c r="D156" s="523" t="str">
        <f>"Объем: "&amp;[90]Source!I1197&amp;"=(1,68+"&amp;"1,56)/"&amp;"100"</f>
        <v>Объем: 0,1705=(1,68+1,56)/100</v>
      </c>
    </row>
    <row r="157" spans="1:27" ht="14.25" x14ac:dyDescent="0.2">
      <c r="A157" s="503"/>
      <c r="B157" s="503"/>
      <c r="C157" s="504"/>
      <c r="D157" s="504" t="s">
        <v>52</v>
      </c>
      <c r="E157" s="505"/>
      <c r="F157" s="485"/>
      <c r="G157" s="506">
        <f>[90]Source!AO1197</f>
        <v>1596.12</v>
      </c>
      <c r="H157" s="507" t="str">
        <f>[90]Source!DG1197</f>
        <v>)*1,67</v>
      </c>
      <c r="I157" s="485">
        <f>[90]Source!AV1197</f>
        <v>1.0669999999999999</v>
      </c>
      <c r="J157" s="508">
        <f>ROUND((ROUND(([90]Source!AF1197*[90]Source!AV1197*[90]Source!I1197),2)),2)</f>
        <v>484.92</v>
      </c>
      <c r="K157" s="485">
        <f>IF([90]Source!BA1197&lt;&gt; 0, [90]Source!BA1197, 1)</f>
        <v>24.23</v>
      </c>
      <c r="L157" s="508">
        <f>[90]Source!S1197</f>
        <v>11749.61</v>
      </c>
      <c r="W157" s="482">
        <f>J157</f>
        <v>484.92</v>
      </c>
    </row>
    <row r="158" spans="1:27" ht="14.25" x14ac:dyDescent="0.2">
      <c r="A158" s="503"/>
      <c r="B158" s="503"/>
      <c r="C158" s="504"/>
      <c r="D158" s="504" t="s">
        <v>53</v>
      </c>
      <c r="E158" s="505"/>
      <c r="F158" s="485"/>
      <c r="G158" s="506">
        <f>[90]Source!AM1197</f>
        <v>125.93</v>
      </c>
      <c r="H158" s="507">
        <f>[90]Source!DE1197</f>
        <v>0</v>
      </c>
      <c r="I158" s="485">
        <f>[90]Source!AV1197</f>
        <v>1.0669999999999999</v>
      </c>
      <c r="J158" s="508">
        <f>(ROUND((ROUND((([90]Source!ET1197)*[90]Source!AV1197*[90]Source!I1197),2)),2)+ROUND((ROUND((([90]Source!AE1197-([90]Source!EU1197))*[90]Source!AV1197*[90]Source!I1197),2)),2))-J168</f>
        <v>22.91</v>
      </c>
      <c r="K158" s="485">
        <f>IF([90]Source!BB1197&lt;&gt; 0, [90]Source!BB1197, 1)</f>
        <v>8.59</v>
      </c>
      <c r="L158" s="508">
        <f>[90]Source!Q1197-L168</f>
        <v>196.78</v>
      </c>
    </row>
    <row r="159" spans="1:27" ht="14.25" x14ac:dyDescent="0.2">
      <c r="A159" s="503"/>
      <c r="B159" s="503"/>
      <c r="C159" s="504"/>
      <c r="D159" s="504" t="s">
        <v>54</v>
      </c>
      <c r="E159" s="505"/>
      <c r="F159" s="485"/>
      <c r="G159" s="506">
        <f>[90]Source!AN1197</f>
        <v>15.43</v>
      </c>
      <c r="H159" s="507">
        <f>[90]Source!DE1197</f>
        <v>0</v>
      </c>
      <c r="I159" s="485">
        <f>[90]Source!AV1197</f>
        <v>1.0669999999999999</v>
      </c>
      <c r="J159" s="509">
        <f>ROUND((ROUND(([90]Source!AE1197*[90]Source!AV1197*[90]Source!I1197),2)),2)-J169</f>
        <v>2.81</v>
      </c>
      <c r="K159" s="485">
        <f>IF([90]Source!BS1197&lt;&gt; 0, [90]Source!BS1197, 1)</f>
        <v>24.23</v>
      </c>
      <c r="L159" s="509">
        <f>[90]Source!R1197-L169</f>
        <v>68.069999999999993</v>
      </c>
      <c r="W159" s="482">
        <f>J159</f>
        <v>2.81</v>
      </c>
    </row>
    <row r="160" spans="1:27" ht="14.25" x14ac:dyDescent="0.2">
      <c r="A160" s="503"/>
      <c r="B160" s="503"/>
      <c r="C160" s="504"/>
      <c r="D160" s="504" t="s">
        <v>55</v>
      </c>
      <c r="E160" s="505"/>
      <c r="F160" s="485"/>
      <c r="G160" s="506">
        <f>[90]Source!AL1197</f>
        <v>499.17</v>
      </c>
      <c r="H160" s="507">
        <f>[90]Source!DD1197</f>
        <v>0</v>
      </c>
      <c r="I160" s="485">
        <f>[90]Source!AW1197</f>
        <v>1</v>
      </c>
      <c r="J160" s="508">
        <f>ROUND((ROUND(([90]Source!AC1197*[90]Source!AW1197*[90]Source!I1197),2)),2)</f>
        <v>85.11</v>
      </c>
      <c r="K160" s="485">
        <f>IF([90]Source!BC1197&lt;&gt; 0, [90]Source!BC1197, 1)</f>
        <v>3.65</v>
      </c>
      <c r="L160" s="508">
        <f>[90]Source!P1197</f>
        <v>310.64999999999998</v>
      </c>
    </row>
    <row r="161" spans="1:27" ht="42.75" x14ac:dyDescent="0.2">
      <c r="A161" s="503">
        <v>15</v>
      </c>
      <c r="B161" s="503" t="str">
        <f>[90]Source!E1199</f>
        <v>180,1</v>
      </c>
      <c r="C161" s="504" t="str">
        <f>[90]Source!F1199</f>
        <v>1.19-3-12</v>
      </c>
      <c r="D161" s="504" t="s">
        <v>84</v>
      </c>
      <c r="E161" s="505" t="str">
        <f>[90]Source!H1199</f>
        <v>м2</v>
      </c>
      <c r="F161" s="485">
        <f>[90]Source!I1199</f>
        <v>17.05</v>
      </c>
      <c r="G161" s="506">
        <f>[90]Source!AK1199</f>
        <v>125.64</v>
      </c>
      <c r="H161" s="524" t="s">
        <v>74</v>
      </c>
      <c r="I161" s="485">
        <f>[90]Source!AW1199</f>
        <v>1</v>
      </c>
      <c r="J161" s="508">
        <f>ROUND((ROUND(([90]Source!AC1199*[90]Source!AW1199*[90]Source!I1199),2)),2)+(ROUND((ROUND((([90]Source!ET1199)*[90]Source!AV1199*[90]Source!I1199),2)),2)+ROUND((ROUND((([90]Source!AE1199-([90]Source!EU1199))*[90]Source!AV1199*[90]Source!I1199),2)),2))+ROUND((ROUND(([90]Source!AF1199*[90]Source!AV1199*[90]Source!I1199),2)),2)</f>
        <v>2142.16</v>
      </c>
      <c r="K161" s="485">
        <f>IF([90]Source!BC1199&lt;&gt; 0, [90]Source!BC1199, 1)</f>
        <v>3.84</v>
      </c>
      <c r="L161" s="508">
        <f>[90]Source!O1199</f>
        <v>8225.89</v>
      </c>
      <c r="Q161" s="482">
        <f>ROUND(([90]Source!DN1199/100)*ROUND((ROUND(([90]Source!AF1199*[90]Source!AV1199*[90]Source!I1199),2)),2), 2)</f>
        <v>0</v>
      </c>
      <c r="R161" s="482">
        <f>[90]Source!X1199</f>
        <v>0</v>
      </c>
      <c r="S161" s="482">
        <f>ROUND(([90]Source!DO1199/100)*ROUND((ROUND(([90]Source!AF1199*[90]Source!AV1199*[90]Source!I1199),2)),2), 2)</f>
        <v>0</v>
      </c>
      <c r="T161" s="482">
        <f>[90]Source!Y1199</f>
        <v>0</v>
      </c>
      <c r="U161" s="482">
        <f>ROUND((175/100)*ROUND((ROUND(([90]Source!AE1199*[90]Source!AV1199*[90]Source!I1199),2)),2), 2)</f>
        <v>0</v>
      </c>
      <c r="V161" s="482">
        <f>ROUND((157/100)*ROUND(ROUND((ROUND(([90]Source!AE1199*[90]Source!AV1199*[90]Source!I1199),2)*[90]Source!BS1199),2), 2), 2)</f>
        <v>0</v>
      </c>
      <c r="X161" s="482">
        <f>IF([90]Source!BI1199&lt;=1,J161, 0)</f>
        <v>2142.16</v>
      </c>
      <c r="Y161" s="482">
        <f>IF([90]Source!BI1199=2,J161, 0)</f>
        <v>0</v>
      </c>
      <c r="Z161" s="482">
        <f>IF([90]Source!BI1199=3,J161, 0)</f>
        <v>0</v>
      </c>
      <c r="AA161" s="482">
        <f>IF([90]Source!BI1199=4,J161, 0)</f>
        <v>0</v>
      </c>
    </row>
    <row r="162" spans="1:27" ht="14.25" x14ac:dyDescent="0.2">
      <c r="A162" s="503"/>
      <c r="B162" s="503"/>
      <c r="C162" s="504"/>
      <c r="D162" s="504" t="s">
        <v>56</v>
      </c>
      <c r="E162" s="505" t="s">
        <v>57</v>
      </c>
      <c r="F162" s="485">
        <f>[90]Source!DN1197</f>
        <v>125</v>
      </c>
      <c r="G162" s="506"/>
      <c r="H162" s="507"/>
      <c r="I162" s="485"/>
      <c r="J162" s="508">
        <f>SUM(Q155:Q161)</f>
        <v>606.15</v>
      </c>
      <c r="K162" s="485">
        <f>[90]Source!BZ1197</f>
        <v>100</v>
      </c>
      <c r="L162" s="508">
        <f>SUM(R155:R161)</f>
        <v>11749.61</v>
      </c>
    </row>
    <row r="163" spans="1:27" ht="14.25" x14ac:dyDescent="0.2">
      <c r="A163" s="503"/>
      <c r="B163" s="503"/>
      <c r="C163" s="504"/>
      <c r="D163" s="504" t="s">
        <v>58</v>
      </c>
      <c r="E163" s="505" t="s">
        <v>57</v>
      </c>
      <c r="F163" s="485">
        <f>[90]Source!DO1197</f>
        <v>94</v>
      </c>
      <c r="G163" s="506"/>
      <c r="H163" s="507"/>
      <c r="I163" s="485"/>
      <c r="J163" s="508">
        <f>SUM(S155:S162)</f>
        <v>455.82</v>
      </c>
      <c r="K163" s="485">
        <f>[90]Source!CA1197</f>
        <v>45</v>
      </c>
      <c r="L163" s="508">
        <f>SUM(T155:T162)</f>
        <v>5287.32</v>
      </c>
    </row>
    <row r="164" spans="1:27" ht="14.25" x14ac:dyDescent="0.2">
      <c r="A164" s="503"/>
      <c r="B164" s="503"/>
      <c r="C164" s="504"/>
      <c r="D164" s="504" t="s">
        <v>59</v>
      </c>
      <c r="E164" s="505" t="s">
        <v>57</v>
      </c>
      <c r="F164" s="485">
        <f>175</f>
        <v>175</v>
      </c>
      <c r="G164" s="506"/>
      <c r="H164" s="507"/>
      <c r="I164" s="485"/>
      <c r="J164" s="508">
        <f>SUM(U155:U163)-J170</f>
        <v>4.92</v>
      </c>
      <c r="K164" s="485">
        <f>157</f>
        <v>157</v>
      </c>
      <c r="L164" s="508">
        <f>SUM(V155:V163)-L170</f>
        <v>106.87</v>
      </c>
    </row>
    <row r="165" spans="1:27" ht="14.25" x14ac:dyDescent="0.2">
      <c r="A165" s="503"/>
      <c r="B165" s="503"/>
      <c r="C165" s="504"/>
      <c r="D165" s="504" t="s">
        <v>60</v>
      </c>
      <c r="E165" s="505" t="s">
        <v>61</v>
      </c>
      <c r="F165" s="485">
        <f>[90]Source!AQ1197</f>
        <v>141</v>
      </c>
      <c r="G165" s="506"/>
      <c r="H165" s="507">
        <f>[90]Source!DI1197</f>
        <v>0</v>
      </c>
      <c r="I165" s="485">
        <f>[90]Source!AV1197</f>
        <v>1.0669999999999999</v>
      </c>
      <c r="J165" s="508">
        <f>[90]Source!U1197</f>
        <v>25.65</v>
      </c>
      <c r="K165" s="485"/>
      <c r="L165" s="508"/>
    </row>
    <row r="166" spans="1:27" ht="15" x14ac:dyDescent="0.25">
      <c r="I166" s="745">
        <f>J157+J158+J160+J162+J163+J164+SUM(J161:J161)</f>
        <v>3801.99</v>
      </c>
      <c r="J166" s="745"/>
      <c r="K166" s="745">
        <f>L157+L158+L160+L162+L163+L164+SUM(L161:L161)</f>
        <v>37626.730000000003</v>
      </c>
      <c r="L166" s="745"/>
      <c r="O166" s="510">
        <f>J157+J158+J160+J162+J163+J164+SUM(J161:J161)</f>
        <v>3801.99</v>
      </c>
      <c r="P166" s="510">
        <f>L157+L158+L160+L162+L163+L164+SUM(L161:L161)</f>
        <v>37626.730000000003</v>
      </c>
      <c r="X166" s="482">
        <f>IF([90]Source!BI1197&lt;=1,J157+J158+J160+J162+J163+J164-0, 0)</f>
        <v>1659.83</v>
      </c>
      <c r="Y166" s="482">
        <f>IF([90]Source!BI1197=2,J157+J158+J160+J162+J163+J164-0, 0)</f>
        <v>0</v>
      </c>
      <c r="Z166" s="482">
        <f>IF([90]Source!BI1197=3,J157+J158+J160+J162+J163+J164-0, 0)</f>
        <v>0</v>
      </c>
      <c r="AA166" s="482">
        <f>IF([90]Source!BI1197=4,J157+J158+J160+J162+J163+J164,0)</f>
        <v>0</v>
      </c>
    </row>
    <row r="167" spans="1:27" ht="28.5" x14ac:dyDescent="0.2">
      <c r="A167" s="511"/>
      <c r="B167" s="511"/>
      <c r="C167" s="512"/>
      <c r="D167" s="512" t="s">
        <v>62</v>
      </c>
      <c r="E167" s="505"/>
      <c r="F167" s="513"/>
      <c r="G167" s="514"/>
      <c r="H167" s="505"/>
      <c r="I167" s="513"/>
      <c r="J167" s="509"/>
      <c r="K167" s="513"/>
      <c r="L167" s="509"/>
    </row>
    <row r="168" spans="1:27" ht="14.25" x14ac:dyDescent="0.2">
      <c r="A168" s="511"/>
      <c r="B168" s="511"/>
      <c r="C168" s="512"/>
      <c r="D168" s="512" t="s">
        <v>53</v>
      </c>
      <c r="E168" s="505"/>
      <c r="F168" s="513"/>
      <c r="G168" s="514">
        <f t="shared" ref="G168:L168" si="5">G169</f>
        <v>15.43</v>
      </c>
      <c r="H168" s="515" t="str">
        <f t="shared" si="5"/>
        <v>)*(1.67-1)</v>
      </c>
      <c r="I168" s="513">
        <f t="shared" si="5"/>
        <v>1.0669999999999999</v>
      </c>
      <c r="J168" s="509">
        <f t="shared" si="5"/>
        <v>1.88</v>
      </c>
      <c r="K168" s="513">
        <f t="shared" si="5"/>
        <v>24.23</v>
      </c>
      <c r="L168" s="509">
        <f t="shared" si="5"/>
        <v>45.57</v>
      </c>
    </row>
    <row r="169" spans="1:27" ht="14.25" x14ac:dyDescent="0.2">
      <c r="A169" s="511"/>
      <c r="B169" s="511"/>
      <c r="C169" s="512"/>
      <c r="D169" s="512" t="s">
        <v>54</v>
      </c>
      <c r="E169" s="505"/>
      <c r="F169" s="513"/>
      <c r="G169" s="514">
        <f>[90]Source!AN1197</f>
        <v>15.43</v>
      </c>
      <c r="H169" s="515" t="s">
        <v>63</v>
      </c>
      <c r="I169" s="513">
        <f>[90]Source!AV1197</f>
        <v>1.0669999999999999</v>
      </c>
      <c r="J169" s="509">
        <f>ROUND(F155*G169*I169*(1.67-1), 2)</f>
        <v>1.88</v>
      </c>
      <c r="K169" s="513">
        <f>IF([90]Source!BS1197&lt;&gt; 0, [90]Source!BS1197, 1)</f>
        <v>24.23</v>
      </c>
      <c r="L169" s="509">
        <f>ROUND(F155*G169*I169*(1.67-1)*K169, 2)</f>
        <v>45.57</v>
      </c>
      <c r="W169" s="482">
        <f>J169</f>
        <v>1.88</v>
      </c>
    </row>
    <row r="170" spans="1:27" ht="14.25" x14ac:dyDescent="0.2">
      <c r="A170" s="511"/>
      <c r="B170" s="511"/>
      <c r="C170" s="512"/>
      <c r="D170" s="512" t="s">
        <v>59</v>
      </c>
      <c r="E170" s="505" t="s">
        <v>57</v>
      </c>
      <c r="F170" s="513">
        <f>175</f>
        <v>175</v>
      </c>
      <c r="G170" s="514"/>
      <c r="H170" s="505"/>
      <c r="I170" s="513"/>
      <c r="J170" s="509">
        <f>ROUND(J169*(F170/100), 2)</f>
        <v>3.29</v>
      </c>
      <c r="K170" s="513">
        <f>157</f>
        <v>157</v>
      </c>
      <c r="L170" s="509">
        <f>ROUND(L169*(K170/100), 2)</f>
        <v>71.540000000000006</v>
      </c>
    </row>
    <row r="171" spans="1:27" ht="15" x14ac:dyDescent="0.25">
      <c r="I171" s="745">
        <f>J170+J169</f>
        <v>5.17</v>
      </c>
      <c r="J171" s="745"/>
      <c r="K171" s="745">
        <f>L170+L169</f>
        <v>117.11</v>
      </c>
      <c r="L171" s="745"/>
      <c r="O171" s="510">
        <f>I171</f>
        <v>5.17</v>
      </c>
      <c r="P171" s="510">
        <f>K171</f>
        <v>117.11</v>
      </c>
      <c r="X171" s="482">
        <f>IF([90]Source!BI1197&lt;=1,I171, 0)</f>
        <v>5.17</v>
      </c>
      <c r="Y171" s="482">
        <f>IF([90]Source!BI1197=2,I171, 0)</f>
        <v>0</v>
      </c>
      <c r="Z171" s="482">
        <f>IF([90]Source!BI1197=3,I171, 0)</f>
        <v>0</v>
      </c>
      <c r="AA171" s="482">
        <f>IF([90]Source!BI1197=4,I171, 0)</f>
        <v>0</v>
      </c>
    </row>
    <row r="173" spans="1:27" ht="15" x14ac:dyDescent="0.25">
      <c r="A173" s="516"/>
      <c r="B173" s="516"/>
      <c r="C173" s="517"/>
      <c r="D173" s="517" t="s">
        <v>64</v>
      </c>
      <c r="E173" s="518"/>
      <c r="F173" s="519"/>
      <c r="G173" s="520"/>
      <c r="H173" s="521"/>
      <c r="I173" s="745">
        <f>I166+I171</f>
        <v>3807.16</v>
      </c>
      <c r="J173" s="745"/>
      <c r="K173" s="745">
        <f>K166+K171</f>
        <v>37743.839999999997</v>
      </c>
      <c r="L173" s="745"/>
    </row>
    <row r="174" spans="1:27" ht="78" customHeight="1" x14ac:dyDescent="0.2">
      <c r="A174" s="503">
        <v>16</v>
      </c>
      <c r="B174" s="503" t="str">
        <f>[90]Source!E1233</f>
        <v>189</v>
      </c>
      <c r="C174" s="504" t="s">
        <v>328</v>
      </c>
      <c r="D174" s="504" t="s">
        <v>87</v>
      </c>
      <c r="E174" s="505" t="str">
        <f>[90]Source!H1233</f>
        <v>100 м2 поверхности воздуховодов</v>
      </c>
      <c r="F174" s="485">
        <f>[90]Source!I1233</f>
        <v>9.6100000000000005E-2</v>
      </c>
      <c r="G174" s="506"/>
      <c r="H174" s="507"/>
      <c r="I174" s="485"/>
      <c r="J174" s="508"/>
      <c r="K174" s="485"/>
      <c r="L174" s="508"/>
      <c r="Q174" s="482">
        <f>ROUND(([90]Source!DN1233/100)*ROUND((ROUND(([90]Source!AF1233*[90]Source!AV1233*[90]Source!I1233),2)),2), 2)</f>
        <v>222.44</v>
      </c>
      <c r="R174" s="482">
        <f>[90]Source!X1233</f>
        <v>4311.7299999999996</v>
      </c>
      <c r="S174" s="482">
        <f>ROUND(([90]Source!DO1233/100)*ROUND((ROUND(([90]Source!AF1233*[90]Source!AV1233*[90]Source!I1233),2)),2), 2)</f>
        <v>167.27</v>
      </c>
      <c r="T174" s="482">
        <f>[90]Source!Y1233</f>
        <v>1940.28</v>
      </c>
      <c r="U174" s="482">
        <f>ROUND((175/100)*ROUND((ROUND(([90]Source!AE1233*[90]Source!AV1233*[90]Source!I1233),2)),2), 2)</f>
        <v>3.2</v>
      </c>
      <c r="V174" s="482">
        <f>ROUND((157/100)*ROUND(ROUND((ROUND(([90]Source!AE1233*[90]Source!AV1233*[90]Source!I1233),2)*[90]Source!BS1233),2), 2), 2)</f>
        <v>69.61</v>
      </c>
    </row>
    <row r="175" spans="1:27" x14ac:dyDescent="0.2">
      <c r="D175" s="523" t="str">
        <f>"Объем: "&amp;[90]Source!I1233&amp;"=(8+"&amp;"1,61)/"&amp;"100"</f>
        <v>Объем: 0,0961=(8+1,61)/100</v>
      </c>
    </row>
    <row r="176" spans="1:27" ht="14.25" x14ac:dyDescent="0.2">
      <c r="A176" s="503"/>
      <c r="B176" s="503"/>
      <c r="C176" s="504"/>
      <c r="D176" s="504" t="s">
        <v>52</v>
      </c>
      <c r="E176" s="505"/>
      <c r="F176" s="485"/>
      <c r="G176" s="506">
        <f>[90]Source!AO1233</f>
        <v>1039.18</v>
      </c>
      <c r="H176" s="507" t="str">
        <f>[90]Source!DG1233</f>
        <v>)*1,67</v>
      </c>
      <c r="I176" s="485">
        <f>[90]Source!AV1233</f>
        <v>1.0669999999999999</v>
      </c>
      <c r="J176" s="508">
        <f>ROUND((ROUND(([90]Source!AF1233*[90]Source!AV1233*[90]Source!I1233),2)),2)</f>
        <v>177.95</v>
      </c>
      <c r="K176" s="485">
        <f>IF([90]Source!BA1233&lt;&gt; 0, [90]Source!BA1233, 1)</f>
        <v>24.23</v>
      </c>
      <c r="L176" s="508">
        <f>[90]Source!S1233</f>
        <v>4311.7299999999996</v>
      </c>
      <c r="W176" s="482">
        <f>J176</f>
        <v>177.95</v>
      </c>
    </row>
    <row r="177" spans="1:27" ht="14.25" x14ac:dyDescent="0.2">
      <c r="A177" s="503"/>
      <c r="B177" s="503"/>
      <c r="C177" s="504"/>
      <c r="D177" s="504" t="s">
        <v>53</v>
      </c>
      <c r="E177" s="505"/>
      <c r="F177" s="485"/>
      <c r="G177" s="506">
        <f>[90]Source!AM1233</f>
        <v>87.46</v>
      </c>
      <c r="H177" s="507">
        <f>[90]Source!DE1233</f>
        <v>0</v>
      </c>
      <c r="I177" s="485">
        <f>[90]Source!AV1233</f>
        <v>1.0669999999999999</v>
      </c>
      <c r="J177" s="508">
        <f>(ROUND((ROUND((([90]Source!ET1233)*[90]Source!AV1233*[90]Source!I1233),2)),2)+ROUND((ROUND((([90]Source!AE1233-([90]Source!EU1233))*[90]Source!AV1233*[90]Source!I1233),2)),2))-J187</f>
        <v>8.9700000000000006</v>
      </c>
      <c r="K177" s="485">
        <f>IF([90]Source!BB1233&lt;&gt; 0, [90]Source!BB1233, 1)</f>
        <v>8.6</v>
      </c>
      <c r="L177" s="508">
        <f>[90]Source!Q1233-L187</f>
        <v>77.040000000000006</v>
      </c>
    </row>
    <row r="178" spans="1:27" ht="14.25" x14ac:dyDescent="0.2">
      <c r="A178" s="503"/>
      <c r="B178" s="503"/>
      <c r="C178" s="504"/>
      <c r="D178" s="504" t="s">
        <v>54</v>
      </c>
      <c r="E178" s="505"/>
      <c r="F178" s="485"/>
      <c r="G178" s="506">
        <f>[90]Source!AN1233</f>
        <v>10.69</v>
      </c>
      <c r="H178" s="507">
        <f>[90]Source!DE1233</f>
        <v>0</v>
      </c>
      <c r="I178" s="485">
        <f>[90]Source!AV1233</f>
        <v>1.0669999999999999</v>
      </c>
      <c r="J178" s="509">
        <f>ROUND((ROUND(([90]Source!AE1233*[90]Source!AV1233*[90]Source!I1233),2)),2)-J188</f>
        <v>1.1000000000000001</v>
      </c>
      <c r="K178" s="485">
        <f>IF([90]Source!BS1233&lt;&gt; 0, [90]Source!BS1233, 1)</f>
        <v>24.23</v>
      </c>
      <c r="L178" s="509">
        <f>[90]Source!R1233-L188</f>
        <v>26.55</v>
      </c>
      <c r="W178" s="482">
        <f>J178</f>
        <v>1.1000000000000001</v>
      </c>
    </row>
    <row r="179" spans="1:27" ht="14.25" x14ac:dyDescent="0.2">
      <c r="A179" s="503"/>
      <c r="B179" s="503"/>
      <c r="C179" s="504"/>
      <c r="D179" s="504" t="s">
        <v>55</v>
      </c>
      <c r="E179" s="505"/>
      <c r="F179" s="485"/>
      <c r="G179" s="506">
        <f>[90]Source!AL1233</f>
        <v>409.71</v>
      </c>
      <c r="H179" s="507">
        <f>[90]Source!DD1233</f>
        <v>0</v>
      </c>
      <c r="I179" s="485">
        <f>[90]Source!AW1233</f>
        <v>1</v>
      </c>
      <c r="J179" s="508">
        <f>ROUND((ROUND(([90]Source!AC1233*[90]Source!AW1233*[90]Source!I1233),2)),2)</f>
        <v>39.369999999999997</v>
      </c>
      <c r="K179" s="485">
        <f>IF([90]Source!BC1233&lt;&gt; 0, [90]Source!BC1233, 1)</f>
        <v>3.31</v>
      </c>
      <c r="L179" s="508">
        <f>[90]Source!P1233</f>
        <v>130.31</v>
      </c>
    </row>
    <row r="180" spans="1:27" ht="42.75" x14ac:dyDescent="0.2">
      <c r="A180" s="503">
        <v>17</v>
      </c>
      <c r="B180" s="503" t="str">
        <f>[90]Source!E1235</f>
        <v>189,1</v>
      </c>
      <c r="C180" s="504" t="str">
        <f>[90]Source!F1235</f>
        <v>1.19-3-13</v>
      </c>
      <c r="D180" s="504" t="s">
        <v>79</v>
      </c>
      <c r="E180" s="505" t="str">
        <f>[90]Source!H1235</f>
        <v>м2</v>
      </c>
      <c r="F180" s="485">
        <f>[90]Source!I1235</f>
        <v>9.61</v>
      </c>
      <c r="G180" s="506">
        <f>[90]Source!AK1235</f>
        <v>157.54</v>
      </c>
      <c r="H180" s="524" t="s">
        <v>74</v>
      </c>
      <c r="I180" s="485">
        <f>[90]Source!AW1235</f>
        <v>1</v>
      </c>
      <c r="J180" s="508">
        <f>ROUND((ROUND(([90]Source!AC1235*[90]Source!AW1235*[90]Source!I1235),2)),2)+(ROUND((ROUND((([90]Source!ET1235)*[90]Source!AV1235*[90]Source!I1235),2)),2)+ROUND((ROUND((([90]Source!AE1235-([90]Source!EU1235))*[90]Source!AV1235*[90]Source!I1235),2)),2))+ROUND((ROUND(([90]Source!AF1235*[90]Source!AV1235*[90]Source!I1235),2)),2)</f>
        <v>1513.96</v>
      </c>
      <c r="K180" s="485">
        <f>IF([90]Source!BC1235&lt;&gt; 0, [90]Source!BC1235, 1)</f>
        <v>3.07</v>
      </c>
      <c r="L180" s="508">
        <f>[90]Source!O1235</f>
        <v>4647.8599999999997</v>
      </c>
      <c r="Q180" s="482">
        <f>ROUND(([90]Source!DN1235/100)*ROUND((ROUND(([90]Source!AF1235*[90]Source!AV1235*[90]Source!I1235),2)),2), 2)</f>
        <v>0</v>
      </c>
      <c r="R180" s="482">
        <f>[90]Source!X1235</f>
        <v>0</v>
      </c>
      <c r="S180" s="482">
        <f>ROUND(([90]Source!DO1235/100)*ROUND((ROUND(([90]Source!AF1235*[90]Source!AV1235*[90]Source!I1235),2)),2), 2)</f>
        <v>0</v>
      </c>
      <c r="T180" s="482">
        <f>[90]Source!Y1235</f>
        <v>0</v>
      </c>
      <c r="U180" s="482">
        <f>ROUND((175/100)*ROUND((ROUND(([90]Source!AE1235*[90]Source!AV1235*[90]Source!I1235),2)),2), 2)</f>
        <v>0</v>
      </c>
      <c r="V180" s="482">
        <f>ROUND((157/100)*ROUND(ROUND((ROUND(([90]Source!AE1235*[90]Source!AV1235*[90]Source!I1235),2)*[90]Source!BS1235),2), 2), 2)</f>
        <v>0</v>
      </c>
      <c r="X180" s="482">
        <f>IF([90]Source!BI1235&lt;=1,J180, 0)</f>
        <v>1513.96</v>
      </c>
      <c r="Y180" s="482">
        <f>IF([90]Source!BI1235=2,J180, 0)</f>
        <v>0</v>
      </c>
      <c r="Z180" s="482">
        <f>IF([90]Source!BI1235=3,J180, 0)</f>
        <v>0</v>
      </c>
      <c r="AA180" s="482">
        <f>IF([90]Source!BI1235=4,J180, 0)</f>
        <v>0</v>
      </c>
    </row>
    <row r="181" spans="1:27" ht="14.25" x14ac:dyDescent="0.2">
      <c r="A181" s="503"/>
      <c r="B181" s="503"/>
      <c r="C181" s="504"/>
      <c r="D181" s="504" t="s">
        <v>56</v>
      </c>
      <c r="E181" s="505" t="s">
        <v>57</v>
      </c>
      <c r="F181" s="485">
        <f>[90]Source!DN1233</f>
        <v>125</v>
      </c>
      <c r="G181" s="506"/>
      <c r="H181" s="507"/>
      <c r="I181" s="485"/>
      <c r="J181" s="508">
        <f>SUM(Q174:Q180)</f>
        <v>222.44</v>
      </c>
      <c r="K181" s="485">
        <f>[90]Source!BZ1233</f>
        <v>100</v>
      </c>
      <c r="L181" s="508">
        <f>SUM(R174:R180)</f>
        <v>4311.7299999999996</v>
      </c>
    </row>
    <row r="182" spans="1:27" ht="14.25" x14ac:dyDescent="0.2">
      <c r="A182" s="503"/>
      <c r="B182" s="503"/>
      <c r="C182" s="504"/>
      <c r="D182" s="504" t="s">
        <v>58</v>
      </c>
      <c r="E182" s="505" t="s">
        <v>57</v>
      </c>
      <c r="F182" s="485">
        <f>[90]Source!DO1233</f>
        <v>94</v>
      </c>
      <c r="G182" s="506"/>
      <c r="H182" s="507"/>
      <c r="I182" s="485"/>
      <c r="J182" s="508">
        <f>SUM(S174:S181)</f>
        <v>167.27</v>
      </c>
      <c r="K182" s="485">
        <f>[90]Source!CA1233</f>
        <v>45</v>
      </c>
      <c r="L182" s="508">
        <f>SUM(T174:T181)</f>
        <v>1940.28</v>
      </c>
    </row>
    <row r="183" spans="1:27" ht="14.25" x14ac:dyDescent="0.2">
      <c r="A183" s="503"/>
      <c r="B183" s="503"/>
      <c r="C183" s="504"/>
      <c r="D183" s="504" t="s">
        <v>59</v>
      </c>
      <c r="E183" s="505" t="s">
        <v>57</v>
      </c>
      <c r="F183" s="485">
        <f>175</f>
        <v>175</v>
      </c>
      <c r="G183" s="506"/>
      <c r="H183" s="507"/>
      <c r="I183" s="485"/>
      <c r="J183" s="508">
        <f>SUM(U174:U182)-J189</f>
        <v>1.92</v>
      </c>
      <c r="K183" s="485">
        <f>157</f>
        <v>157</v>
      </c>
      <c r="L183" s="508">
        <f>SUM(V174:V182)-L189</f>
        <v>41.68</v>
      </c>
    </row>
    <row r="184" spans="1:27" ht="14.25" x14ac:dyDescent="0.2">
      <c r="A184" s="503"/>
      <c r="B184" s="503"/>
      <c r="C184" s="504"/>
      <c r="D184" s="504" t="s">
        <v>60</v>
      </c>
      <c r="E184" s="505" t="s">
        <v>61</v>
      </c>
      <c r="F184" s="485">
        <f>[90]Source!AQ1233</f>
        <v>91.8</v>
      </c>
      <c r="G184" s="506"/>
      <c r="H184" s="507">
        <f>[90]Source!DI1233</f>
        <v>0</v>
      </c>
      <c r="I184" s="485">
        <f>[90]Source!AV1233</f>
        <v>1.0669999999999999</v>
      </c>
      <c r="J184" s="508">
        <f>[90]Source!U1233</f>
        <v>9.41</v>
      </c>
      <c r="K184" s="485"/>
      <c r="L184" s="508"/>
    </row>
    <row r="185" spans="1:27" ht="15" x14ac:dyDescent="0.25">
      <c r="I185" s="745">
        <f>J176+J177+J179+J181+J182+J183+SUM(J180:J180)</f>
        <v>2131.88</v>
      </c>
      <c r="J185" s="745"/>
      <c r="K185" s="745">
        <f>L176+L177+L179+L181+L182+L183+SUM(L180:L180)</f>
        <v>15460.63</v>
      </c>
      <c r="L185" s="745"/>
      <c r="O185" s="510">
        <f>J176+J177+J179+J181+J182+J183+SUM(J180:J180)</f>
        <v>2131.88</v>
      </c>
      <c r="P185" s="510">
        <f>L176+L177+L179+L181+L182+L183+SUM(L180:L180)</f>
        <v>15460.63</v>
      </c>
      <c r="X185" s="482">
        <f>IF([90]Source!BI1233&lt;=1,J176+J177+J179+J181+J182+J183-0, 0)</f>
        <v>617.91999999999996</v>
      </c>
      <c r="Y185" s="482">
        <f>IF([90]Source!BI1233=2,J176+J177+J179+J181+J182+J183-0, 0)</f>
        <v>0</v>
      </c>
      <c r="Z185" s="482">
        <f>IF([90]Source!BI1233=3,J176+J177+J179+J181+J182+J183-0, 0)</f>
        <v>0</v>
      </c>
      <c r="AA185" s="482">
        <f>IF([90]Source!BI1233=4,J176+J177+J179+J181+J182+J183,0)</f>
        <v>0</v>
      </c>
    </row>
    <row r="186" spans="1:27" ht="28.5" x14ac:dyDescent="0.2">
      <c r="A186" s="511"/>
      <c r="B186" s="511"/>
      <c r="C186" s="512"/>
      <c r="D186" s="512" t="s">
        <v>62</v>
      </c>
      <c r="E186" s="505"/>
      <c r="F186" s="513"/>
      <c r="G186" s="514"/>
      <c r="H186" s="505"/>
      <c r="I186" s="513"/>
      <c r="J186" s="509"/>
      <c r="K186" s="513"/>
      <c r="L186" s="509"/>
    </row>
    <row r="187" spans="1:27" ht="14.25" x14ac:dyDescent="0.2">
      <c r="A187" s="511"/>
      <c r="B187" s="511"/>
      <c r="C187" s="512"/>
      <c r="D187" s="512" t="s">
        <v>53</v>
      </c>
      <c r="E187" s="505"/>
      <c r="F187" s="513"/>
      <c r="G187" s="514">
        <f t="shared" ref="G187:L187" si="6">G188</f>
        <v>10.69</v>
      </c>
      <c r="H187" s="515" t="str">
        <f t="shared" si="6"/>
        <v>)*(1.67-1)</v>
      </c>
      <c r="I187" s="513">
        <f t="shared" si="6"/>
        <v>1.0669999999999999</v>
      </c>
      <c r="J187" s="509">
        <f t="shared" si="6"/>
        <v>0.73</v>
      </c>
      <c r="K187" s="513">
        <f t="shared" si="6"/>
        <v>24.23</v>
      </c>
      <c r="L187" s="509">
        <f t="shared" si="6"/>
        <v>17.79</v>
      </c>
    </row>
    <row r="188" spans="1:27" ht="14.25" x14ac:dyDescent="0.2">
      <c r="A188" s="511"/>
      <c r="B188" s="511"/>
      <c r="C188" s="512"/>
      <c r="D188" s="512" t="s">
        <v>54</v>
      </c>
      <c r="E188" s="505"/>
      <c r="F188" s="513"/>
      <c r="G188" s="514">
        <f>[90]Source!AN1233</f>
        <v>10.69</v>
      </c>
      <c r="H188" s="515" t="s">
        <v>63</v>
      </c>
      <c r="I188" s="513">
        <f>[90]Source!AV1233</f>
        <v>1.0669999999999999</v>
      </c>
      <c r="J188" s="509">
        <f>ROUND(F174*G188*I188*(1.67-1), 2)</f>
        <v>0.73</v>
      </c>
      <c r="K188" s="513">
        <f>IF([90]Source!BS1233&lt;&gt; 0, [90]Source!BS1233, 1)</f>
        <v>24.23</v>
      </c>
      <c r="L188" s="509">
        <f>ROUND(F174*G188*I188*(1.67-1)*K188, 2)</f>
        <v>17.79</v>
      </c>
      <c r="W188" s="482">
        <f>J188</f>
        <v>0.73</v>
      </c>
    </row>
    <row r="189" spans="1:27" ht="14.25" x14ac:dyDescent="0.2">
      <c r="A189" s="511"/>
      <c r="B189" s="511"/>
      <c r="C189" s="512"/>
      <c r="D189" s="512" t="s">
        <v>59</v>
      </c>
      <c r="E189" s="505" t="s">
        <v>57</v>
      </c>
      <c r="F189" s="513">
        <f>175</f>
        <v>175</v>
      </c>
      <c r="G189" s="514"/>
      <c r="H189" s="505"/>
      <c r="I189" s="513"/>
      <c r="J189" s="509">
        <f>ROUND(J188*(F189/100), 2)</f>
        <v>1.28</v>
      </c>
      <c r="K189" s="513">
        <f>157</f>
        <v>157</v>
      </c>
      <c r="L189" s="509">
        <f>ROUND(L188*(K189/100), 2)</f>
        <v>27.93</v>
      </c>
    </row>
    <row r="190" spans="1:27" ht="15" x14ac:dyDescent="0.25">
      <c r="I190" s="745">
        <f>J189+J188</f>
        <v>2.0099999999999998</v>
      </c>
      <c r="J190" s="745"/>
      <c r="K190" s="745">
        <f>L189+L188</f>
        <v>45.72</v>
      </c>
      <c r="L190" s="745"/>
      <c r="O190" s="510">
        <f>I190</f>
        <v>2.0099999999999998</v>
      </c>
      <c r="P190" s="510">
        <f>K190</f>
        <v>45.72</v>
      </c>
      <c r="X190" s="482">
        <f>IF([90]Source!BI1233&lt;=1,I190, 0)</f>
        <v>2.0099999999999998</v>
      </c>
      <c r="Y190" s="482">
        <f>IF([90]Source!BI1233=2,I190, 0)</f>
        <v>0</v>
      </c>
      <c r="Z190" s="482">
        <f>IF([90]Source!BI1233=3,I190, 0)</f>
        <v>0</v>
      </c>
      <c r="AA190" s="482">
        <f>IF([90]Source!BI1233=4,I190, 0)</f>
        <v>0</v>
      </c>
    </row>
    <row r="192" spans="1:27" ht="15" x14ac:dyDescent="0.25">
      <c r="A192" s="516"/>
      <c r="B192" s="516"/>
      <c r="C192" s="517"/>
      <c r="D192" s="517" t="s">
        <v>64</v>
      </c>
      <c r="E192" s="518"/>
      <c r="F192" s="519"/>
      <c r="G192" s="520"/>
      <c r="H192" s="521"/>
      <c r="I192" s="745">
        <f>I185+I190</f>
        <v>2133.89</v>
      </c>
      <c r="J192" s="745"/>
      <c r="K192" s="745">
        <f>K185+K190</f>
        <v>15506.35</v>
      </c>
      <c r="L192" s="745"/>
    </row>
    <row r="193" spans="1:27" ht="71.25" x14ac:dyDescent="0.2">
      <c r="A193" s="503">
        <v>18</v>
      </c>
      <c r="B193" s="503" t="str">
        <f>[90]Source!E1245</f>
        <v>192</v>
      </c>
      <c r="C193" s="504" t="s">
        <v>77</v>
      </c>
      <c r="D193" s="504" t="s">
        <v>78</v>
      </c>
      <c r="E193" s="505" t="str">
        <f>[90]Source!H1245</f>
        <v>100 м2 поверхности воздуховодов</v>
      </c>
      <c r="F193" s="485">
        <f>[90]Source!I1245</f>
        <v>4.3999999999999997E-2</v>
      </c>
      <c r="G193" s="506"/>
      <c r="H193" s="507"/>
      <c r="I193" s="485"/>
      <c r="J193" s="508"/>
      <c r="K193" s="485"/>
      <c r="L193" s="508"/>
      <c r="Q193" s="482">
        <f>ROUND(([90]Source!DN1245/100)*ROUND((ROUND(([90]Source!AF1245*[90]Source!AV1245*[90]Source!I1245),2)),2), 2)</f>
        <v>70.150000000000006</v>
      </c>
      <c r="R193" s="482">
        <f>[90]Source!X1245</f>
        <v>1359.79</v>
      </c>
      <c r="S193" s="482">
        <f>ROUND(([90]Source!DO1245/100)*ROUND((ROUND(([90]Source!AF1245*[90]Source!AV1245*[90]Source!I1245),2)),2), 2)</f>
        <v>52.75</v>
      </c>
      <c r="T193" s="482">
        <f>[90]Source!Y1245</f>
        <v>611.91</v>
      </c>
      <c r="U193" s="482">
        <f>ROUND((175/100)*ROUND((ROUND(([90]Source!AE1245*[90]Source!AV1245*[90]Source!I1245),2)),2), 2)</f>
        <v>1.52</v>
      </c>
      <c r="V193" s="482">
        <f>ROUND((157/100)*ROUND(ROUND((ROUND(([90]Source!AE1245*[90]Source!AV1245*[90]Source!I1245),2)*[90]Source!BS1245),2), 2), 2)</f>
        <v>33.1</v>
      </c>
    </row>
    <row r="194" spans="1:27" x14ac:dyDescent="0.2">
      <c r="D194" s="523" t="str">
        <f>"Объем: "&amp;[90]Source!I1245&amp;"=(4,4)/"&amp;"100"</f>
        <v>Объем: 0,044=(4,4)/100</v>
      </c>
    </row>
    <row r="195" spans="1:27" ht="14.25" x14ac:dyDescent="0.2">
      <c r="A195" s="503"/>
      <c r="B195" s="503"/>
      <c r="C195" s="504"/>
      <c r="D195" s="504" t="s">
        <v>52</v>
      </c>
      <c r="E195" s="505"/>
      <c r="F195" s="485"/>
      <c r="G195" s="506">
        <f>[90]Source!AO1245</f>
        <v>715.73</v>
      </c>
      <c r="H195" s="507" t="str">
        <f>[90]Source!DG1245</f>
        <v>)*1,67</v>
      </c>
      <c r="I195" s="485">
        <f>[90]Source!AV1245</f>
        <v>1.0669999999999999</v>
      </c>
      <c r="J195" s="508">
        <v>56.12</v>
      </c>
      <c r="K195" s="485">
        <f>IF([90]Source!BA1245&lt;&gt; 0, [90]Source!BA1245, 1)</f>
        <v>24.23</v>
      </c>
      <c r="L195" s="508">
        <v>1359.79</v>
      </c>
      <c r="W195" s="482">
        <f>J195</f>
        <v>56.12</v>
      </c>
    </row>
    <row r="196" spans="1:27" ht="14.25" x14ac:dyDescent="0.2">
      <c r="A196" s="503"/>
      <c r="B196" s="503"/>
      <c r="C196" s="504"/>
      <c r="D196" s="504" t="s">
        <v>53</v>
      </c>
      <c r="E196" s="505"/>
      <c r="F196" s="485"/>
      <c r="G196" s="506">
        <f>[90]Source!AM1245</f>
        <v>92.5</v>
      </c>
      <c r="H196" s="507">
        <f>[90]Source!DE1245</f>
        <v>0</v>
      </c>
      <c r="I196" s="485">
        <f>[90]Source!AV1245</f>
        <v>1.0669999999999999</v>
      </c>
      <c r="J196" s="508">
        <v>4.34</v>
      </c>
      <c r="K196" s="485">
        <f>IF([90]Source!BB1245&lt;&gt; 0, [90]Source!BB1245, 1)</f>
        <v>8.5299999999999994</v>
      </c>
      <c r="L196" s="508">
        <v>37.090000000000003</v>
      </c>
    </row>
    <row r="197" spans="1:27" ht="14.25" x14ac:dyDescent="0.2">
      <c r="A197" s="503"/>
      <c r="B197" s="503"/>
      <c r="C197" s="504"/>
      <c r="D197" s="504" t="s">
        <v>54</v>
      </c>
      <c r="E197" s="505"/>
      <c r="F197" s="485"/>
      <c r="G197" s="506">
        <f>[90]Source!AN1245</f>
        <v>11.04</v>
      </c>
      <c r="H197" s="507">
        <f>[90]Source!DE1245</f>
        <v>0</v>
      </c>
      <c r="I197" s="485">
        <f>[90]Source!AV1245</f>
        <v>1.0669999999999999</v>
      </c>
      <c r="J197" s="509">
        <v>0.52</v>
      </c>
      <c r="K197" s="485">
        <f>IF([90]Source!BS1245&lt;&gt; 0, [90]Source!BS1245, 1)</f>
        <v>24.23</v>
      </c>
      <c r="L197" s="509">
        <v>12.67</v>
      </c>
      <c r="W197" s="482">
        <f>J197</f>
        <v>0.52</v>
      </c>
    </row>
    <row r="198" spans="1:27" ht="14.25" x14ac:dyDescent="0.2">
      <c r="A198" s="503"/>
      <c r="B198" s="503"/>
      <c r="C198" s="504"/>
      <c r="D198" s="504" t="s">
        <v>55</v>
      </c>
      <c r="E198" s="505"/>
      <c r="F198" s="485"/>
      <c r="G198" s="506">
        <f>[90]Source!AL1245</f>
        <v>516.49</v>
      </c>
      <c r="H198" s="507">
        <f>[90]Source!DD1245</f>
        <v>0</v>
      </c>
      <c r="I198" s="485">
        <f>[90]Source!AW1245</f>
        <v>1</v>
      </c>
      <c r="J198" s="508">
        <v>22.73</v>
      </c>
      <c r="K198" s="485">
        <f>IF([90]Source!BC1245&lt;&gt; 0, [90]Source!BC1245, 1)</f>
        <v>3.83</v>
      </c>
      <c r="L198" s="508">
        <v>87.06</v>
      </c>
    </row>
    <row r="199" spans="1:27" ht="42.75" x14ac:dyDescent="0.2">
      <c r="A199" s="503">
        <v>19</v>
      </c>
      <c r="B199" s="503" t="str">
        <f>[90]Source!E1247</f>
        <v>192,1</v>
      </c>
      <c r="C199" s="504" t="str">
        <f>[90]Source!F1247</f>
        <v>1.19-3-13</v>
      </c>
      <c r="D199" s="504" t="s">
        <v>79</v>
      </c>
      <c r="E199" s="505" t="str">
        <f>[90]Source!H1247</f>
        <v>м2</v>
      </c>
      <c r="F199" s="485">
        <f>[90]Source!I1247</f>
        <v>4.4000000000000004</v>
      </c>
      <c r="G199" s="506">
        <f>[90]Source!AK1247</f>
        <v>157.54</v>
      </c>
      <c r="H199" s="524" t="s">
        <v>74</v>
      </c>
      <c r="I199" s="485">
        <f>[90]Source!AW1247</f>
        <v>1</v>
      </c>
      <c r="J199" s="508">
        <v>701.36</v>
      </c>
      <c r="K199" s="485">
        <f>IF([90]Source!BC1247&lt;&gt; 0, [90]Source!BC1247, 1)</f>
        <v>3.07</v>
      </c>
      <c r="L199" s="508">
        <v>2125.12</v>
      </c>
      <c r="Q199" s="482">
        <f>ROUND(([90]Source!DN1247/100)*ROUND((ROUND(([90]Source!AF1247*[90]Source!AV1247*[90]Source!I1247),2)),2), 2)</f>
        <v>0</v>
      </c>
      <c r="R199" s="482">
        <f>[90]Source!X1247</f>
        <v>0</v>
      </c>
      <c r="S199" s="482">
        <f>ROUND(([90]Source!DO1247/100)*ROUND((ROUND(([90]Source!AF1247*[90]Source!AV1247*[90]Source!I1247),2)),2), 2)</f>
        <v>0</v>
      </c>
      <c r="T199" s="482">
        <f>[90]Source!Y1247</f>
        <v>0</v>
      </c>
      <c r="U199" s="482">
        <f>ROUND((175/100)*ROUND((ROUND(([90]Source!AE1247*[90]Source!AV1247*[90]Source!I1247),2)),2), 2)</f>
        <v>0</v>
      </c>
      <c r="V199" s="482">
        <f>ROUND((157/100)*ROUND(ROUND((ROUND(([90]Source!AE1247*[90]Source!AV1247*[90]Source!I1247),2)*[90]Source!BS1247),2), 2), 2)</f>
        <v>0</v>
      </c>
      <c r="X199" s="482">
        <f>IF([90]Source!BI1247&lt;=1,J199, 0)</f>
        <v>701.36</v>
      </c>
      <c r="Y199" s="482">
        <f>IF([90]Source!BI1247=2,J199, 0)</f>
        <v>0</v>
      </c>
      <c r="Z199" s="482">
        <f>IF([90]Source!BI1247=3,J199, 0)</f>
        <v>0</v>
      </c>
      <c r="AA199" s="482">
        <f>IF([90]Source!BI1247=4,J199, 0)</f>
        <v>0</v>
      </c>
    </row>
    <row r="200" spans="1:27" ht="14.25" x14ac:dyDescent="0.2">
      <c r="A200" s="503"/>
      <c r="B200" s="503"/>
      <c r="C200" s="504"/>
      <c r="D200" s="504" t="s">
        <v>56</v>
      </c>
      <c r="E200" s="505" t="s">
        <v>57</v>
      </c>
      <c r="F200" s="485">
        <f>[90]Source!DN1245</f>
        <v>125</v>
      </c>
      <c r="G200" s="506"/>
      <c r="H200" s="507"/>
      <c r="I200" s="485"/>
      <c r="J200" s="508">
        <v>70.150000000000006</v>
      </c>
      <c r="K200" s="485">
        <f>[90]Source!BZ1245</f>
        <v>100</v>
      </c>
      <c r="L200" s="508">
        <v>1359.79</v>
      </c>
    </row>
    <row r="201" spans="1:27" ht="14.25" x14ac:dyDescent="0.2">
      <c r="A201" s="503"/>
      <c r="B201" s="503"/>
      <c r="C201" s="504"/>
      <c r="D201" s="504" t="s">
        <v>58</v>
      </c>
      <c r="E201" s="505" t="s">
        <v>57</v>
      </c>
      <c r="F201" s="485">
        <f>[90]Source!DO1245</f>
        <v>94</v>
      </c>
      <c r="G201" s="506"/>
      <c r="H201" s="507"/>
      <c r="I201" s="485"/>
      <c r="J201" s="508">
        <v>52.75</v>
      </c>
      <c r="K201" s="485">
        <f>[90]Source!CA1245</f>
        <v>45</v>
      </c>
      <c r="L201" s="508">
        <v>611.91</v>
      </c>
    </row>
    <row r="202" spans="1:27" ht="14.25" x14ac:dyDescent="0.2">
      <c r="A202" s="503"/>
      <c r="B202" s="503"/>
      <c r="C202" s="504"/>
      <c r="D202" s="504" t="s">
        <v>59</v>
      </c>
      <c r="E202" s="505" t="s">
        <v>57</v>
      </c>
      <c r="F202" s="485">
        <f>175</f>
        <v>175</v>
      </c>
      <c r="G202" s="506"/>
      <c r="H202" s="507"/>
      <c r="I202" s="485"/>
      <c r="J202" s="508">
        <v>0.91</v>
      </c>
      <c r="K202" s="485">
        <f>157</f>
        <v>157</v>
      </c>
      <c r="L202" s="508">
        <v>19.899999999999999</v>
      </c>
    </row>
    <row r="203" spans="1:27" ht="14.25" x14ac:dyDescent="0.2">
      <c r="A203" s="503"/>
      <c r="B203" s="503"/>
      <c r="C203" s="504"/>
      <c r="D203" s="504" t="s">
        <v>60</v>
      </c>
      <c r="E203" s="505" t="s">
        <v>61</v>
      </c>
      <c r="F203" s="485">
        <f>[90]Source!AQ1245</f>
        <v>62.4</v>
      </c>
      <c r="G203" s="506"/>
      <c r="H203" s="507">
        <f>[90]Source!DI1245</f>
        <v>0</v>
      </c>
      <c r="I203" s="485">
        <f>[90]Source!AV1245</f>
        <v>1.0669999999999999</v>
      </c>
      <c r="J203" s="508">
        <f>[90]Source!U1245</f>
        <v>2.93</v>
      </c>
      <c r="K203" s="485"/>
      <c r="L203" s="508"/>
    </row>
    <row r="204" spans="1:27" ht="15" x14ac:dyDescent="0.25">
      <c r="I204" s="745">
        <f>J195+J196+J198+J200+J201+J202+SUM(J199:J199)</f>
        <v>908.36</v>
      </c>
      <c r="J204" s="745"/>
      <c r="K204" s="745">
        <f>L195+L196+L198+L200+L201+L202+SUM(L199:L199)</f>
        <v>5600.66</v>
      </c>
      <c r="L204" s="745"/>
      <c r="O204" s="510">
        <f>J195+J196+J198+J200+J201+J202+SUM(J199:J199)</f>
        <v>908.36</v>
      </c>
      <c r="P204" s="510">
        <f>L195+L196+L198+L200+L201+L202+SUM(L199:L199)</f>
        <v>5600.66</v>
      </c>
      <c r="X204" s="482">
        <f>IF([90]Source!BI1245&lt;=1,J195+J196+J198+J200+J201+J202-0, 0)</f>
        <v>207</v>
      </c>
      <c r="Y204" s="482">
        <f>IF([90]Source!BI1245=2,J195+J196+J198+J200+J201+J202-0, 0)</f>
        <v>0</v>
      </c>
      <c r="Z204" s="482">
        <f>IF([90]Source!BI1245=3,J195+J196+J198+J200+J201+J202-0, 0)</f>
        <v>0</v>
      </c>
      <c r="AA204" s="482">
        <f>IF([90]Source!BI1245=4,J195+J196+J198+J200+J201+J202,0)</f>
        <v>0</v>
      </c>
    </row>
    <row r="205" spans="1:27" ht="28.5" x14ac:dyDescent="0.2">
      <c r="A205" s="511"/>
      <c r="B205" s="511"/>
      <c r="C205" s="512"/>
      <c r="D205" s="512" t="s">
        <v>62</v>
      </c>
      <c r="E205" s="505"/>
      <c r="F205" s="513"/>
      <c r="G205" s="514"/>
      <c r="H205" s="505"/>
      <c r="I205" s="513"/>
      <c r="J205" s="509"/>
      <c r="K205" s="513"/>
      <c r="L205" s="509"/>
    </row>
    <row r="206" spans="1:27" ht="14.25" x14ac:dyDescent="0.2">
      <c r="A206" s="511"/>
      <c r="B206" s="511"/>
      <c r="C206" s="512"/>
      <c r="D206" s="512" t="s">
        <v>53</v>
      </c>
      <c r="E206" s="505"/>
      <c r="F206" s="513"/>
      <c r="G206" s="514">
        <f t="shared" ref="G206:L206" si="7">G207</f>
        <v>11.04</v>
      </c>
      <c r="H206" s="515" t="str">
        <f t="shared" si="7"/>
        <v>)*(1.67-1)</v>
      </c>
      <c r="I206" s="513">
        <f t="shared" si="7"/>
        <v>1.0669999999999999</v>
      </c>
      <c r="J206" s="509">
        <f t="shared" si="7"/>
        <v>0.35</v>
      </c>
      <c r="K206" s="513">
        <f t="shared" si="7"/>
        <v>24.23</v>
      </c>
      <c r="L206" s="509">
        <f t="shared" si="7"/>
        <v>8.41</v>
      </c>
    </row>
    <row r="207" spans="1:27" ht="14.25" x14ac:dyDescent="0.2">
      <c r="A207" s="511"/>
      <c r="B207" s="511"/>
      <c r="C207" s="512"/>
      <c r="D207" s="512" t="s">
        <v>54</v>
      </c>
      <c r="E207" s="505"/>
      <c r="F207" s="513"/>
      <c r="G207" s="514">
        <f>[90]Source!AN1245</f>
        <v>11.04</v>
      </c>
      <c r="H207" s="515" t="s">
        <v>63</v>
      </c>
      <c r="I207" s="513">
        <f>[90]Source!AV1245</f>
        <v>1.0669999999999999</v>
      </c>
      <c r="J207" s="509">
        <f>ROUND(F193*G207*I207*(1.67-1), 2)</f>
        <v>0.35</v>
      </c>
      <c r="K207" s="513">
        <f>IF([90]Source!BS1245&lt;&gt; 0, [90]Source!BS1245, 1)</f>
        <v>24.23</v>
      </c>
      <c r="L207" s="509">
        <f>ROUND(F193*G207*I207*(1.67-1)*K207, 2)</f>
        <v>8.41</v>
      </c>
      <c r="W207" s="482">
        <f>J207</f>
        <v>0.35</v>
      </c>
    </row>
    <row r="208" spans="1:27" ht="14.25" x14ac:dyDescent="0.2">
      <c r="A208" s="511"/>
      <c r="B208" s="511"/>
      <c r="C208" s="512"/>
      <c r="D208" s="512" t="s">
        <v>59</v>
      </c>
      <c r="E208" s="505" t="s">
        <v>57</v>
      </c>
      <c r="F208" s="513">
        <f>175</f>
        <v>175</v>
      </c>
      <c r="G208" s="514"/>
      <c r="H208" s="505"/>
      <c r="I208" s="513"/>
      <c r="J208" s="509">
        <f>ROUND(J207*(F208/100), 2)</f>
        <v>0.61</v>
      </c>
      <c r="K208" s="513">
        <f>157</f>
        <v>157</v>
      </c>
      <c r="L208" s="509">
        <f>ROUND(L207*(K208/100), 2)</f>
        <v>13.2</v>
      </c>
    </row>
    <row r="209" spans="1:27" ht="15" x14ac:dyDescent="0.25">
      <c r="I209" s="745">
        <f>J208+J207</f>
        <v>0.96</v>
      </c>
      <c r="J209" s="745"/>
      <c r="K209" s="745">
        <f>L208+L207</f>
        <v>21.61</v>
      </c>
      <c r="L209" s="745"/>
      <c r="O209" s="510">
        <f>I209</f>
        <v>0.96</v>
      </c>
      <c r="P209" s="510">
        <f>K209</f>
        <v>21.61</v>
      </c>
      <c r="X209" s="482">
        <f>IF([90]Source!BI1245&lt;=1,I209, 0)</f>
        <v>0.96</v>
      </c>
      <c r="Y209" s="482">
        <f>IF([90]Source!BI1245=2,I209, 0)</f>
        <v>0</v>
      </c>
      <c r="Z209" s="482">
        <f>IF([90]Source!BI1245=3,I209, 0)</f>
        <v>0</v>
      </c>
      <c r="AA209" s="482">
        <f>IF([90]Source!BI1245=4,I209, 0)</f>
        <v>0</v>
      </c>
    </row>
    <row r="211" spans="1:27" ht="15" x14ac:dyDescent="0.25">
      <c r="A211" s="516"/>
      <c r="B211" s="516"/>
      <c r="C211" s="517"/>
      <c r="D211" s="517" t="s">
        <v>64</v>
      </c>
      <c r="E211" s="518"/>
      <c r="F211" s="519"/>
      <c r="G211" s="520"/>
      <c r="H211" s="521"/>
      <c r="I211" s="745">
        <f>I204+I209</f>
        <v>909.32</v>
      </c>
      <c r="J211" s="745"/>
      <c r="K211" s="745">
        <f>K204+K209</f>
        <v>5622.27</v>
      </c>
      <c r="L211" s="745"/>
    </row>
    <row r="212" spans="1:27" ht="77.25" customHeight="1" x14ac:dyDescent="0.2">
      <c r="A212" s="503">
        <v>20</v>
      </c>
      <c r="B212" s="503" t="str">
        <f>[90]Source!E1255</f>
        <v>194</v>
      </c>
      <c r="C212" s="504" t="s">
        <v>329</v>
      </c>
      <c r="D212" s="504" t="s">
        <v>330</v>
      </c>
      <c r="E212" s="505" t="str">
        <f>[90]Source!H1255</f>
        <v>100 м2 поверхности воздуховодов</v>
      </c>
      <c r="F212" s="485">
        <f>[90]Source!I1255</f>
        <v>9.2799999999999994E-2</v>
      </c>
      <c r="G212" s="506"/>
      <c r="H212" s="507"/>
      <c r="I212" s="485"/>
      <c r="J212" s="508"/>
      <c r="K212" s="485"/>
      <c r="L212" s="508"/>
      <c r="Q212" s="482">
        <f>ROUND(([90]Source!DN1255/100)*ROUND((ROUND(([90]Source!AF1255*[90]Source!AV1255*[90]Source!I1255),2)),2), 2)</f>
        <v>329.91</v>
      </c>
      <c r="R212" s="482">
        <f>[90]Source!X1255</f>
        <v>6395.02</v>
      </c>
      <c r="S212" s="482">
        <f>ROUND(([90]Source!DO1255/100)*ROUND((ROUND(([90]Source!AF1255*[90]Source!AV1255*[90]Source!I1255),2)),2), 2)</f>
        <v>248.09</v>
      </c>
      <c r="T212" s="482">
        <f>[90]Source!Y1255</f>
        <v>2877.76</v>
      </c>
      <c r="U212" s="482">
        <f>ROUND((175/100)*ROUND((ROUND(([90]Source!AE1255*[90]Source!AV1255*[90]Source!I1255),2)),2), 2)</f>
        <v>4.46</v>
      </c>
      <c r="V212" s="482">
        <f>ROUND((157/100)*ROUND(ROUND((ROUND(([90]Source!AE1255*[90]Source!AV1255*[90]Source!I1255),2)*[90]Source!BS1255),2), 2), 2)</f>
        <v>97.01</v>
      </c>
    </row>
    <row r="213" spans="1:27" x14ac:dyDescent="0.2">
      <c r="D213" s="523" t="str">
        <f>"Объем: "&amp;[90]Source!I1255&amp;"=(0,45+"&amp;"0,38+"&amp;"7,2+"&amp;"1,25)/"&amp;"100"</f>
        <v>Объем: 0,0928=(0,45+0,38+7,2+1,25)/100</v>
      </c>
    </row>
    <row r="214" spans="1:27" ht="14.25" x14ac:dyDescent="0.2">
      <c r="A214" s="503"/>
      <c r="B214" s="503"/>
      <c r="C214" s="504"/>
      <c r="D214" s="504" t="s">
        <v>52</v>
      </c>
      <c r="E214" s="505"/>
      <c r="F214" s="485"/>
      <c r="G214" s="506">
        <f>[90]Source!AO1255</f>
        <v>1596.12</v>
      </c>
      <c r="H214" s="507" t="str">
        <f>[90]Source!DG1255</f>
        <v>)*1,67</v>
      </c>
      <c r="I214" s="485">
        <f>[90]Source!AV1255</f>
        <v>1.0669999999999999</v>
      </c>
      <c r="J214" s="508">
        <f>ROUND((ROUND(([90]Source!AF1255*[90]Source!AV1255*[90]Source!I1255),2)),2)</f>
        <v>263.93</v>
      </c>
      <c r="K214" s="485">
        <f>IF([90]Source!BA1255&lt;&gt; 0, [90]Source!BA1255, 1)</f>
        <v>24.23</v>
      </c>
      <c r="L214" s="508">
        <f>[90]Source!S1255</f>
        <v>6395.02</v>
      </c>
      <c r="W214" s="482">
        <f>J214</f>
        <v>263.93</v>
      </c>
    </row>
    <row r="215" spans="1:27" ht="14.25" x14ac:dyDescent="0.2">
      <c r="A215" s="503"/>
      <c r="B215" s="503"/>
      <c r="C215" s="504"/>
      <c r="D215" s="504" t="s">
        <v>53</v>
      </c>
      <c r="E215" s="505"/>
      <c r="F215" s="485"/>
      <c r="G215" s="506">
        <f>[90]Source!AM1255</f>
        <v>125.93</v>
      </c>
      <c r="H215" s="507">
        <f>[90]Source!DE1255</f>
        <v>0</v>
      </c>
      <c r="I215" s="485">
        <f>[90]Source!AV1255</f>
        <v>1.0669999999999999</v>
      </c>
      <c r="J215" s="508">
        <f>(ROUND((ROUND((([90]Source!ET1255)*[90]Source!AV1255*[90]Source!I1255),2)),2)+ROUND((ROUND((([90]Source!AE1255-([90]Source!EU1255))*[90]Source!AV1255*[90]Source!I1255),2)),2))-J225</f>
        <v>12.47</v>
      </c>
      <c r="K215" s="485">
        <f>IF([90]Source!BB1255&lt;&gt; 0, [90]Source!BB1255, 1)</f>
        <v>8.59</v>
      </c>
      <c r="L215" s="508">
        <f>[90]Source!Q1255-L225</f>
        <v>107.03</v>
      </c>
    </row>
    <row r="216" spans="1:27" ht="14.25" x14ac:dyDescent="0.2">
      <c r="A216" s="503"/>
      <c r="B216" s="503"/>
      <c r="C216" s="504"/>
      <c r="D216" s="504" t="s">
        <v>54</v>
      </c>
      <c r="E216" s="505"/>
      <c r="F216" s="485"/>
      <c r="G216" s="506">
        <f>[90]Source!AN1255</f>
        <v>15.43</v>
      </c>
      <c r="H216" s="507">
        <f>[90]Source!DE1255</f>
        <v>0</v>
      </c>
      <c r="I216" s="485">
        <f>[90]Source!AV1255</f>
        <v>1.0669999999999999</v>
      </c>
      <c r="J216" s="509">
        <f>ROUND((ROUND(([90]Source!AE1255*[90]Source!AV1255*[90]Source!I1255),2)),2)-J226</f>
        <v>1.53</v>
      </c>
      <c r="K216" s="485">
        <f>IF([90]Source!BS1255&lt;&gt; 0, [90]Source!BS1255, 1)</f>
        <v>24.23</v>
      </c>
      <c r="L216" s="509">
        <f>[90]Source!R1255-L226</f>
        <v>36.99</v>
      </c>
      <c r="W216" s="482">
        <f>J216</f>
        <v>1.53</v>
      </c>
    </row>
    <row r="217" spans="1:27" ht="14.25" x14ac:dyDescent="0.2">
      <c r="A217" s="503"/>
      <c r="B217" s="503"/>
      <c r="C217" s="504"/>
      <c r="D217" s="504" t="s">
        <v>55</v>
      </c>
      <c r="E217" s="505"/>
      <c r="F217" s="485"/>
      <c r="G217" s="506">
        <f>[90]Source!AL1255</f>
        <v>499.17</v>
      </c>
      <c r="H217" s="507">
        <f>[90]Source!DD1255</f>
        <v>0</v>
      </c>
      <c r="I217" s="485">
        <f>[90]Source!AW1255</f>
        <v>1</v>
      </c>
      <c r="J217" s="508">
        <f>ROUND((ROUND(([90]Source!AC1255*[90]Source!AW1255*[90]Source!I1255),2)),2)</f>
        <v>46.32</v>
      </c>
      <c r="K217" s="485">
        <f>IF([90]Source!BC1255&lt;&gt; 0, [90]Source!BC1255, 1)</f>
        <v>3.65</v>
      </c>
      <c r="L217" s="508">
        <f>[90]Source!P1255</f>
        <v>169.07</v>
      </c>
    </row>
    <row r="218" spans="1:27" ht="42.75" x14ac:dyDescent="0.2">
      <c r="A218" s="503">
        <v>21</v>
      </c>
      <c r="B218" s="503" t="str">
        <f>[90]Source!E1257</f>
        <v>194,1</v>
      </c>
      <c r="C218" s="504" t="str">
        <f>[90]Source!F1257</f>
        <v>1.19-3-12</v>
      </c>
      <c r="D218" s="504" t="s">
        <v>84</v>
      </c>
      <c r="E218" s="505" t="str">
        <f>[90]Source!H1257</f>
        <v>м2</v>
      </c>
      <c r="F218" s="485">
        <f>[90]Source!I1257</f>
        <v>9.2799999999999994</v>
      </c>
      <c r="G218" s="506">
        <f>[90]Source!AK1257</f>
        <v>125.64</v>
      </c>
      <c r="H218" s="524" t="s">
        <v>74</v>
      </c>
      <c r="I218" s="485">
        <f>[90]Source!AW1257</f>
        <v>1</v>
      </c>
      <c r="J218" s="508">
        <f>ROUND((ROUND(([90]Source!AC1257*[90]Source!AW1257*[90]Source!I1257),2)),2)+(ROUND((ROUND((([90]Source!ET1257)*[90]Source!AV1257*[90]Source!I1257),2)),2)+ROUND((ROUND((([90]Source!AE1257-([90]Source!EU1257))*[90]Source!AV1257*[90]Source!I1257),2)),2))+ROUND((ROUND(([90]Source!AF1257*[90]Source!AV1257*[90]Source!I1257),2)),2)</f>
        <v>1165.94</v>
      </c>
      <c r="K218" s="485">
        <f>IF([90]Source!BC1257&lt;&gt; 0, [90]Source!BC1257, 1)</f>
        <v>3.84</v>
      </c>
      <c r="L218" s="508">
        <f>[90]Source!O1257</f>
        <v>4477.21</v>
      </c>
      <c r="Q218" s="482">
        <f>ROUND(([90]Source!DN1257/100)*ROUND((ROUND(([90]Source!AF1257*[90]Source!AV1257*[90]Source!I1257),2)),2), 2)</f>
        <v>0</v>
      </c>
      <c r="R218" s="482">
        <f>[90]Source!X1257</f>
        <v>0</v>
      </c>
      <c r="S218" s="482">
        <f>ROUND(([90]Source!DO1257/100)*ROUND((ROUND(([90]Source!AF1257*[90]Source!AV1257*[90]Source!I1257),2)),2), 2)</f>
        <v>0</v>
      </c>
      <c r="T218" s="482">
        <f>[90]Source!Y1257</f>
        <v>0</v>
      </c>
      <c r="U218" s="482">
        <f>ROUND((175/100)*ROUND((ROUND(([90]Source!AE1257*[90]Source!AV1257*[90]Source!I1257),2)),2), 2)</f>
        <v>0</v>
      </c>
      <c r="V218" s="482">
        <f>ROUND((157/100)*ROUND(ROUND((ROUND(([90]Source!AE1257*[90]Source!AV1257*[90]Source!I1257),2)*[90]Source!BS1257),2), 2), 2)</f>
        <v>0</v>
      </c>
      <c r="X218" s="482">
        <f>IF([90]Source!BI1257&lt;=1,J218, 0)</f>
        <v>1165.94</v>
      </c>
      <c r="Y218" s="482">
        <f>IF([90]Source!BI1257=2,J218, 0)</f>
        <v>0</v>
      </c>
      <c r="Z218" s="482">
        <f>IF([90]Source!BI1257=3,J218, 0)</f>
        <v>0</v>
      </c>
      <c r="AA218" s="482">
        <f>IF([90]Source!BI1257=4,J218, 0)</f>
        <v>0</v>
      </c>
    </row>
    <row r="219" spans="1:27" ht="14.25" x14ac:dyDescent="0.2">
      <c r="A219" s="503"/>
      <c r="B219" s="503"/>
      <c r="C219" s="504"/>
      <c r="D219" s="504" t="s">
        <v>56</v>
      </c>
      <c r="E219" s="505" t="s">
        <v>57</v>
      </c>
      <c r="F219" s="485">
        <f>[90]Source!DN1255</f>
        <v>125</v>
      </c>
      <c r="G219" s="506"/>
      <c r="H219" s="507"/>
      <c r="I219" s="485"/>
      <c r="J219" s="508">
        <f>SUM(Q212:Q218)</f>
        <v>329.91</v>
      </c>
      <c r="K219" s="485">
        <f>[90]Source!BZ1255</f>
        <v>100</v>
      </c>
      <c r="L219" s="508">
        <f>SUM(R212:R218)</f>
        <v>6395.02</v>
      </c>
    </row>
    <row r="220" spans="1:27" ht="14.25" x14ac:dyDescent="0.2">
      <c r="A220" s="503"/>
      <c r="B220" s="503"/>
      <c r="C220" s="504"/>
      <c r="D220" s="504" t="s">
        <v>58</v>
      </c>
      <c r="E220" s="505" t="s">
        <v>57</v>
      </c>
      <c r="F220" s="485">
        <f>[90]Source!DO1255</f>
        <v>94</v>
      </c>
      <c r="G220" s="506"/>
      <c r="H220" s="507"/>
      <c r="I220" s="485"/>
      <c r="J220" s="508">
        <f>SUM(S212:S219)</f>
        <v>248.09</v>
      </c>
      <c r="K220" s="485">
        <f>[90]Source!CA1255</f>
        <v>45</v>
      </c>
      <c r="L220" s="508">
        <f>SUM(T212:T219)</f>
        <v>2877.76</v>
      </c>
    </row>
    <row r="221" spans="1:27" ht="14.25" x14ac:dyDescent="0.2">
      <c r="A221" s="503"/>
      <c r="B221" s="503"/>
      <c r="C221" s="504"/>
      <c r="D221" s="504" t="s">
        <v>59</v>
      </c>
      <c r="E221" s="505" t="s">
        <v>57</v>
      </c>
      <c r="F221" s="485">
        <f>175</f>
        <v>175</v>
      </c>
      <c r="G221" s="506"/>
      <c r="H221" s="507"/>
      <c r="I221" s="485"/>
      <c r="J221" s="508">
        <f>SUM(U212:U220)-J227</f>
        <v>2.67</v>
      </c>
      <c r="K221" s="485">
        <f>157</f>
        <v>157</v>
      </c>
      <c r="L221" s="508">
        <f>SUM(V212:V220)-L227</f>
        <v>58.07</v>
      </c>
    </row>
    <row r="222" spans="1:27" ht="14.25" x14ac:dyDescent="0.2">
      <c r="A222" s="503"/>
      <c r="B222" s="503"/>
      <c r="C222" s="504"/>
      <c r="D222" s="504" t="s">
        <v>60</v>
      </c>
      <c r="E222" s="505" t="s">
        <v>61</v>
      </c>
      <c r="F222" s="485">
        <f>[90]Source!AQ1255</f>
        <v>141</v>
      </c>
      <c r="G222" s="506"/>
      <c r="H222" s="507">
        <f>[90]Source!DI1255</f>
        <v>0</v>
      </c>
      <c r="I222" s="485">
        <f>[90]Source!AV1255</f>
        <v>1.0669999999999999</v>
      </c>
      <c r="J222" s="508">
        <f>[90]Source!U1255</f>
        <v>13.96</v>
      </c>
      <c r="K222" s="485"/>
      <c r="L222" s="508"/>
    </row>
    <row r="223" spans="1:27" ht="15" x14ac:dyDescent="0.25">
      <c r="I223" s="745">
        <f>J214+J215+J217+J219+J220+J221+SUM(J218:J218)</f>
        <v>2069.33</v>
      </c>
      <c r="J223" s="745"/>
      <c r="K223" s="745">
        <f>L214+L215+L217+L219+L220+L221+SUM(L218:L218)</f>
        <v>20479.18</v>
      </c>
      <c r="L223" s="745"/>
      <c r="O223" s="510">
        <f>J214+J215+J217+J219+J220+J221+SUM(J218:J218)</f>
        <v>2069.33</v>
      </c>
      <c r="P223" s="510">
        <f>L214+L215+L217+L219+L220+L221+SUM(L218:L218)</f>
        <v>20479.18</v>
      </c>
      <c r="X223" s="482">
        <f>IF([90]Source!BI1255&lt;=1,J214+J215+J217+J219+J220+J221-0, 0)</f>
        <v>903.39</v>
      </c>
      <c r="Y223" s="482">
        <f>IF([90]Source!BI1255=2,J214+J215+J217+J219+J220+J221-0, 0)</f>
        <v>0</v>
      </c>
      <c r="Z223" s="482">
        <f>IF([90]Source!BI1255=3,J214+J215+J217+J219+J220+J221-0, 0)</f>
        <v>0</v>
      </c>
      <c r="AA223" s="482">
        <f>IF([90]Source!BI1255=4,J214+J215+J217+J219+J220+J221,0)</f>
        <v>0</v>
      </c>
    </row>
    <row r="224" spans="1:27" ht="28.5" x14ac:dyDescent="0.2">
      <c r="A224" s="511"/>
      <c r="B224" s="511"/>
      <c r="C224" s="512"/>
      <c r="D224" s="512" t="s">
        <v>62</v>
      </c>
      <c r="E224" s="505"/>
      <c r="F224" s="513"/>
      <c r="G224" s="514"/>
      <c r="H224" s="505"/>
      <c r="I224" s="513"/>
      <c r="J224" s="509"/>
      <c r="K224" s="513"/>
      <c r="L224" s="509"/>
    </row>
    <row r="225" spans="1:27" ht="14.25" x14ac:dyDescent="0.2">
      <c r="A225" s="511"/>
      <c r="B225" s="511"/>
      <c r="C225" s="512"/>
      <c r="D225" s="512" t="s">
        <v>53</v>
      </c>
      <c r="E225" s="505"/>
      <c r="F225" s="513"/>
      <c r="G225" s="514">
        <f t="shared" ref="G225:L225" si="8">G226</f>
        <v>15.43</v>
      </c>
      <c r="H225" s="515" t="str">
        <f t="shared" si="8"/>
        <v>)*(1.67-1)</v>
      </c>
      <c r="I225" s="513">
        <f t="shared" si="8"/>
        <v>1.0669999999999999</v>
      </c>
      <c r="J225" s="509">
        <f t="shared" si="8"/>
        <v>1.02</v>
      </c>
      <c r="K225" s="513">
        <f t="shared" si="8"/>
        <v>24.23</v>
      </c>
      <c r="L225" s="509">
        <f t="shared" si="8"/>
        <v>24.8</v>
      </c>
    </row>
    <row r="226" spans="1:27" ht="14.25" x14ac:dyDescent="0.2">
      <c r="A226" s="511"/>
      <c r="B226" s="511"/>
      <c r="C226" s="512"/>
      <c r="D226" s="512" t="s">
        <v>54</v>
      </c>
      <c r="E226" s="505"/>
      <c r="F226" s="513"/>
      <c r="G226" s="514">
        <f>[90]Source!AN1255</f>
        <v>15.43</v>
      </c>
      <c r="H226" s="515" t="s">
        <v>63</v>
      </c>
      <c r="I226" s="513">
        <f>[90]Source!AV1255</f>
        <v>1.0669999999999999</v>
      </c>
      <c r="J226" s="509">
        <f>ROUND(F212*G226*I226*(1.67-1), 2)</f>
        <v>1.02</v>
      </c>
      <c r="K226" s="513">
        <f>IF([90]Source!BS1255&lt;&gt; 0, [90]Source!BS1255, 1)</f>
        <v>24.23</v>
      </c>
      <c r="L226" s="509">
        <f>ROUND(F212*G226*I226*(1.67-1)*K226, 2)</f>
        <v>24.8</v>
      </c>
      <c r="W226" s="482">
        <f>J226</f>
        <v>1.02</v>
      </c>
    </row>
    <row r="227" spans="1:27" ht="14.25" x14ac:dyDescent="0.2">
      <c r="A227" s="511"/>
      <c r="B227" s="511"/>
      <c r="C227" s="512"/>
      <c r="D227" s="512" t="s">
        <v>59</v>
      </c>
      <c r="E227" s="505" t="s">
        <v>57</v>
      </c>
      <c r="F227" s="513">
        <f>175</f>
        <v>175</v>
      </c>
      <c r="G227" s="514"/>
      <c r="H227" s="505"/>
      <c r="I227" s="513"/>
      <c r="J227" s="509">
        <f>ROUND(J226*(F227/100), 2)</f>
        <v>1.79</v>
      </c>
      <c r="K227" s="513">
        <f>157</f>
        <v>157</v>
      </c>
      <c r="L227" s="509">
        <f>ROUND(L226*(K227/100), 2)</f>
        <v>38.94</v>
      </c>
    </row>
    <row r="228" spans="1:27" ht="15" x14ac:dyDescent="0.25">
      <c r="I228" s="745">
        <f>J227+J226</f>
        <v>2.81</v>
      </c>
      <c r="J228" s="745"/>
      <c r="K228" s="745">
        <f>L227+L226</f>
        <v>63.74</v>
      </c>
      <c r="L228" s="745"/>
      <c r="O228" s="510">
        <f>I228</f>
        <v>2.81</v>
      </c>
      <c r="P228" s="510">
        <f>K228</f>
        <v>63.74</v>
      </c>
      <c r="X228" s="482">
        <f>IF([90]Source!BI1255&lt;=1,I228, 0)</f>
        <v>2.81</v>
      </c>
      <c r="Y228" s="482">
        <f>IF([90]Source!BI1255=2,I228, 0)</f>
        <v>0</v>
      </c>
      <c r="Z228" s="482">
        <f>IF([90]Source!BI1255=3,I228, 0)</f>
        <v>0</v>
      </c>
      <c r="AA228" s="482">
        <f>IF([90]Source!BI1255=4,I228, 0)</f>
        <v>0</v>
      </c>
    </row>
    <row r="230" spans="1:27" ht="15" x14ac:dyDescent="0.25">
      <c r="A230" s="516"/>
      <c r="B230" s="516"/>
      <c r="C230" s="517"/>
      <c r="D230" s="517" t="s">
        <v>64</v>
      </c>
      <c r="E230" s="518"/>
      <c r="F230" s="519"/>
      <c r="G230" s="520"/>
      <c r="H230" s="521"/>
      <c r="I230" s="745">
        <f>I223+I228</f>
        <v>2072.14</v>
      </c>
      <c r="J230" s="745"/>
      <c r="K230" s="745">
        <f>K223+K228</f>
        <v>20542.919999999998</v>
      </c>
      <c r="L230" s="745"/>
    </row>
    <row r="231" spans="1:27" ht="71.25" x14ac:dyDescent="0.2">
      <c r="A231" s="503">
        <v>22</v>
      </c>
      <c r="B231" s="503" t="str">
        <f>[90]Source!E1263</f>
        <v>196</v>
      </c>
      <c r="C231" s="504" t="s">
        <v>331</v>
      </c>
      <c r="D231" s="504" t="s">
        <v>87</v>
      </c>
      <c r="E231" s="505" t="str">
        <f>[90]Source!H1263</f>
        <v>100 м2 поверхности воздуховодов</v>
      </c>
      <c r="F231" s="485">
        <f>[90]Source!I1263</f>
        <v>4.1399999999999999E-2</v>
      </c>
      <c r="G231" s="506"/>
      <c r="H231" s="507"/>
      <c r="I231" s="485"/>
      <c r="J231" s="508"/>
      <c r="K231" s="485"/>
      <c r="L231" s="508"/>
      <c r="Q231" s="482">
        <f>ROUND(([90]Source!DN1263/100)*ROUND((ROUND(([90]Source!AF1263*[90]Source!AV1263*[90]Source!I1263),2)),2), 2)</f>
        <v>95.83</v>
      </c>
      <c r="R231" s="482">
        <f>[90]Source!X1263</f>
        <v>1857.47</v>
      </c>
      <c r="S231" s="482">
        <f>ROUND(([90]Source!DO1263/100)*ROUND((ROUND(([90]Source!AF1263*[90]Source!AV1263*[90]Source!I1263),2)),2), 2)</f>
        <v>72.06</v>
      </c>
      <c r="T231" s="482">
        <f>[90]Source!Y1263</f>
        <v>835.86</v>
      </c>
      <c r="U231" s="482">
        <f>ROUND((175/100)*ROUND((ROUND(([90]Source!AE1263*[90]Source!AV1263*[90]Source!I1263),2)),2), 2)</f>
        <v>1.38</v>
      </c>
      <c r="V231" s="482">
        <f>ROUND((157/100)*ROUND(ROUND((ROUND(([90]Source!AE1263*[90]Source!AV1263*[90]Source!I1263),2)*[90]Source!BS1263),2), 2), 2)</f>
        <v>30.05</v>
      </c>
    </row>
    <row r="232" spans="1:27" x14ac:dyDescent="0.2">
      <c r="D232" s="523" t="str">
        <f>"Объем: "&amp;[90]Source!I1263&amp;"=(2,5+"&amp;"1,64)/"&amp;"100"</f>
        <v>Объем: 0,0414=(2,5+1,64)/100</v>
      </c>
    </row>
    <row r="233" spans="1:27" ht="14.25" x14ac:dyDescent="0.2">
      <c r="A233" s="503"/>
      <c r="B233" s="503"/>
      <c r="C233" s="504"/>
      <c r="D233" s="504" t="s">
        <v>52</v>
      </c>
      <c r="E233" s="505"/>
      <c r="F233" s="485"/>
      <c r="G233" s="506">
        <f>[90]Source!AO1263</f>
        <v>1039.18</v>
      </c>
      <c r="H233" s="507" t="str">
        <f>[90]Source!DG1263</f>
        <v>)*1,67</v>
      </c>
      <c r="I233" s="485">
        <f>[90]Source!AV1263</f>
        <v>1.0669999999999999</v>
      </c>
      <c r="J233" s="508">
        <f>ROUND((ROUND(([90]Source!AF1263*[90]Source!AV1263*[90]Source!I1263),2)),2)</f>
        <v>76.66</v>
      </c>
      <c r="K233" s="485">
        <f>IF([90]Source!BA1263&lt;&gt; 0, [90]Source!BA1263, 1)</f>
        <v>24.23</v>
      </c>
      <c r="L233" s="508">
        <f>[90]Source!S1263</f>
        <v>1857.47</v>
      </c>
      <c r="W233" s="482">
        <f>J233</f>
        <v>76.66</v>
      </c>
    </row>
    <row r="234" spans="1:27" ht="14.25" x14ac:dyDescent="0.2">
      <c r="A234" s="503"/>
      <c r="B234" s="503"/>
      <c r="C234" s="504"/>
      <c r="D234" s="504" t="s">
        <v>53</v>
      </c>
      <c r="E234" s="505"/>
      <c r="F234" s="485"/>
      <c r="G234" s="506">
        <f>[90]Source!AM1263</f>
        <v>87.46</v>
      </c>
      <c r="H234" s="507">
        <f>[90]Source!DE1263</f>
        <v>0</v>
      </c>
      <c r="I234" s="485">
        <f>[90]Source!AV1263</f>
        <v>1.0669999999999999</v>
      </c>
      <c r="J234" s="508">
        <f>(ROUND((ROUND((([90]Source!ET1263)*[90]Source!AV1263*[90]Source!I1263),2)),2)+ROUND((ROUND((([90]Source!AE1263-([90]Source!EU1263))*[90]Source!AV1263*[90]Source!I1263),2)),2))-J244</f>
        <v>3.86</v>
      </c>
      <c r="K234" s="485">
        <f>IF([90]Source!BB1263&lt;&gt; 0, [90]Source!BB1263, 1)</f>
        <v>8.6</v>
      </c>
      <c r="L234" s="508">
        <f>[90]Source!Q1263-L244</f>
        <v>33.28</v>
      </c>
    </row>
    <row r="235" spans="1:27" ht="14.25" x14ac:dyDescent="0.2">
      <c r="A235" s="503"/>
      <c r="B235" s="503"/>
      <c r="C235" s="504"/>
      <c r="D235" s="504" t="s">
        <v>54</v>
      </c>
      <c r="E235" s="505"/>
      <c r="F235" s="485"/>
      <c r="G235" s="506">
        <f>[90]Source!AN1263</f>
        <v>10.69</v>
      </c>
      <c r="H235" s="507">
        <f>[90]Source!DE1263</f>
        <v>0</v>
      </c>
      <c r="I235" s="485">
        <f>[90]Source!AV1263</f>
        <v>1.0669999999999999</v>
      </c>
      <c r="J235" s="509">
        <f>ROUND((ROUND(([90]Source!AE1263*[90]Source!AV1263*[90]Source!I1263),2)),2)-J245</f>
        <v>0.47</v>
      </c>
      <c r="K235" s="485">
        <f>IF([90]Source!BS1263&lt;&gt; 0, [90]Source!BS1263, 1)</f>
        <v>24.23</v>
      </c>
      <c r="L235" s="509">
        <f>[90]Source!R1263-L245</f>
        <v>11.47</v>
      </c>
      <c r="W235" s="482">
        <f>J235</f>
        <v>0.47</v>
      </c>
    </row>
    <row r="236" spans="1:27" ht="14.25" x14ac:dyDescent="0.2">
      <c r="A236" s="503"/>
      <c r="B236" s="503"/>
      <c r="C236" s="504"/>
      <c r="D236" s="504" t="s">
        <v>55</v>
      </c>
      <c r="E236" s="505"/>
      <c r="F236" s="485"/>
      <c r="G236" s="506">
        <f>[90]Source!AL1263</f>
        <v>409.71</v>
      </c>
      <c r="H236" s="507">
        <f>[90]Source!DD1263</f>
        <v>0</v>
      </c>
      <c r="I236" s="485">
        <f>[90]Source!AW1263</f>
        <v>1</v>
      </c>
      <c r="J236" s="508">
        <f>ROUND((ROUND(([90]Source!AC1263*[90]Source!AW1263*[90]Source!I1263),2)),2)</f>
        <v>16.96</v>
      </c>
      <c r="K236" s="485">
        <f>IF([90]Source!BC1263&lt;&gt; 0, [90]Source!BC1263, 1)</f>
        <v>3.31</v>
      </c>
      <c r="L236" s="508">
        <f>[90]Source!P1263</f>
        <v>56.14</v>
      </c>
    </row>
    <row r="237" spans="1:27" ht="42.75" x14ac:dyDescent="0.2">
      <c r="A237" s="503">
        <v>23</v>
      </c>
      <c r="B237" s="503" t="str">
        <f>[90]Source!E1265</f>
        <v>196,1</v>
      </c>
      <c r="C237" s="504" t="str">
        <f>[90]Source!F1265</f>
        <v>1.19-3-13</v>
      </c>
      <c r="D237" s="504" t="s">
        <v>79</v>
      </c>
      <c r="E237" s="505" t="str">
        <f>[90]Source!H1265</f>
        <v>м2</v>
      </c>
      <c r="F237" s="485">
        <f>[90]Source!I1265</f>
        <v>4.1399999999999997</v>
      </c>
      <c r="G237" s="506">
        <f>[90]Source!AK1265</f>
        <v>157.54</v>
      </c>
      <c r="H237" s="524" t="s">
        <v>74</v>
      </c>
      <c r="I237" s="485">
        <f>[90]Source!AW1265</f>
        <v>1</v>
      </c>
      <c r="J237" s="508">
        <f>ROUND((ROUND(([90]Source!AC1265*[90]Source!AW1265*[90]Source!I1265),2)),2)+(ROUND((ROUND((([90]Source!ET1265)*[90]Source!AV1265*[90]Source!I1265),2)),2)+ROUND((ROUND((([90]Source!AE1265-([90]Source!EU1265))*[90]Source!AV1265*[90]Source!I1265),2)),2))+ROUND((ROUND(([90]Source!AF1265*[90]Source!AV1265*[90]Source!I1265),2)),2)</f>
        <v>652.22</v>
      </c>
      <c r="K237" s="485">
        <f>IF([90]Source!BC1265&lt;&gt; 0, [90]Source!BC1265, 1)</f>
        <v>3.07</v>
      </c>
      <c r="L237" s="508">
        <f>[90]Source!O1265</f>
        <v>2002.32</v>
      </c>
      <c r="Q237" s="482">
        <f>ROUND(([90]Source!DN1265/100)*ROUND((ROUND(([90]Source!AF1265*[90]Source!AV1265*[90]Source!I1265),2)),2), 2)</f>
        <v>0</v>
      </c>
      <c r="R237" s="482">
        <f>[90]Source!X1265</f>
        <v>0</v>
      </c>
      <c r="S237" s="482">
        <f>ROUND(([90]Source!DO1265/100)*ROUND((ROUND(([90]Source!AF1265*[90]Source!AV1265*[90]Source!I1265),2)),2), 2)</f>
        <v>0</v>
      </c>
      <c r="T237" s="482">
        <f>[90]Source!Y1265</f>
        <v>0</v>
      </c>
      <c r="U237" s="482">
        <f>ROUND((175/100)*ROUND((ROUND(([90]Source!AE1265*[90]Source!AV1265*[90]Source!I1265),2)),2), 2)</f>
        <v>0</v>
      </c>
      <c r="V237" s="482">
        <f>ROUND((157/100)*ROUND(ROUND((ROUND(([90]Source!AE1265*[90]Source!AV1265*[90]Source!I1265),2)*[90]Source!BS1265),2), 2), 2)</f>
        <v>0</v>
      </c>
      <c r="X237" s="482">
        <f>IF([90]Source!BI1265&lt;=1,J237, 0)</f>
        <v>652.22</v>
      </c>
      <c r="Y237" s="482">
        <f>IF([90]Source!BI1265=2,J237, 0)</f>
        <v>0</v>
      </c>
      <c r="Z237" s="482">
        <f>IF([90]Source!BI1265=3,J237, 0)</f>
        <v>0</v>
      </c>
      <c r="AA237" s="482">
        <f>IF([90]Source!BI1265=4,J237, 0)</f>
        <v>0</v>
      </c>
    </row>
    <row r="238" spans="1:27" ht="14.25" x14ac:dyDescent="0.2">
      <c r="A238" s="503"/>
      <c r="B238" s="503"/>
      <c r="C238" s="504"/>
      <c r="D238" s="504" t="s">
        <v>56</v>
      </c>
      <c r="E238" s="505" t="s">
        <v>57</v>
      </c>
      <c r="F238" s="485">
        <f>[90]Source!DN1263</f>
        <v>125</v>
      </c>
      <c r="G238" s="506"/>
      <c r="H238" s="507"/>
      <c r="I238" s="485"/>
      <c r="J238" s="508">
        <f>SUM(Q231:Q237)</f>
        <v>95.83</v>
      </c>
      <c r="K238" s="485">
        <f>[90]Source!BZ1263</f>
        <v>100</v>
      </c>
      <c r="L238" s="508">
        <f>SUM(R231:R237)</f>
        <v>1857.47</v>
      </c>
    </row>
    <row r="239" spans="1:27" ht="14.25" x14ac:dyDescent="0.2">
      <c r="A239" s="503"/>
      <c r="B239" s="503"/>
      <c r="C239" s="504"/>
      <c r="D239" s="504" t="s">
        <v>58</v>
      </c>
      <c r="E239" s="505" t="s">
        <v>57</v>
      </c>
      <c r="F239" s="485">
        <f>[90]Source!DO1263</f>
        <v>94</v>
      </c>
      <c r="G239" s="506"/>
      <c r="H239" s="507"/>
      <c r="I239" s="485"/>
      <c r="J239" s="508">
        <f>SUM(S231:S238)</f>
        <v>72.06</v>
      </c>
      <c r="K239" s="485">
        <f>[90]Source!CA1263</f>
        <v>45</v>
      </c>
      <c r="L239" s="508">
        <f>SUM(T231:T238)</f>
        <v>835.86</v>
      </c>
    </row>
    <row r="240" spans="1:27" ht="14.25" x14ac:dyDescent="0.2">
      <c r="A240" s="503"/>
      <c r="B240" s="503"/>
      <c r="C240" s="504"/>
      <c r="D240" s="504" t="s">
        <v>59</v>
      </c>
      <c r="E240" s="505" t="s">
        <v>57</v>
      </c>
      <c r="F240" s="485">
        <f>175</f>
        <v>175</v>
      </c>
      <c r="G240" s="506"/>
      <c r="H240" s="507"/>
      <c r="I240" s="485"/>
      <c r="J240" s="508">
        <f>SUM(U231:U239)-J246</f>
        <v>0.82</v>
      </c>
      <c r="K240" s="485">
        <f>157</f>
        <v>157</v>
      </c>
      <c r="L240" s="508">
        <f>SUM(V231:V239)-L246</f>
        <v>18.010000000000002</v>
      </c>
    </row>
    <row r="241" spans="1:27" ht="14.25" x14ac:dyDescent="0.2">
      <c r="A241" s="503"/>
      <c r="B241" s="503"/>
      <c r="C241" s="504"/>
      <c r="D241" s="504" t="s">
        <v>60</v>
      </c>
      <c r="E241" s="505" t="s">
        <v>61</v>
      </c>
      <c r="F241" s="485">
        <f>[90]Source!AQ1263</f>
        <v>91.8</v>
      </c>
      <c r="G241" s="506"/>
      <c r="H241" s="507">
        <f>[90]Source!DI1263</f>
        <v>0</v>
      </c>
      <c r="I241" s="485">
        <f>[90]Source!AV1263</f>
        <v>1.0669999999999999</v>
      </c>
      <c r="J241" s="508">
        <f>[90]Source!U1263</f>
        <v>4.0599999999999996</v>
      </c>
      <c r="K241" s="485"/>
      <c r="L241" s="508"/>
    </row>
    <row r="242" spans="1:27" ht="15" x14ac:dyDescent="0.25">
      <c r="I242" s="745">
        <f>J233+J234+J236+J238+J239+J240+SUM(J237:J237)</f>
        <v>918.41</v>
      </c>
      <c r="J242" s="745"/>
      <c r="K242" s="745">
        <f>L233+L234+L236+L238+L239+L240+SUM(L237:L237)</f>
        <v>6660.55</v>
      </c>
      <c r="L242" s="745"/>
      <c r="O242" s="510">
        <f>J233+J234+J236+J238+J239+J240+SUM(J237:J237)</f>
        <v>918.41</v>
      </c>
      <c r="P242" s="510">
        <f>L233+L234+L236+L238+L239+L240+SUM(L237:L237)</f>
        <v>6660.55</v>
      </c>
      <c r="X242" s="482">
        <f>IF([90]Source!BI1263&lt;=1,J233+J234+J236+J238+J239+J240-0, 0)</f>
        <v>266.19</v>
      </c>
      <c r="Y242" s="482">
        <f>IF([90]Source!BI1263=2,J233+J234+J236+J238+J239+J240-0, 0)</f>
        <v>0</v>
      </c>
      <c r="Z242" s="482">
        <f>IF([90]Source!BI1263=3,J233+J234+J236+J238+J239+J240-0, 0)</f>
        <v>0</v>
      </c>
      <c r="AA242" s="482">
        <f>IF([90]Source!BI1263=4,J233+J234+J236+J238+J239+J240,0)</f>
        <v>0</v>
      </c>
    </row>
    <row r="243" spans="1:27" ht="28.5" x14ac:dyDescent="0.2">
      <c r="A243" s="511"/>
      <c r="B243" s="511"/>
      <c r="C243" s="512"/>
      <c r="D243" s="512" t="s">
        <v>62</v>
      </c>
      <c r="E243" s="505"/>
      <c r="F243" s="513"/>
      <c r="G243" s="514"/>
      <c r="H243" s="505"/>
      <c r="I243" s="513"/>
      <c r="J243" s="509"/>
      <c r="K243" s="513"/>
      <c r="L243" s="509"/>
    </row>
    <row r="244" spans="1:27" ht="14.25" x14ac:dyDescent="0.2">
      <c r="A244" s="511"/>
      <c r="B244" s="511"/>
      <c r="C244" s="512"/>
      <c r="D244" s="512" t="s">
        <v>53</v>
      </c>
      <c r="E244" s="505"/>
      <c r="F244" s="513"/>
      <c r="G244" s="514">
        <f t="shared" ref="G244:L244" si="9">G245</f>
        <v>10.69</v>
      </c>
      <c r="H244" s="515" t="str">
        <f t="shared" si="9"/>
        <v>)*(1.67-1)</v>
      </c>
      <c r="I244" s="513">
        <f t="shared" si="9"/>
        <v>1.0669999999999999</v>
      </c>
      <c r="J244" s="509">
        <f t="shared" si="9"/>
        <v>0.32</v>
      </c>
      <c r="K244" s="513">
        <f t="shared" si="9"/>
        <v>24.23</v>
      </c>
      <c r="L244" s="509">
        <f t="shared" si="9"/>
        <v>7.67</v>
      </c>
    </row>
    <row r="245" spans="1:27" ht="14.25" x14ac:dyDescent="0.2">
      <c r="A245" s="511"/>
      <c r="B245" s="511"/>
      <c r="C245" s="512"/>
      <c r="D245" s="512" t="s">
        <v>54</v>
      </c>
      <c r="E245" s="505"/>
      <c r="F245" s="513"/>
      <c r="G245" s="514">
        <f>[90]Source!AN1263</f>
        <v>10.69</v>
      </c>
      <c r="H245" s="515" t="s">
        <v>63</v>
      </c>
      <c r="I245" s="513">
        <f>[90]Source!AV1263</f>
        <v>1.0669999999999999</v>
      </c>
      <c r="J245" s="509">
        <f>ROUND(F231*G245*I245*(1.67-1), 2)</f>
        <v>0.32</v>
      </c>
      <c r="K245" s="513">
        <f>IF([90]Source!BS1263&lt;&gt; 0, [90]Source!BS1263, 1)</f>
        <v>24.23</v>
      </c>
      <c r="L245" s="509">
        <f>ROUND(F231*G245*I245*(1.67-1)*K245, 2)</f>
        <v>7.67</v>
      </c>
      <c r="W245" s="482">
        <f>J245</f>
        <v>0.32</v>
      </c>
    </row>
    <row r="246" spans="1:27" ht="14.25" x14ac:dyDescent="0.2">
      <c r="A246" s="511"/>
      <c r="B246" s="511"/>
      <c r="C246" s="512"/>
      <c r="D246" s="512" t="s">
        <v>59</v>
      </c>
      <c r="E246" s="505" t="s">
        <v>57</v>
      </c>
      <c r="F246" s="513">
        <f>175</f>
        <v>175</v>
      </c>
      <c r="G246" s="514"/>
      <c r="H246" s="505"/>
      <c r="I246" s="513"/>
      <c r="J246" s="509">
        <f>ROUND(J245*(F246/100), 2)</f>
        <v>0.56000000000000005</v>
      </c>
      <c r="K246" s="513">
        <f>157</f>
        <v>157</v>
      </c>
      <c r="L246" s="509">
        <f>ROUND(L245*(K246/100), 2)</f>
        <v>12.04</v>
      </c>
    </row>
    <row r="247" spans="1:27" ht="15" x14ac:dyDescent="0.25">
      <c r="I247" s="745">
        <f>J246+J245</f>
        <v>0.88</v>
      </c>
      <c r="J247" s="745"/>
      <c r="K247" s="745">
        <f>L246+L245</f>
        <v>19.71</v>
      </c>
      <c r="L247" s="745"/>
      <c r="O247" s="510">
        <f>I247</f>
        <v>0.88</v>
      </c>
      <c r="P247" s="510">
        <f>K247</f>
        <v>19.71</v>
      </c>
      <c r="X247" s="482">
        <f>IF([90]Source!BI1263&lt;=1,I247, 0)</f>
        <v>0.88</v>
      </c>
      <c r="Y247" s="482">
        <f>IF([90]Source!BI1263=2,I247, 0)</f>
        <v>0</v>
      </c>
      <c r="Z247" s="482">
        <f>IF([90]Source!BI1263=3,I247, 0)</f>
        <v>0</v>
      </c>
      <c r="AA247" s="482">
        <f>IF([90]Source!BI1263=4,I247, 0)</f>
        <v>0</v>
      </c>
    </row>
    <row r="249" spans="1:27" ht="15" x14ac:dyDescent="0.25">
      <c r="A249" s="516"/>
      <c r="B249" s="516"/>
      <c r="C249" s="517"/>
      <c r="D249" s="517" t="s">
        <v>64</v>
      </c>
      <c r="E249" s="518"/>
      <c r="F249" s="519"/>
      <c r="G249" s="520"/>
      <c r="H249" s="521"/>
      <c r="I249" s="745">
        <f>I242+I247</f>
        <v>919.29</v>
      </c>
      <c r="J249" s="745"/>
      <c r="K249" s="745">
        <f>K242+K247</f>
        <v>6680.26</v>
      </c>
      <c r="L249" s="745"/>
    </row>
    <row r="251" spans="1:27" ht="15" x14ac:dyDescent="0.25">
      <c r="A251" s="749" t="str">
        <f>CONCATENATE("Итого по подразделу: ",IF([90]Source!G1334&lt;&gt;"Новый подраздел", [90]Source!G1334, ""))</f>
        <v>Итого по подразделу: В2-35</v>
      </c>
      <c r="B251" s="749"/>
      <c r="C251" s="749"/>
      <c r="D251" s="749"/>
      <c r="E251" s="749"/>
      <c r="F251" s="749"/>
      <c r="G251" s="749"/>
      <c r="H251" s="749"/>
      <c r="I251" s="750">
        <f>SUM(O52:O250)</f>
        <v>56033.18</v>
      </c>
      <c r="J251" s="751"/>
      <c r="K251" s="750">
        <f>SUM(P52:P250)</f>
        <v>437710.9</v>
      </c>
      <c r="L251" s="751"/>
    </row>
    <row r="252" spans="1:27" hidden="1" x14ac:dyDescent="0.2">
      <c r="A252" s="482" t="s">
        <v>67</v>
      </c>
      <c r="J252" s="482">
        <f>SUM(AC52:AC251)</f>
        <v>0</v>
      </c>
      <c r="K252" s="482">
        <f>SUM(AD52:AD251)</f>
        <v>0</v>
      </c>
    </row>
    <row r="253" spans="1:27" hidden="1" x14ac:dyDescent="0.2">
      <c r="A253" s="482" t="s">
        <v>68</v>
      </c>
      <c r="J253" s="482">
        <f>SUM(AE52:AE252)</f>
        <v>0</v>
      </c>
      <c r="K253" s="482">
        <f>SUM(AF52:AF252)</f>
        <v>0</v>
      </c>
    </row>
    <row r="255" spans="1:27" ht="15" x14ac:dyDescent="0.25">
      <c r="A255" s="749" t="str">
        <f>CONCATENATE("Итого по разделу: ",IF([90]Source!G1499&lt;&gt;"Новый раздел", [90]Source!G1499, ""))</f>
        <v>Итого по разделу: Вентиляция</v>
      </c>
      <c r="B255" s="749"/>
      <c r="C255" s="749"/>
      <c r="D255" s="749"/>
      <c r="E255" s="749"/>
      <c r="F255" s="749"/>
      <c r="G255" s="749"/>
      <c r="H255" s="749"/>
      <c r="I255" s="750">
        <f>SUM(O50:O254)</f>
        <v>56033.18</v>
      </c>
      <c r="J255" s="751"/>
      <c r="K255" s="750">
        <f>SUM(P50:P254)</f>
        <v>437710.9</v>
      </c>
      <c r="L255" s="751"/>
    </row>
    <row r="256" spans="1:27" hidden="1" x14ac:dyDescent="0.2">
      <c r="A256" s="482" t="s">
        <v>67</v>
      </c>
      <c r="J256" s="482">
        <f>SUM(AC50:AC255)</f>
        <v>0</v>
      </c>
      <c r="K256" s="482">
        <f>SUM(AD50:AD255)</f>
        <v>0</v>
      </c>
    </row>
    <row r="257" spans="1:256" hidden="1" x14ac:dyDescent="0.2">
      <c r="A257" s="482" t="s">
        <v>68</v>
      </c>
      <c r="J257" s="482">
        <f>SUM(AE50:AE256)</f>
        <v>0</v>
      </c>
      <c r="K257" s="482">
        <f>SUM(AF50:AF256)</f>
        <v>0</v>
      </c>
    </row>
    <row r="259" spans="1:256" hidden="1" x14ac:dyDescent="0.2">
      <c r="A259" s="482" t="s">
        <v>67</v>
      </c>
      <c r="J259" s="482" t="e">
        <f>SUM(#REF!)</f>
        <v>#REF!</v>
      </c>
      <c r="K259" s="482" t="e">
        <f>SUM(#REF!)</f>
        <v>#REF!</v>
      </c>
    </row>
    <row r="260" spans="1:256" hidden="1" x14ac:dyDescent="0.2">
      <c r="A260" s="482" t="s">
        <v>68</v>
      </c>
      <c r="J260" s="482">
        <f>SUM(AE259:AE259)</f>
        <v>0</v>
      </c>
      <c r="K260" s="482">
        <f>SUM(AF259:AF259)</f>
        <v>0</v>
      </c>
    </row>
    <row r="262" spans="1:256" ht="30" x14ac:dyDescent="0.25">
      <c r="A262" s="749" t="str">
        <f>CONCATENATE("Итого по локальной смете: ",IF([90]Source!G2328&lt;&gt;"Новая локальная смета", [90]Source!G2328, ""))</f>
        <v>Итого по локальной смете: Станционный комплекс "Аминьевское шоссе". Инженерные системы ТПП. Отопление, вентиляция, кондиционирование, дымоудаление.</v>
      </c>
      <c r="B262" s="749"/>
      <c r="C262" s="749"/>
      <c r="D262" s="749"/>
      <c r="E262" s="749"/>
      <c r="F262" s="749"/>
      <c r="G262" s="749"/>
      <c r="H262" s="749"/>
      <c r="I262" s="750">
        <f>SUM(O42:O261)</f>
        <v>56033.18</v>
      </c>
      <c r="J262" s="751"/>
      <c r="K262" s="750">
        <f>SUM(P42:P261)</f>
        <v>437710.9</v>
      </c>
      <c r="L262" s="751"/>
      <c r="AL262" s="525" t="str">
        <f>CONCATENATE("Итого по локальной смете: ",IF([90]Source!G2328&lt;&gt;"Новая локальная смета", [90]Source!G2328, ""))</f>
        <v>Итого по локальной смете: Станционный комплекс "Аминьевское шоссе". Инженерные системы ТПП. Отопление, вентиляция, кондиционирование, дымоудаление.</v>
      </c>
    </row>
    <row r="263" spans="1:256" hidden="1" x14ac:dyDescent="0.2">
      <c r="A263" s="482" t="s">
        <v>67</v>
      </c>
      <c r="J263" s="482">
        <f>SUM(AC42:AC262)</f>
        <v>0</v>
      </c>
      <c r="K263" s="482">
        <f>SUM(AD42:AD262)</f>
        <v>0</v>
      </c>
    </row>
    <row r="264" spans="1:256" hidden="1" x14ac:dyDescent="0.2">
      <c r="A264" s="482" t="s">
        <v>68</v>
      </c>
      <c r="J264" s="482">
        <f>SUM(AE42:AE263)</f>
        <v>0</v>
      </c>
      <c r="K264" s="482">
        <f>SUM(AF42:AF263)</f>
        <v>0</v>
      </c>
    </row>
    <row r="265" spans="1:256" ht="14.25" x14ac:dyDescent="0.2">
      <c r="D265" s="526" t="str">
        <f>[90]Source!H2334</f>
        <v>Стоимость материалов (всего)</v>
      </c>
      <c r="E265" s="526"/>
      <c r="F265" s="526"/>
      <c r="G265" s="526"/>
      <c r="H265" s="526"/>
      <c r="I265" s="746">
        <f>SUMIF(D54:D249,"МР",J54:J249)+J237+J218+J199+J180+J161+J142+J134+J132+J113+J94+J92+J90+J71</f>
        <v>44547.29</v>
      </c>
      <c r="J265" s="747"/>
      <c r="K265" s="748">
        <f>IF([90]Source!P2334=0, "", [90]Source!P2334)</f>
        <v>230008.6</v>
      </c>
      <c r="L265" s="748"/>
    </row>
    <row r="266" spans="1:256" ht="14.25" x14ac:dyDescent="0.2">
      <c r="D266" s="526" t="str">
        <f>[90]Source!H2342</f>
        <v>ЗП машинистов</v>
      </c>
      <c r="E266" s="526"/>
      <c r="F266" s="526"/>
      <c r="G266" s="526"/>
      <c r="H266" s="526"/>
      <c r="I266" s="746">
        <f>SUMIF(D33:D253,"в т.ч. ЗПМ",J33:J253)</f>
        <v>52.8</v>
      </c>
      <c r="J266" s="747"/>
      <c r="K266" s="748">
        <f>IF([90]Source!P2342=0, "", [90]Source!P2342)</f>
        <v>1279.3399999999999</v>
      </c>
      <c r="L266" s="748"/>
    </row>
    <row r="267" spans="1:256" ht="14.25" x14ac:dyDescent="0.2">
      <c r="D267" s="526" t="str">
        <f>[90]Source!H2343</f>
        <v>Основная ЗП рабочих</v>
      </c>
      <c r="E267" s="526"/>
      <c r="F267" s="526"/>
      <c r="G267" s="526"/>
      <c r="H267" s="526"/>
      <c r="I267" s="746">
        <f>SUMIF(D34:D254,"ЗП",J34:J254)</f>
        <v>3505.52</v>
      </c>
      <c r="J267" s="747"/>
      <c r="K267" s="748">
        <f>IF([90]Source!P2343=0, "", [90]Source!P2343)</f>
        <v>84938.74</v>
      </c>
      <c r="L267" s="748"/>
    </row>
    <row r="268" spans="1:256" ht="14.25" x14ac:dyDescent="0.2">
      <c r="D268" s="526" t="str">
        <f>[90]Source!H2353</f>
        <v>Накладные расходы</v>
      </c>
      <c r="E268" s="526"/>
      <c r="F268" s="526"/>
      <c r="G268" s="526"/>
      <c r="H268" s="526"/>
      <c r="I268" s="746">
        <f>SUMIF(D35:D255,"НР от ЗП",J35:J255)</f>
        <v>4381.91</v>
      </c>
      <c r="J268" s="747"/>
      <c r="K268" s="748">
        <f>IF([90]Source!P2353=0, "", [90]Source!P2353)</f>
        <v>84938.74</v>
      </c>
      <c r="L268" s="748"/>
    </row>
    <row r="269" spans="1:256" ht="14.25" x14ac:dyDescent="0.2">
      <c r="D269" s="526" t="str">
        <f>[90]Source!H2354</f>
        <v>Сметная прибыль</v>
      </c>
      <c r="E269" s="526"/>
      <c r="F269" s="526"/>
      <c r="G269" s="526"/>
      <c r="H269" s="526"/>
      <c r="I269" s="746">
        <f>SUMIF(D36:D256,"СП от ЗП",J36:J256)</f>
        <v>3295.17</v>
      </c>
      <c r="J269" s="747"/>
      <c r="K269" s="748">
        <f>IF([90]Source!P2354=0, "", [90]Source!P2354)</f>
        <v>38222.44</v>
      </c>
      <c r="L269" s="748"/>
    </row>
    <row r="271" spans="1:256" ht="15" x14ac:dyDescent="0.25">
      <c r="A271" s="237"/>
      <c r="B271" s="237"/>
      <c r="C271" s="237"/>
      <c r="D271" s="623" t="s">
        <v>191</v>
      </c>
      <c r="E271" s="623"/>
      <c r="F271" s="623"/>
      <c r="G271" s="623"/>
      <c r="H271" s="623"/>
      <c r="I271" s="368"/>
      <c r="J271" s="369">
        <v>0</v>
      </c>
      <c r="K271" s="369"/>
      <c r="L271" s="369">
        <v>0</v>
      </c>
      <c r="M271" s="370" t="e">
        <v>#REF!</v>
      </c>
      <c r="N271" s="371"/>
      <c r="O271" s="371"/>
      <c r="P271" s="371"/>
      <c r="Q271" s="371"/>
      <c r="R271" s="371"/>
      <c r="S271" s="371"/>
      <c r="T271" s="371"/>
      <c r="U271" s="371"/>
      <c r="V271" s="371"/>
      <c r="W271" s="371"/>
      <c r="X271" s="371"/>
      <c r="Y271" s="371"/>
      <c r="Z271" s="371"/>
      <c r="AA271" s="371"/>
      <c r="AB271" s="371"/>
      <c r="AC271" s="371"/>
      <c r="AD271" s="371"/>
      <c r="AE271" s="371"/>
      <c r="AF271" s="371"/>
      <c r="AG271" s="371"/>
      <c r="AH271" s="371"/>
      <c r="AI271" s="371"/>
      <c r="AJ271" s="371"/>
      <c r="AK271" s="371"/>
      <c r="AL271" s="371"/>
      <c r="AM271" s="371"/>
      <c r="AN271" s="371"/>
      <c r="AO271" s="371"/>
      <c r="AP271" s="371"/>
      <c r="AQ271" s="371"/>
      <c r="AR271" s="371"/>
      <c r="AS271" s="371"/>
      <c r="AT271" s="371"/>
      <c r="AU271" s="371"/>
      <c r="AV271" s="371"/>
      <c r="AW271" s="371"/>
      <c r="AX271" s="371"/>
      <c r="AY271" s="371"/>
      <c r="AZ271" s="371"/>
      <c r="BA271" s="371"/>
      <c r="BB271" s="371"/>
      <c r="BC271" s="371"/>
      <c r="BD271" s="371"/>
      <c r="BE271" s="371"/>
      <c r="BF271" s="371"/>
      <c r="BG271" s="371"/>
      <c r="BH271" s="371"/>
      <c r="BI271" s="371"/>
      <c r="BJ271" s="371"/>
      <c r="BK271" s="371"/>
      <c r="BL271" s="371"/>
      <c r="BM271" s="371"/>
      <c r="BN271" s="371"/>
      <c r="BO271" s="371"/>
      <c r="BP271" s="371"/>
      <c r="BQ271" s="371"/>
      <c r="BR271" s="371"/>
      <c r="BS271" s="371"/>
      <c r="BT271" s="371"/>
      <c r="BU271" s="371"/>
      <c r="BV271" s="371"/>
      <c r="BW271" s="371"/>
      <c r="BX271" s="371"/>
      <c r="BY271" s="371"/>
      <c r="BZ271" s="371"/>
      <c r="CA271" s="371"/>
      <c r="CB271" s="371"/>
      <c r="CC271" s="371"/>
      <c r="CD271" s="371"/>
      <c r="CE271" s="371"/>
      <c r="CF271" s="371"/>
      <c r="CG271" s="371"/>
      <c r="CH271" s="371"/>
      <c r="CI271" s="371"/>
      <c r="CJ271" s="371"/>
      <c r="CK271" s="371"/>
      <c r="CL271" s="371"/>
      <c r="CM271" s="371"/>
      <c r="CN271" s="371"/>
      <c r="CO271" s="371"/>
      <c r="CP271" s="371"/>
      <c r="CQ271" s="371"/>
      <c r="CR271" s="371"/>
      <c r="CS271" s="371"/>
      <c r="CT271" s="371"/>
      <c r="CU271" s="371"/>
      <c r="CV271" s="371"/>
      <c r="CW271" s="371"/>
      <c r="CX271" s="371"/>
      <c r="CY271" s="371"/>
      <c r="CZ271" s="371"/>
      <c r="DA271" s="371"/>
      <c r="DB271" s="371"/>
      <c r="DC271" s="371"/>
      <c r="DD271" s="371"/>
      <c r="DE271" s="371"/>
      <c r="DF271" s="371"/>
      <c r="DG271" s="371"/>
      <c r="DH271" s="371"/>
      <c r="DI271" s="371"/>
      <c r="DJ271" s="371"/>
      <c r="DK271" s="371"/>
      <c r="DL271" s="371"/>
      <c r="DM271" s="371"/>
      <c r="DN271" s="371"/>
      <c r="DO271" s="371"/>
      <c r="DP271" s="371"/>
      <c r="DQ271" s="371"/>
      <c r="DR271" s="371"/>
      <c r="DS271" s="371"/>
      <c r="DT271" s="371"/>
      <c r="DU271" s="371"/>
      <c r="DV271" s="371"/>
      <c r="DW271" s="371"/>
      <c r="DX271" s="371"/>
      <c r="DY271" s="371"/>
      <c r="DZ271" s="371"/>
      <c r="EA271" s="371"/>
      <c r="EB271" s="371"/>
      <c r="EC271" s="371"/>
      <c r="ED271" s="371"/>
      <c r="EE271" s="371"/>
      <c r="EF271" s="371"/>
      <c r="EG271" s="371"/>
      <c r="EH271" s="371"/>
      <c r="EI271" s="371"/>
      <c r="EJ271" s="371"/>
      <c r="EK271" s="371"/>
      <c r="EL271" s="371"/>
      <c r="EM271" s="371"/>
      <c r="EN271" s="371"/>
      <c r="EO271" s="371"/>
      <c r="EP271" s="371"/>
      <c r="EQ271" s="371"/>
      <c r="ER271" s="371"/>
      <c r="ES271" s="371"/>
      <c r="ET271" s="371"/>
      <c r="EU271" s="371"/>
      <c r="EV271" s="371"/>
      <c r="EW271" s="371"/>
      <c r="EX271" s="371"/>
      <c r="EY271" s="371"/>
      <c r="EZ271" s="371"/>
      <c r="FA271" s="371"/>
      <c r="FB271" s="371"/>
      <c r="FC271" s="371"/>
      <c r="FD271" s="371"/>
      <c r="FE271" s="371"/>
      <c r="FF271" s="371"/>
      <c r="FG271" s="371"/>
      <c r="FH271" s="371"/>
      <c r="FI271" s="371"/>
      <c r="FJ271" s="371"/>
      <c r="FK271" s="371"/>
      <c r="FL271" s="371"/>
      <c r="FM271" s="371"/>
      <c r="FN271" s="371"/>
      <c r="FO271" s="371"/>
      <c r="FP271" s="371"/>
      <c r="FQ271" s="371"/>
      <c r="FR271" s="371"/>
      <c r="FS271" s="371"/>
      <c r="FT271" s="371"/>
      <c r="FU271" s="371"/>
      <c r="FV271" s="371"/>
      <c r="FW271" s="371"/>
      <c r="FX271" s="371"/>
      <c r="FY271" s="371"/>
      <c r="FZ271" s="371"/>
      <c r="GA271" s="371"/>
      <c r="GB271" s="371"/>
      <c r="GC271" s="371"/>
      <c r="GD271" s="371"/>
      <c r="GE271" s="371"/>
      <c r="GF271" s="371"/>
      <c r="GG271" s="371"/>
      <c r="GH271" s="371"/>
      <c r="GI271" s="371"/>
      <c r="GJ271" s="371"/>
      <c r="GK271" s="371"/>
      <c r="GL271" s="371"/>
      <c r="GM271" s="371"/>
      <c r="GN271" s="371"/>
      <c r="GO271" s="371"/>
      <c r="GP271" s="371"/>
      <c r="GQ271" s="371"/>
      <c r="GR271" s="371"/>
      <c r="GS271" s="371"/>
      <c r="GT271" s="371"/>
      <c r="GU271" s="371"/>
      <c r="GV271" s="371"/>
      <c r="GW271" s="371"/>
      <c r="GX271" s="371"/>
      <c r="GY271" s="371"/>
      <c r="GZ271" s="371"/>
      <c r="HA271" s="371"/>
      <c r="HB271" s="371"/>
      <c r="HC271" s="371"/>
      <c r="HD271" s="371"/>
      <c r="HE271" s="371"/>
      <c r="HF271" s="371"/>
      <c r="HG271" s="371"/>
      <c r="HH271" s="371"/>
      <c r="HI271" s="371"/>
      <c r="HJ271" s="371"/>
      <c r="HK271" s="371"/>
      <c r="HL271" s="371"/>
      <c r="HM271" s="371"/>
      <c r="HN271" s="371"/>
      <c r="HO271" s="371"/>
      <c r="HP271" s="371"/>
      <c r="HQ271" s="371"/>
      <c r="HR271" s="371"/>
      <c r="HS271" s="371"/>
      <c r="HT271" s="371"/>
      <c r="HU271" s="371"/>
      <c r="HV271" s="371"/>
      <c r="HW271" s="371"/>
      <c r="HX271" s="371"/>
      <c r="HY271" s="371"/>
      <c r="HZ271" s="371"/>
      <c r="IA271" s="371"/>
      <c r="IB271" s="371"/>
      <c r="IC271" s="371"/>
      <c r="ID271" s="371"/>
      <c r="IE271" s="371"/>
      <c r="IF271" s="371"/>
      <c r="IG271" s="371"/>
      <c r="IH271" s="371"/>
      <c r="II271" s="371"/>
      <c r="IJ271" s="371"/>
      <c r="IK271" s="371"/>
      <c r="IL271" s="371"/>
      <c r="IM271" s="371"/>
      <c r="IN271" s="371"/>
      <c r="IO271" s="371"/>
      <c r="IP271" s="371"/>
      <c r="IQ271" s="371"/>
      <c r="IR271" s="371"/>
      <c r="IS271" s="371"/>
      <c r="IT271" s="371"/>
      <c r="IU271" s="371"/>
      <c r="IV271" s="371"/>
    </row>
    <row r="272" spans="1:256" ht="15" x14ac:dyDescent="0.25">
      <c r="A272" s="239"/>
      <c r="B272" s="239"/>
      <c r="C272" s="239"/>
      <c r="D272" s="623" t="s">
        <v>192</v>
      </c>
      <c r="E272" s="623"/>
      <c r="F272" s="623"/>
      <c r="G272" s="623"/>
      <c r="H272" s="623"/>
      <c r="I272" s="368"/>
      <c r="J272" s="369">
        <v>0</v>
      </c>
      <c r="K272" s="372"/>
      <c r="L272" s="369">
        <v>0</v>
      </c>
      <c r="M272" s="370"/>
      <c r="N272" s="373"/>
      <c r="O272" s="373"/>
      <c r="P272" s="373"/>
      <c r="Q272" s="373"/>
      <c r="R272" s="373"/>
      <c r="S272" s="373"/>
      <c r="T272" s="373"/>
      <c r="U272" s="373"/>
      <c r="V272" s="373"/>
      <c r="W272" s="373"/>
      <c r="X272" s="373"/>
      <c r="Y272" s="373"/>
      <c r="Z272" s="373"/>
      <c r="AA272" s="373"/>
      <c r="AB272" s="373"/>
      <c r="AC272" s="373"/>
      <c r="AD272" s="373"/>
      <c r="AE272" s="373"/>
      <c r="AF272" s="373"/>
      <c r="AG272" s="373"/>
      <c r="AH272" s="373"/>
      <c r="AI272" s="373"/>
      <c r="AJ272" s="373"/>
      <c r="AK272" s="373"/>
      <c r="AL272" s="373"/>
      <c r="AM272" s="373"/>
      <c r="AN272" s="373"/>
      <c r="AO272" s="373"/>
      <c r="AP272" s="373"/>
      <c r="AQ272" s="373"/>
      <c r="AR272" s="373"/>
      <c r="AS272" s="373"/>
      <c r="AT272" s="373"/>
      <c r="AU272" s="373"/>
      <c r="AV272" s="373"/>
      <c r="AW272" s="373"/>
      <c r="AX272" s="373"/>
      <c r="AY272" s="373"/>
      <c r="AZ272" s="373"/>
      <c r="BA272" s="373"/>
      <c r="BB272" s="373"/>
      <c r="BC272" s="373"/>
      <c r="BD272" s="373"/>
      <c r="BE272" s="373"/>
      <c r="BF272" s="373"/>
      <c r="BG272" s="373"/>
      <c r="BH272" s="373"/>
      <c r="BI272" s="373"/>
      <c r="BJ272" s="373"/>
      <c r="BK272" s="373"/>
      <c r="BL272" s="373"/>
      <c r="BM272" s="373"/>
      <c r="BN272" s="373"/>
      <c r="BO272" s="373"/>
      <c r="BP272" s="373"/>
      <c r="BQ272" s="373"/>
      <c r="BR272" s="373"/>
      <c r="BS272" s="373"/>
      <c r="BT272" s="373"/>
      <c r="BU272" s="373"/>
      <c r="BV272" s="373"/>
      <c r="BW272" s="373"/>
      <c r="BX272" s="373"/>
      <c r="BY272" s="373"/>
      <c r="BZ272" s="373"/>
      <c r="CA272" s="373"/>
      <c r="CB272" s="373"/>
      <c r="CC272" s="373"/>
      <c r="CD272" s="373"/>
      <c r="CE272" s="373"/>
      <c r="CF272" s="373"/>
      <c r="CG272" s="373"/>
      <c r="CH272" s="373"/>
      <c r="CI272" s="373"/>
      <c r="CJ272" s="373"/>
      <c r="CK272" s="373"/>
      <c r="CL272" s="373"/>
      <c r="CM272" s="373"/>
      <c r="CN272" s="373"/>
      <c r="CO272" s="373"/>
      <c r="CP272" s="373"/>
      <c r="CQ272" s="373"/>
      <c r="CR272" s="373"/>
      <c r="CS272" s="373"/>
      <c r="CT272" s="373"/>
      <c r="CU272" s="373"/>
      <c r="CV272" s="373"/>
      <c r="CW272" s="373"/>
      <c r="CX272" s="373"/>
      <c r="CY272" s="373"/>
      <c r="CZ272" s="373"/>
      <c r="DA272" s="373"/>
      <c r="DB272" s="373"/>
      <c r="DC272" s="373"/>
      <c r="DD272" s="373"/>
      <c r="DE272" s="373"/>
      <c r="DF272" s="373"/>
      <c r="DG272" s="373"/>
      <c r="DH272" s="373"/>
      <c r="DI272" s="373"/>
      <c r="DJ272" s="373"/>
      <c r="DK272" s="373"/>
      <c r="DL272" s="373"/>
      <c r="DM272" s="373"/>
      <c r="DN272" s="373"/>
      <c r="DO272" s="373"/>
      <c r="DP272" s="373"/>
      <c r="DQ272" s="373"/>
      <c r="DR272" s="373"/>
      <c r="DS272" s="373"/>
      <c r="DT272" s="373"/>
      <c r="DU272" s="373"/>
      <c r="DV272" s="373"/>
      <c r="DW272" s="373"/>
      <c r="DX272" s="373"/>
      <c r="DY272" s="373"/>
      <c r="DZ272" s="373"/>
      <c r="EA272" s="373"/>
      <c r="EB272" s="373"/>
      <c r="EC272" s="373"/>
      <c r="ED272" s="373"/>
      <c r="EE272" s="373"/>
      <c r="EF272" s="373"/>
      <c r="EG272" s="373"/>
      <c r="EH272" s="373"/>
      <c r="EI272" s="373"/>
      <c r="EJ272" s="373"/>
      <c r="EK272" s="373"/>
      <c r="EL272" s="373"/>
      <c r="EM272" s="373"/>
      <c r="EN272" s="373"/>
      <c r="EO272" s="373"/>
      <c r="EP272" s="373"/>
      <c r="EQ272" s="373"/>
      <c r="ER272" s="373"/>
      <c r="ES272" s="373"/>
      <c r="ET272" s="373"/>
      <c r="EU272" s="373"/>
      <c r="EV272" s="373"/>
      <c r="EW272" s="373"/>
      <c r="EX272" s="373"/>
      <c r="EY272" s="373"/>
      <c r="EZ272" s="373"/>
      <c r="FA272" s="373"/>
      <c r="FB272" s="373"/>
      <c r="FC272" s="373"/>
      <c r="FD272" s="373"/>
      <c r="FE272" s="373"/>
      <c r="FF272" s="373"/>
      <c r="FG272" s="373"/>
      <c r="FH272" s="373"/>
      <c r="FI272" s="373"/>
      <c r="FJ272" s="373"/>
      <c r="FK272" s="373"/>
      <c r="FL272" s="373"/>
      <c r="FM272" s="373"/>
      <c r="FN272" s="373"/>
      <c r="FO272" s="373"/>
      <c r="FP272" s="373"/>
      <c r="FQ272" s="373"/>
      <c r="FR272" s="373"/>
      <c r="FS272" s="373"/>
      <c r="FT272" s="373"/>
      <c r="FU272" s="373"/>
      <c r="FV272" s="373"/>
      <c r="FW272" s="373"/>
      <c r="FX272" s="373"/>
      <c r="FY272" s="373"/>
      <c r="FZ272" s="373"/>
      <c r="GA272" s="373"/>
      <c r="GB272" s="373"/>
      <c r="GC272" s="373"/>
      <c r="GD272" s="373"/>
      <c r="GE272" s="373"/>
      <c r="GF272" s="373"/>
      <c r="GG272" s="373"/>
      <c r="GH272" s="373"/>
      <c r="GI272" s="373"/>
      <c r="GJ272" s="373"/>
      <c r="GK272" s="373"/>
      <c r="GL272" s="373"/>
      <c r="GM272" s="373"/>
      <c r="GN272" s="373"/>
      <c r="GO272" s="373"/>
      <c r="GP272" s="373"/>
      <c r="GQ272" s="373"/>
      <c r="GR272" s="373"/>
      <c r="GS272" s="373"/>
      <c r="GT272" s="373"/>
      <c r="GU272" s="373"/>
      <c r="GV272" s="373"/>
      <c r="GW272" s="373"/>
      <c r="GX272" s="373"/>
      <c r="GY272" s="373"/>
      <c r="GZ272" s="373"/>
      <c r="HA272" s="373"/>
      <c r="HB272" s="373"/>
      <c r="HC272" s="373"/>
      <c r="HD272" s="373"/>
      <c r="HE272" s="373"/>
      <c r="HF272" s="373"/>
      <c r="HG272" s="373"/>
      <c r="HH272" s="373"/>
      <c r="HI272" s="373"/>
      <c r="HJ272" s="373"/>
      <c r="HK272" s="373"/>
      <c r="HL272" s="373"/>
      <c r="HM272" s="373"/>
      <c r="HN272" s="373"/>
      <c r="HO272" s="373"/>
      <c r="HP272" s="373"/>
      <c r="HQ272" s="373"/>
      <c r="HR272" s="373"/>
      <c r="HS272" s="373"/>
      <c r="HT272" s="373"/>
      <c r="HU272" s="373"/>
      <c r="HV272" s="373"/>
      <c r="HW272" s="373"/>
      <c r="HX272" s="373"/>
      <c r="HY272" s="373"/>
      <c r="HZ272" s="373"/>
      <c r="IA272" s="373"/>
      <c r="IB272" s="373"/>
      <c r="IC272" s="373"/>
      <c r="ID272" s="373"/>
      <c r="IE272" s="373"/>
      <c r="IF272" s="373"/>
      <c r="IG272" s="373"/>
      <c r="IH272" s="373"/>
      <c r="II272" s="373"/>
      <c r="IJ272" s="373"/>
      <c r="IK272" s="373"/>
      <c r="IL272" s="373"/>
      <c r="IM272" s="373"/>
      <c r="IN272" s="373"/>
      <c r="IO272" s="373"/>
      <c r="IP272" s="373"/>
      <c r="IQ272" s="373"/>
      <c r="IR272" s="373"/>
      <c r="IS272" s="373"/>
      <c r="IT272" s="373"/>
      <c r="IU272" s="373"/>
      <c r="IV272" s="373"/>
    </row>
    <row r="273" spans="1:256" ht="15" x14ac:dyDescent="0.25">
      <c r="A273" s="239"/>
      <c r="B273" s="239"/>
      <c r="C273" s="239"/>
      <c r="D273" s="372" t="s">
        <v>193</v>
      </c>
      <c r="E273" s="372"/>
      <c r="F273" s="372"/>
      <c r="G273" s="372"/>
      <c r="H273" s="372"/>
      <c r="I273" s="372"/>
      <c r="J273" s="369">
        <v>0</v>
      </c>
      <c r="K273" s="372"/>
      <c r="L273" s="369">
        <v>0</v>
      </c>
      <c r="M273" s="370"/>
      <c r="N273" s="373"/>
      <c r="O273" s="373"/>
      <c r="P273" s="373"/>
      <c r="Q273" s="373"/>
      <c r="R273" s="373"/>
      <c r="S273" s="373"/>
      <c r="T273" s="373"/>
      <c r="U273" s="373"/>
      <c r="V273" s="373"/>
      <c r="W273" s="373"/>
      <c r="X273" s="373"/>
      <c r="Y273" s="373"/>
      <c r="Z273" s="373"/>
      <c r="AA273" s="373"/>
      <c r="AB273" s="373"/>
      <c r="AC273" s="373"/>
      <c r="AD273" s="373"/>
      <c r="AE273" s="373"/>
      <c r="AF273" s="373"/>
      <c r="AG273" s="373"/>
      <c r="AH273" s="373"/>
      <c r="AI273" s="373"/>
      <c r="AJ273" s="373"/>
      <c r="AK273" s="373"/>
      <c r="AL273" s="373"/>
      <c r="AM273" s="373"/>
      <c r="AN273" s="373"/>
      <c r="AO273" s="373"/>
      <c r="AP273" s="373"/>
      <c r="AQ273" s="373"/>
      <c r="AR273" s="373"/>
      <c r="AS273" s="373"/>
      <c r="AT273" s="373"/>
      <c r="AU273" s="373"/>
      <c r="AV273" s="373"/>
      <c r="AW273" s="373"/>
      <c r="AX273" s="373"/>
      <c r="AY273" s="373"/>
      <c r="AZ273" s="373"/>
      <c r="BA273" s="373"/>
      <c r="BB273" s="373"/>
      <c r="BC273" s="373"/>
      <c r="BD273" s="373"/>
      <c r="BE273" s="373"/>
      <c r="BF273" s="373"/>
      <c r="BG273" s="373"/>
      <c r="BH273" s="373"/>
      <c r="BI273" s="373"/>
      <c r="BJ273" s="373"/>
      <c r="BK273" s="373"/>
      <c r="BL273" s="373"/>
      <c r="BM273" s="373"/>
      <c r="BN273" s="373"/>
      <c r="BO273" s="373"/>
      <c r="BP273" s="373"/>
      <c r="BQ273" s="373"/>
      <c r="BR273" s="373"/>
      <c r="BS273" s="373"/>
      <c r="BT273" s="373"/>
      <c r="BU273" s="373"/>
      <c r="BV273" s="373"/>
      <c r="BW273" s="373"/>
      <c r="BX273" s="373"/>
      <c r="BY273" s="373"/>
      <c r="BZ273" s="373"/>
      <c r="CA273" s="373"/>
      <c r="CB273" s="373"/>
      <c r="CC273" s="373"/>
      <c r="CD273" s="373"/>
      <c r="CE273" s="373"/>
      <c r="CF273" s="373"/>
      <c r="CG273" s="373"/>
      <c r="CH273" s="373"/>
      <c r="CI273" s="373"/>
      <c r="CJ273" s="373"/>
      <c r="CK273" s="373"/>
      <c r="CL273" s="373"/>
      <c r="CM273" s="373"/>
      <c r="CN273" s="373"/>
      <c r="CO273" s="373"/>
      <c r="CP273" s="373"/>
      <c r="CQ273" s="373"/>
      <c r="CR273" s="373"/>
      <c r="CS273" s="373"/>
      <c r="CT273" s="373"/>
      <c r="CU273" s="373"/>
      <c r="CV273" s="373"/>
      <c r="CW273" s="373"/>
      <c r="CX273" s="373"/>
      <c r="CY273" s="373"/>
      <c r="CZ273" s="373"/>
      <c r="DA273" s="373"/>
      <c r="DB273" s="373"/>
      <c r="DC273" s="373"/>
      <c r="DD273" s="373"/>
      <c r="DE273" s="373"/>
      <c r="DF273" s="373"/>
      <c r="DG273" s="373"/>
      <c r="DH273" s="373"/>
      <c r="DI273" s="373"/>
      <c r="DJ273" s="373"/>
      <c r="DK273" s="373"/>
      <c r="DL273" s="373"/>
      <c r="DM273" s="373"/>
      <c r="DN273" s="373"/>
      <c r="DO273" s="373"/>
      <c r="DP273" s="373"/>
      <c r="DQ273" s="373"/>
      <c r="DR273" s="373"/>
      <c r="DS273" s="373"/>
      <c r="DT273" s="373"/>
      <c r="DU273" s="373"/>
      <c r="DV273" s="373"/>
      <c r="DW273" s="373"/>
      <c r="DX273" s="373"/>
      <c r="DY273" s="373"/>
      <c r="DZ273" s="373"/>
      <c r="EA273" s="373"/>
      <c r="EB273" s="373"/>
      <c r="EC273" s="373"/>
      <c r="ED273" s="373"/>
      <c r="EE273" s="373"/>
      <c r="EF273" s="373"/>
      <c r="EG273" s="373"/>
      <c r="EH273" s="373"/>
      <c r="EI273" s="373"/>
      <c r="EJ273" s="373"/>
      <c r="EK273" s="373"/>
      <c r="EL273" s="373"/>
      <c r="EM273" s="373"/>
      <c r="EN273" s="373"/>
      <c r="EO273" s="373"/>
      <c r="EP273" s="373"/>
      <c r="EQ273" s="373"/>
      <c r="ER273" s="373"/>
      <c r="ES273" s="373"/>
      <c r="ET273" s="373"/>
      <c r="EU273" s="373"/>
      <c r="EV273" s="373"/>
      <c r="EW273" s="373"/>
      <c r="EX273" s="373"/>
      <c r="EY273" s="373"/>
      <c r="EZ273" s="373"/>
      <c r="FA273" s="373"/>
      <c r="FB273" s="373"/>
      <c r="FC273" s="373"/>
      <c r="FD273" s="373"/>
      <c r="FE273" s="373"/>
      <c r="FF273" s="373"/>
      <c r="FG273" s="373"/>
      <c r="FH273" s="373"/>
      <c r="FI273" s="373"/>
      <c r="FJ273" s="373"/>
      <c r="FK273" s="373"/>
      <c r="FL273" s="373"/>
      <c r="FM273" s="373"/>
      <c r="FN273" s="373"/>
      <c r="FO273" s="373"/>
      <c r="FP273" s="373"/>
      <c r="FQ273" s="373"/>
      <c r="FR273" s="373"/>
      <c r="FS273" s="373"/>
      <c r="FT273" s="373"/>
      <c r="FU273" s="373"/>
      <c r="FV273" s="373"/>
      <c r="FW273" s="373"/>
      <c r="FX273" s="373"/>
      <c r="FY273" s="373"/>
      <c r="FZ273" s="373"/>
      <c r="GA273" s="373"/>
      <c r="GB273" s="373"/>
      <c r="GC273" s="373"/>
      <c r="GD273" s="373"/>
      <c r="GE273" s="373"/>
      <c r="GF273" s="373"/>
      <c r="GG273" s="373"/>
      <c r="GH273" s="373"/>
      <c r="GI273" s="373"/>
      <c r="GJ273" s="373"/>
      <c r="GK273" s="373"/>
      <c r="GL273" s="373"/>
      <c r="GM273" s="373"/>
      <c r="GN273" s="373"/>
      <c r="GO273" s="373"/>
      <c r="GP273" s="373"/>
      <c r="GQ273" s="373"/>
      <c r="GR273" s="373"/>
      <c r="GS273" s="373"/>
      <c r="GT273" s="373"/>
      <c r="GU273" s="373"/>
      <c r="GV273" s="373"/>
      <c r="GW273" s="373"/>
      <c r="GX273" s="373"/>
      <c r="GY273" s="373"/>
      <c r="GZ273" s="373"/>
      <c r="HA273" s="373"/>
      <c r="HB273" s="373"/>
      <c r="HC273" s="373"/>
      <c r="HD273" s="373"/>
      <c r="HE273" s="373"/>
      <c r="HF273" s="373"/>
      <c r="HG273" s="373"/>
      <c r="HH273" s="373"/>
      <c r="HI273" s="373"/>
      <c r="HJ273" s="373"/>
      <c r="HK273" s="373"/>
      <c r="HL273" s="373"/>
      <c r="HM273" s="373"/>
      <c r="HN273" s="373"/>
      <c r="HO273" s="373"/>
      <c r="HP273" s="373"/>
      <c r="HQ273" s="373"/>
      <c r="HR273" s="373"/>
      <c r="HS273" s="373"/>
      <c r="HT273" s="373"/>
      <c r="HU273" s="373"/>
      <c r="HV273" s="373"/>
      <c r="HW273" s="373"/>
      <c r="HX273" s="373"/>
      <c r="HY273" s="373"/>
      <c r="HZ273" s="373"/>
      <c r="IA273" s="373"/>
      <c r="IB273" s="373"/>
      <c r="IC273" s="373"/>
      <c r="ID273" s="373"/>
      <c r="IE273" s="373"/>
      <c r="IF273" s="373"/>
      <c r="IG273" s="373"/>
      <c r="IH273" s="373"/>
      <c r="II273" s="373"/>
      <c r="IJ273" s="373"/>
      <c r="IK273" s="373"/>
      <c r="IL273" s="373"/>
      <c r="IM273" s="373"/>
      <c r="IN273" s="373"/>
      <c r="IO273" s="373"/>
      <c r="IP273" s="373"/>
      <c r="IQ273" s="373"/>
      <c r="IR273" s="373"/>
      <c r="IS273" s="373"/>
      <c r="IT273" s="373"/>
      <c r="IU273" s="373"/>
      <c r="IV273" s="373"/>
    </row>
    <row r="274" spans="1:256" ht="14.25" x14ac:dyDescent="0.2">
      <c r="A274" s="241"/>
      <c r="B274" s="241"/>
      <c r="C274" s="241"/>
      <c r="D274" s="241"/>
      <c r="E274" s="241"/>
      <c r="F274" s="241"/>
      <c r="G274" s="241"/>
      <c r="H274" s="241"/>
      <c r="I274" s="241"/>
      <c r="J274" s="241"/>
      <c r="K274" s="241"/>
      <c r="L274" s="241"/>
      <c r="M274" s="374"/>
      <c r="N274" s="375"/>
      <c r="O274" s="375"/>
      <c r="P274" s="375"/>
      <c r="Q274" s="375"/>
      <c r="R274" s="375"/>
      <c r="S274" s="375"/>
      <c r="T274" s="375"/>
      <c r="U274" s="375"/>
      <c r="V274" s="375"/>
      <c r="W274" s="375"/>
      <c r="X274" s="375"/>
      <c r="Y274" s="375"/>
      <c r="Z274" s="375"/>
      <c r="AA274" s="375"/>
      <c r="AB274" s="375"/>
      <c r="AC274" s="375"/>
      <c r="AD274" s="375"/>
      <c r="AE274" s="375"/>
      <c r="AF274" s="375"/>
      <c r="AG274" s="375"/>
      <c r="AH274" s="375"/>
      <c r="AI274" s="375"/>
      <c r="AJ274" s="375"/>
      <c r="AK274" s="375"/>
      <c r="AL274" s="375"/>
      <c r="AM274" s="375"/>
      <c r="AN274" s="375"/>
      <c r="AO274" s="375"/>
      <c r="AP274" s="375"/>
      <c r="AQ274" s="375"/>
      <c r="AR274" s="375"/>
      <c r="AS274" s="375"/>
      <c r="AT274" s="375"/>
      <c r="AU274" s="375"/>
      <c r="AV274" s="375"/>
      <c r="AW274" s="375"/>
      <c r="AX274" s="375"/>
      <c r="AY274" s="375"/>
      <c r="AZ274" s="375"/>
      <c r="BA274" s="375"/>
      <c r="BB274" s="375"/>
      <c r="BC274" s="375"/>
      <c r="BD274" s="375"/>
      <c r="BE274" s="375"/>
      <c r="BF274" s="375"/>
      <c r="BG274" s="375"/>
      <c r="BH274" s="375"/>
      <c r="BI274" s="375"/>
      <c r="BJ274" s="375"/>
      <c r="BK274" s="375"/>
      <c r="BL274" s="375"/>
      <c r="BM274" s="375"/>
      <c r="BN274" s="375"/>
      <c r="BO274" s="375"/>
      <c r="BP274" s="375"/>
      <c r="BQ274" s="375"/>
      <c r="BR274" s="375"/>
      <c r="BS274" s="375"/>
      <c r="BT274" s="375"/>
      <c r="BU274" s="375"/>
      <c r="BV274" s="375"/>
      <c r="BW274" s="375"/>
      <c r="BX274" s="375"/>
      <c r="BY274" s="375"/>
      <c r="BZ274" s="375"/>
      <c r="CA274" s="375"/>
      <c r="CB274" s="375"/>
      <c r="CC274" s="375"/>
      <c r="CD274" s="375"/>
      <c r="CE274" s="375"/>
      <c r="CF274" s="375"/>
      <c r="CG274" s="375"/>
      <c r="CH274" s="375"/>
      <c r="CI274" s="375"/>
      <c r="CJ274" s="375"/>
      <c r="CK274" s="375"/>
      <c r="CL274" s="375"/>
      <c r="CM274" s="375"/>
      <c r="CN274" s="375"/>
      <c r="CO274" s="375"/>
      <c r="CP274" s="375"/>
      <c r="CQ274" s="375"/>
      <c r="CR274" s="375"/>
      <c r="CS274" s="375"/>
      <c r="CT274" s="375"/>
      <c r="CU274" s="375"/>
      <c r="CV274" s="375"/>
      <c r="CW274" s="375"/>
      <c r="CX274" s="375"/>
      <c r="CY274" s="375"/>
      <c r="CZ274" s="375"/>
      <c r="DA274" s="375"/>
      <c r="DB274" s="375"/>
      <c r="DC274" s="375"/>
      <c r="DD274" s="375"/>
      <c r="DE274" s="375"/>
      <c r="DF274" s="375"/>
      <c r="DG274" s="375"/>
      <c r="DH274" s="375"/>
      <c r="DI274" s="375"/>
      <c r="DJ274" s="375"/>
      <c r="DK274" s="375"/>
      <c r="DL274" s="375"/>
      <c r="DM274" s="375"/>
      <c r="DN274" s="375"/>
      <c r="DO274" s="375"/>
      <c r="DP274" s="375"/>
      <c r="DQ274" s="375"/>
      <c r="DR274" s="375"/>
      <c r="DS274" s="375"/>
      <c r="DT274" s="375"/>
      <c r="DU274" s="375"/>
      <c r="DV274" s="375"/>
      <c r="DW274" s="375"/>
      <c r="DX274" s="375"/>
      <c r="DY274" s="375"/>
      <c r="DZ274" s="375"/>
      <c r="EA274" s="375"/>
      <c r="EB274" s="375"/>
      <c r="EC274" s="375"/>
      <c r="ED274" s="375"/>
      <c r="EE274" s="375"/>
      <c r="EF274" s="375"/>
      <c r="EG274" s="375"/>
      <c r="EH274" s="375"/>
      <c r="EI274" s="375"/>
      <c r="EJ274" s="375"/>
      <c r="EK274" s="375"/>
      <c r="EL274" s="375"/>
      <c r="EM274" s="375"/>
      <c r="EN274" s="375"/>
      <c r="EO274" s="375"/>
      <c r="EP274" s="375"/>
      <c r="EQ274" s="375"/>
      <c r="ER274" s="375"/>
      <c r="ES274" s="375"/>
      <c r="ET274" s="375"/>
      <c r="EU274" s="375"/>
      <c r="EV274" s="375"/>
      <c r="EW274" s="375"/>
      <c r="EX274" s="375"/>
      <c r="EY274" s="375"/>
      <c r="EZ274" s="375"/>
      <c r="FA274" s="375"/>
      <c r="FB274" s="375"/>
      <c r="FC274" s="375"/>
      <c r="FD274" s="375"/>
      <c r="FE274" s="375"/>
      <c r="FF274" s="375"/>
      <c r="FG274" s="375"/>
      <c r="FH274" s="375"/>
      <c r="FI274" s="375"/>
      <c r="FJ274" s="375"/>
      <c r="FK274" s="375"/>
      <c r="FL274" s="375"/>
      <c r="FM274" s="375"/>
      <c r="FN274" s="375"/>
      <c r="FO274" s="375"/>
      <c r="FP274" s="375"/>
      <c r="FQ274" s="375"/>
      <c r="FR274" s="375"/>
      <c r="FS274" s="375"/>
      <c r="FT274" s="375"/>
      <c r="FU274" s="375"/>
      <c r="FV274" s="375"/>
      <c r="FW274" s="375"/>
      <c r="FX274" s="375"/>
      <c r="FY274" s="375"/>
      <c r="FZ274" s="375"/>
      <c r="GA274" s="375"/>
      <c r="GB274" s="375"/>
      <c r="GC274" s="375"/>
      <c r="GD274" s="375"/>
      <c r="GE274" s="375"/>
      <c r="GF274" s="375"/>
      <c r="GG274" s="375"/>
      <c r="GH274" s="375"/>
      <c r="GI274" s="375"/>
      <c r="GJ274" s="375"/>
      <c r="GK274" s="375"/>
      <c r="GL274" s="375"/>
      <c r="GM274" s="375"/>
      <c r="GN274" s="375"/>
      <c r="GO274" s="375"/>
      <c r="GP274" s="375"/>
      <c r="GQ274" s="375"/>
      <c r="GR274" s="375"/>
      <c r="GS274" s="375"/>
      <c r="GT274" s="375"/>
      <c r="GU274" s="375"/>
      <c r="GV274" s="375"/>
      <c r="GW274" s="375"/>
      <c r="GX274" s="375"/>
      <c r="GY274" s="375"/>
      <c r="GZ274" s="375"/>
      <c r="HA274" s="375"/>
      <c r="HB274" s="375"/>
      <c r="HC274" s="375"/>
      <c r="HD274" s="375"/>
      <c r="HE274" s="375"/>
      <c r="HF274" s="375"/>
      <c r="HG274" s="375"/>
      <c r="HH274" s="375"/>
      <c r="HI274" s="375"/>
      <c r="HJ274" s="375"/>
      <c r="HK274" s="375"/>
      <c r="HL274" s="375"/>
      <c r="HM274" s="375"/>
      <c r="HN274" s="375"/>
      <c r="HO274" s="375"/>
      <c r="HP274" s="375"/>
      <c r="HQ274" s="375"/>
      <c r="HR274" s="375"/>
      <c r="HS274" s="375"/>
      <c r="HT274" s="375"/>
      <c r="HU274" s="375"/>
      <c r="HV274" s="375"/>
      <c r="HW274" s="375"/>
      <c r="HX274" s="375"/>
      <c r="HY274" s="375"/>
      <c r="HZ274" s="375"/>
      <c r="IA274" s="375"/>
      <c r="IB274" s="375"/>
      <c r="IC274" s="375"/>
      <c r="ID274" s="375"/>
      <c r="IE274" s="375"/>
      <c r="IF274" s="375"/>
      <c r="IG274" s="375"/>
      <c r="IH274" s="375"/>
      <c r="II274" s="375"/>
      <c r="IJ274" s="375"/>
      <c r="IK274" s="375"/>
      <c r="IL274" s="375"/>
      <c r="IM274" s="375"/>
      <c r="IN274" s="375"/>
      <c r="IO274" s="375"/>
      <c r="IP274" s="375"/>
      <c r="IQ274" s="375"/>
      <c r="IR274" s="375"/>
      <c r="IS274" s="375"/>
      <c r="IT274" s="375"/>
      <c r="IU274" s="375"/>
      <c r="IV274" s="375"/>
    </row>
    <row r="275" spans="1:256" ht="30" x14ac:dyDescent="0.25">
      <c r="A275" s="239"/>
      <c r="B275" s="239"/>
      <c r="C275" s="239"/>
      <c r="D275" s="242" t="s">
        <v>194</v>
      </c>
      <c r="E275" s="242"/>
      <c r="F275" s="242"/>
      <c r="G275" s="242"/>
      <c r="H275" s="242"/>
      <c r="I275" s="243"/>
      <c r="J275" s="244">
        <f>I262-J273</f>
        <v>56033.18</v>
      </c>
      <c r="K275" s="245"/>
      <c r="L275" s="244">
        <f>K262-L273</f>
        <v>437710.9</v>
      </c>
      <c r="M275" s="374" t="e">
        <v>#REF!</v>
      </c>
      <c r="N275" s="373"/>
      <c r="O275" s="373"/>
      <c r="P275" s="373"/>
      <c r="Q275" s="373"/>
      <c r="R275" s="373"/>
      <c r="S275" s="373"/>
      <c r="T275" s="373"/>
      <c r="U275" s="373"/>
      <c r="V275" s="373"/>
      <c r="W275" s="373"/>
      <c r="X275" s="373"/>
      <c r="Y275" s="373"/>
      <c r="Z275" s="373"/>
      <c r="AA275" s="373"/>
      <c r="AB275" s="373"/>
      <c r="AC275" s="373"/>
      <c r="AD275" s="373"/>
      <c r="AE275" s="373"/>
      <c r="AF275" s="373"/>
      <c r="AG275" s="373"/>
      <c r="AH275" s="373"/>
      <c r="AI275" s="373"/>
      <c r="AJ275" s="373"/>
      <c r="AK275" s="373"/>
      <c r="AL275" s="373"/>
      <c r="AM275" s="373"/>
      <c r="AN275" s="373"/>
      <c r="AO275" s="373"/>
      <c r="AP275" s="373"/>
      <c r="AQ275" s="373"/>
      <c r="AR275" s="373"/>
      <c r="AS275" s="373"/>
      <c r="AT275" s="373"/>
      <c r="AU275" s="373"/>
      <c r="AV275" s="373"/>
      <c r="AW275" s="373"/>
      <c r="AX275" s="373"/>
      <c r="AY275" s="373"/>
      <c r="AZ275" s="373"/>
      <c r="BA275" s="373"/>
      <c r="BB275" s="373"/>
      <c r="BC275" s="373"/>
      <c r="BD275" s="373"/>
      <c r="BE275" s="373"/>
      <c r="BF275" s="373"/>
      <c r="BG275" s="373"/>
      <c r="BH275" s="373"/>
      <c r="BI275" s="373"/>
      <c r="BJ275" s="373"/>
      <c r="BK275" s="373"/>
      <c r="BL275" s="373"/>
      <c r="BM275" s="373"/>
      <c r="BN275" s="373"/>
      <c r="BO275" s="373"/>
      <c r="BP275" s="373"/>
      <c r="BQ275" s="373"/>
      <c r="BR275" s="373"/>
      <c r="BS275" s="373"/>
      <c r="BT275" s="373"/>
      <c r="BU275" s="373"/>
      <c r="BV275" s="373"/>
      <c r="BW275" s="373"/>
      <c r="BX275" s="373"/>
      <c r="BY275" s="373"/>
      <c r="BZ275" s="373"/>
      <c r="CA275" s="373"/>
      <c r="CB275" s="373"/>
      <c r="CC275" s="373"/>
      <c r="CD275" s="373"/>
      <c r="CE275" s="373"/>
      <c r="CF275" s="373"/>
      <c r="CG275" s="373"/>
      <c r="CH275" s="373"/>
      <c r="CI275" s="373"/>
      <c r="CJ275" s="373"/>
      <c r="CK275" s="373"/>
      <c r="CL275" s="373"/>
      <c r="CM275" s="373"/>
      <c r="CN275" s="373"/>
      <c r="CO275" s="373"/>
      <c r="CP275" s="373"/>
      <c r="CQ275" s="373"/>
      <c r="CR275" s="373"/>
      <c r="CS275" s="373"/>
      <c r="CT275" s="373"/>
      <c r="CU275" s="373"/>
      <c r="CV275" s="373"/>
      <c r="CW275" s="373"/>
      <c r="CX275" s="373"/>
      <c r="CY275" s="373"/>
      <c r="CZ275" s="373"/>
      <c r="DA275" s="373"/>
      <c r="DB275" s="373"/>
      <c r="DC275" s="373"/>
      <c r="DD275" s="373"/>
      <c r="DE275" s="373"/>
      <c r="DF275" s="373"/>
      <c r="DG275" s="373"/>
      <c r="DH275" s="373"/>
      <c r="DI275" s="373"/>
      <c r="DJ275" s="373"/>
      <c r="DK275" s="373"/>
      <c r="DL275" s="373"/>
      <c r="DM275" s="373"/>
      <c r="DN275" s="373"/>
      <c r="DO275" s="373"/>
      <c r="DP275" s="373"/>
      <c r="DQ275" s="373"/>
      <c r="DR275" s="373"/>
      <c r="DS275" s="373"/>
      <c r="DT275" s="373"/>
      <c r="DU275" s="373"/>
      <c r="DV275" s="373"/>
      <c r="DW275" s="373"/>
      <c r="DX275" s="373"/>
      <c r="DY275" s="373"/>
      <c r="DZ275" s="373"/>
      <c r="EA275" s="373"/>
      <c r="EB275" s="373"/>
      <c r="EC275" s="373"/>
      <c r="ED275" s="373"/>
      <c r="EE275" s="373"/>
      <c r="EF275" s="373"/>
      <c r="EG275" s="373"/>
      <c r="EH275" s="373"/>
      <c r="EI275" s="373"/>
      <c r="EJ275" s="373"/>
      <c r="EK275" s="373"/>
      <c r="EL275" s="373"/>
      <c r="EM275" s="373"/>
      <c r="EN275" s="373"/>
      <c r="EO275" s="373"/>
      <c r="EP275" s="373"/>
      <c r="EQ275" s="373"/>
      <c r="ER275" s="373"/>
      <c r="ES275" s="373"/>
      <c r="ET275" s="373"/>
      <c r="EU275" s="373"/>
      <c r="EV275" s="373"/>
      <c r="EW275" s="373"/>
      <c r="EX275" s="373"/>
      <c r="EY275" s="373"/>
      <c r="EZ275" s="373"/>
      <c r="FA275" s="373"/>
      <c r="FB275" s="373"/>
      <c r="FC275" s="373"/>
      <c r="FD275" s="373"/>
      <c r="FE275" s="373"/>
      <c r="FF275" s="373"/>
      <c r="FG275" s="373"/>
      <c r="FH275" s="373"/>
      <c r="FI275" s="373"/>
      <c r="FJ275" s="373"/>
      <c r="FK275" s="373"/>
      <c r="FL275" s="373"/>
      <c r="FM275" s="373"/>
      <c r="FN275" s="373"/>
      <c r="FO275" s="373"/>
      <c r="FP275" s="373"/>
      <c r="FQ275" s="373"/>
      <c r="FR275" s="373"/>
      <c r="FS275" s="373"/>
      <c r="FT275" s="373"/>
      <c r="FU275" s="373"/>
      <c r="FV275" s="373"/>
      <c r="FW275" s="373"/>
      <c r="FX275" s="373"/>
      <c r="FY275" s="373"/>
      <c r="FZ275" s="373"/>
      <c r="GA275" s="373"/>
      <c r="GB275" s="373"/>
      <c r="GC275" s="373"/>
      <c r="GD275" s="373"/>
      <c r="GE275" s="373"/>
      <c r="GF275" s="373"/>
      <c r="GG275" s="373"/>
      <c r="GH275" s="373"/>
      <c r="GI275" s="373"/>
      <c r="GJ275" s="373"/>
      <c r="GK275" s="373"/>
      <c r="GL275" s="373"/>
      <c r="GM275" s="373"/>
      <c r="GN275" s="373"/>
      <c r="GO275" s="373"/>
      <c r="GP275" s="373"/>
      <c r="GQ275" s="373"/>
      <c r="GR275" s="373"/>
      <c r="GS275" s="373"/>
      <c r="GT275" s="373"/>
      <c r="GU275" s="373"/>
      <c r="GV275" s="373"/>
      <c r="GW275" s="373"/>
      <c r="GX275" s="373"/>
      <c r="GY275" s="373"/>
      <c r="GZ275" s="373"/>
      <c r="HA275" s="373"/>
      <c r="HB275" s="373"/>
      <c r="HC275" s="373"/>
      <c r="HD275" s="373"/>
      <c r="HE275" s="373"/>
      <c r="HF275" s="373"/>
      <c r="HG275" s="373"/>
      <c r="HH275" s="373"/>
      <c r="HI275" s="373"/>
      <c r="HJ275" s="373"/>
      <c r="HK275" s="373"/>
      <c r="HL275" s="373"/>
      <c r="HM275" s="373"/>
      <c r="HN275" s="373"/>
      <c r="HO275" s="373"/>
      <c r="HP275" s="373"/>
      <c r="HQ275" s="373"/>
      <c r="HR275" s="373"/>
      <c r="HS275" s="373"/>
      <c r="HT275" s="373"/>
      <c r="HU275" s="373"/>
      <c r="HV275" s="373"/>
      <c r="HW275" s="373"/>
      <c r="HX275" s="373"/>
      <c r="HY275" s="373"/>
      <c r="HZ275" s="373"/>
      <c r="IA275" s="373"/>
      <c r="IB275" s="373"/>
      <c r="IC275" s="373"/>
      <c r="ID275" s="373"/>
      <c r="IE275" s="373"/>
      <c r="IF275" s="373"/>
      <c r="IG275" s="373"/>
      <c r="IH275" s="373"/>
      <c r="II275" s="373"/>
      <c r="IJ275" s="373"/>
      <c r="IK275" s="373"/>
      <c r="IL275" s="373"/>
      <c r="IM275" s="373"/>
      <c r="IN275" s="373"/>
      <c r="IO275" s="373"/>
      <c r="IP275" s="373"/>
      <c r="IQ275" s="373"/>
      <c r="IR275" s="373"/>
      <c r="IS275" s="373"/>
      <c r="IT275" s="373"/>
      <c r="IU275" s="373"/>
      <c r="IV275" s="373"/>
    </row>
    <row r="276" spans="1:256" ht="14.25" x14ac:dyDescent="0.2">
      <c r="A276" s="239"/>
      <c r="B276" s="239"/>
      <c r="C276" s="239"/>
      <c r="D276" s="246" t="s">
        <v>69</v>
      </c>
      <c r="E276" s="246"/>
      <c r="F276" s="246"/>
      <c r="G276" s="246"/>
      <c r="H276" s="246"/>
      <c r="I276" s="247"/>
      <c r="J276" s="248">
        <f>J275-J279</f>
        <v>56033.18</v>
      </c>
      <c r="K276" s="249"/>
      <c r="L276" s="248">
        <f>L275-L279</f>
        <v>437710.9</v>
      </c>
      <c r="M276" s="374"/>
      <c r="N276" s="373"/>
      <c r="O276" s="373"/>
      <c r="P276" s="373"/>
      <c r="Q276" s="373"/>
      <c r="R276" s="373"/>
      <c r="S276" s="373"/>
      <c r="T276" s="373"/>
      <c r="U276" s="373"/>
      <c r="V276" s="373"/>
      <c r="W276" s="373"/>
      <c r="X276" s="373"/>
      <c r="Y276" s="373"/>
      <c r="Z276" s="373"/>
      <c r="AA276" s="373"/>
      <c r="AB276" s="373"/>
      <c r="AC276" s="373"/>
      <c r="AD276" s="373"/>
      <c r="AE276" s="373"/>
      <c r="AF276" s="373"/>
      <c r="AG276" s="373"/>
      <c r="AH276" s="373"/>
      <c r="AI276" s="373"/>
      <c r="AJ276" s="373"/>
      <c r="AK276" s="373"/>
      <c r="AL276" s="373"/>
      <c r="AM276" s="373"/>
      <c r="AN276" s="373"/>
      <c r="AO276" s="373"/>
      <c r="AP276" s="373"/>
      <c r="AQ276" s="373"/>
      <c r="AR276" s="373"/>
      <c r="AS276" s="373"/>
      <c r="AT276" s="373"/>
      <c r="AU276" s="373"/>
      <c r="AV276" s="373"/>
      <c r="AW276" s="373"/>
      <c r="AX276" s="373"/>
      <c r="AY276" s="373"/>
      <c r="AZ276" s="373"/>
      <c r="BA276" s="373"/>
      <c r="BB276" s="373"/>
      <c r="BC276" s="373"/>
      <c r="BD276" s="373"/>
      <c r="BE276" s="373"/>
      <c r="BF276" s="373"/>
      <c r="BG276" s="373"/>
      <c r="BH276" s="373"/>
      <c r="BI276" s="373"/>
      <c r="BJ276" s="373"/>
      <c r="BK276" s="373"/>
      <c r="BL276" s="373"/>
      <c r="BM276" s="373"/>
      <c r="BN276" s="373"/>
      <c r="BO276" s="373"/>
      <c r="BP276" s="373"/>
      <c r="BQ276" s="373"/>
      <c r="BR276" s="373"/>
      <c r="BS276" s="373"/>
      <c r="BT276" s="373"/>
      <c r="BU276" s="373"/>
      <c r="BV276" s="373"/>
      <c r="BW276" s="373"/>
      <c r="BX276" s="373"/>
      <c r="BY276" s="373"/>
      <c r="BZ276" s="373"/>
      <c r="CA276" s="373"/>
      <c r="CB276" s="373"/>
      <c r="CC276" s="373"/>
      <c r="CD276" s="373"/>
      <c r="CE276" s="373"/>
      <c r="CF276" s="373"/>
      <c r="CG276" s="373"/>
      <c r="CH276" s="373"/>
      <c r="CI276" s="373"/>
      <c r="CJ276" s="373"/>
      <c r="CK276" s="373"/>
      <c r="CL276" s="373"/>
      <c r="CM276" s="373"/>
      <c r="CN276" s="373"/>
      <c r="CO276" s="373"/>
      <c r="CP276" s="373"/>
      <c r="CQ276" s="373"/>
      <c r="CR276" s="373"/>
      <c r="CS276" s="373"/>
      <c r="CT276" s="373"/>
      <c r="CU276" s="373"/>
      <c r="CV276" s="373"/>
      <c r="CW276" s="373"/>
      <c r="CX276" s="373"/>
      <c r="CY276" s="373"/>
      <c r="CZ276" s="373"/>
      <c r="DA276" s="373"/>
      <c r="DB276" s="373"/>
      <c r="DC276" s="373"/>
      <c r="DD276" s="373"/>
      <c r="DE276" s="373"/>
      <c r="DF276" s="373"/>
      <c r="DG276" s="373"/>
      <c r="DH276" s="373"/>
      <c r="DI276" s="373"/>
      <c r="DJ276" s="373"/>
      <c r="DK276" s="373"/>
      <c r="DL276" s="373"/>
      <c r="DM276" s="373"/>
      <c r="DN276" s="373"/>
      <c r="DO276" s="373"/>
      <c r="DP276" s="373"/>
      <c r="DQ276" s="373"/>
      <c r="DR276" s="373"/>
      <c r="DS276" s="373"/>
      <c r="DT276" s="373"/>
      <c r="DU276" s="373"/>
      <c r="DV276" s="373"/>
      <c r="DW276" s="373"/>
      <c r="DX276" s="373"/>
      <c r="DY276" s="373"/>
      <c r="DZ276" s="373"/>
      <c r="EA276" s="373"/>
      <c r="EB276" s="373"/>
      <c r="EC276" s="373"/>
      <c r="ED276" s="373"/>
      <c r="EE276" s="373"/>
      <c r="EF276" s="373"/>
      <c r="EG276" s="373"/>
      <c r="EH276" s="373"/>
      <c r="EI276" s="373"/>
      <c r="EJ276" s="373"/>
      <c r="EK276" s="373"/>
      <c r="EL276" s="373"/>
      <c r="EM276" s="373"/>
      <c r="EN276" s="373"/>
      <c r="EO276" s="373"/>
      <c r="EP276" s="373"/>
      <c r="EQ276" s="373"/>
      <c r="ER276" s="373"/>
      <c r="ES276" s="373"/>
      <c r="ET276" s="373"/>
      <c r="EU276" s="373"/>
      <c r="EV276" s="373"/>
      <c r="EW276" s="373"/>
      <c r="EX276" s="373"/>
      <c r="EY276" s="373"/>
      <c r="EZ276" s="373"/>
      <c r="FA276" s="373"/>
      <c r="FB276" s="373"/>
      <c r="FC276" s="373"/>
      <c r="FD276" s="373"/>
      <c r="FE276" s="373"/>
      <c r="FF276" s="373"/>
      <c r="FG276" s="373"/>
      <c r="FH276" s="373"/>
      <c r="FI276" s="373"/>
      <c r="FJ276" s="373"/>
      <c r="FK276" s="373"/>
      <c r="FL276" s="373"/>
      <c r="FM276" s="373"/>
      <c r="FN276" s="373"/>
      <c r="FO276" s="373"/>
      <c r="FP276" s="373"/>
      <c r="FQ276" s="373"/>
      <c r="FR276" s="373"/>
      <c r="FS276" s="373"/>
      <c r="FT276" s="373"/>
      <c r="FU276" s="373"/>
      <c r="FV276" s="373"/>
      <c r="FW276" s="373"/>
      <c r="FX276" s="373"/>
      <c r="FY276" s="373"/>
      <c r="FZ276" s="373"/>
      <c r="GA276" s="373"/>
      <c r="GB276" s="373"/>
      <c r="GC276" s="373"/>
      <c r="GD276" s="373"/>
      <c r="GE276" s="373"/>
      <c r="GF276" s="373"/>
      <c r="GG276" s="373"/>
      <c r="GH276" s="373"/>
      <c r="GI276" s="373"/>
      <c r="GJ276" s="373"/>
      <c r="GK276" s="373"/>
      <c r="GL276" s="373"/>
      <c r="GM276" s="373"/>
      <c r="GN276" s="373"/>
      <c r="GO276" s="373"/>
      <c r="GP276" s="373"/>
      <c r="GQ276" s="373"/>
      <c r="GR276" s="373"/>
      <c r="GS276" s="373"/>
      <c r="GT276" s="373"/>
      <c r="GU276" s="373"/>
      <c r="GV276" s="373"/>
      <c r="GW276" s="373"/>
      <c r="GX276" s="373"/>
      <c r="GY276" s="373"/>
      <c r="GZ276" s="373"/>
      <c r="HA276" s="373"/>
      <c r="HB276" s="373"/>
      <c r="HC276" s="373"/>
      <c r="HD276" s="373"/>
      <c r="HE276" s="373"/>
      <c r="HF276" s="373"/>
      <c r="HG276" s="373"/>
      <c r="HH276" s="373"/>
      <c r="HI276" s="373"/>
      <c r="HJ276" s="373"/>
      <c r="HK276" s="373"/>
      <c r="HL276" s="373"/>
      <c r="HM276" s="373"/>
      <c r="HN276" s="373"/>
      <c r="HO276" s="373"/>
      <c r="HP276" s="373"/>
      <c r="HQ276" s="373"/>
      <c r="HR276" s="373"/>
      <c r="HS276" s="373"/>
      <c r="HT276" s="373"/>
      <c r="HU276" s="373"/>
      <c r="HV276" s="373"/>
      <c r="HW276" s="373"/>
      <c r="HX276" s="373"/>
      <c r="HY276" s="373"/>
      <c r="HZ276" s="373"/>
      <c r="IA276" s="373"/>
      <c r="IB276" s="373"/>
      <c r="IC276" s="373"/>
      <c r="ID276" s="373"/>
      <c r="IE276" s="373"/>
      <c r="IF276" s="373"/>
      <c r="IG276" s="373"/>
      <c r="IH276" s="373"/>
      <c r="II276" s="373"/>
      <c r="IJ276" s="373"/>
      <c r="IK276" s="373"/>
      <c r="IL276" s="373"/>
      <c r="IM276" s="373"/>
      <c r="IN276" s="373"/>
      <c r="IO276" s="373"/>
      <c r="IP276" s="373"/>
      <c r="IQ276" s="373"/>
      <c r="IR276" s="373"/>
      <c r="IS276" s="373"/>
      <c r="IT276" s="373"/>
      <c r="IU276" s="373"/>
      <c r="IV276" s="373"/>
    </row>
    <row r="277" spans="1:256" ht="14.25" x14ac:dyDescent="0.2">
      <c r="A277" s="239"/>
      <c r="B277" s="239"/>
      <c r="C277" s="239"/>
      <c r="D277" s="246" t="s">
        <v>70</v>
      </c>
      <c r="E277" s="246"/>
      <c r="F277" s="246"/>
      <c r="G277" s="246"/>
      <c r="H277" s="246"/>
      <c r="I277" s="247"/>
      <c r="J277" s="248">
        <f>I266+I267</f>
        <v>3558.32</v>
      </c>
      <c r="K277" s="249"/>
      <c r="L277" s="248">
        <f>K266+K267</f>
        <v>86218.08</v>
      </c>
      <c r="M277" s="374">
        <v>23353.06</v>
      </c>
      <c r="N277" s="373"/>
      <c r="O277" s="373"/>
      <c r="P277" s="373"/>
      <c r="Q277" s="373"/>
      <c r="R277" s="373"/>
      <c r="S277" s="373"/>
      <c r="T277" s="373"/>
      <c r="U277" s="373"/>
      <c r="V277" s="373"/>
      <c r="W277" s="373"/>
      <c r="X277" s="373"/>
      <c r="Y277" s="373"/>
      <c r="Z277" s="373"/>
      <c r="AA277" s="373"/>
      <c r="AB277" s="373"/>
      <c r="AC277" s="373"/>
      <c r="AD277" s="373"/>
      <c r="AE277" s="373"/>
      <c r="AF277" s="373"/>
      <c r="AG277" s="373"/>
      <c r="AH277" s="373"/>
      <c r="AI277" s="373"/>
      <c r="AJ277" s="373"/>
      <c r="AK277" s="373"/>
      <c r="AL277" s="373"/>
      <c r="AM277" s="373"/>
      <c r="AN277" s="373"/>
      <c r="AO277" s="373"/>
      <c r="AP277" s="373"/>
      <c r="AQ277" s="373"/>
      <c r="AR277" s="373"/>
      <c r="AS277" s="373"/>
      <c r="AT277" s="373"/>
      <c r="AU277" s="373"/>
      <c r="AV277" s="373"/>
      <c r="AW277" s="373"/>
      <c r="AX277" s="373"/>
      <c r="AY277" s="373"/>
      <c r="AZ277" s="373"/>
      <c r="BA277" s="373"/>
      <c r="BB277" s="373"/>
      <c r="BC277" s="373"/>
      <c r="BD277" s="373"/>
      <c r="BE277" s="373"/>
      <c r="BF277" s="373"/>
      <c r="BG277" s="373"/>
      <c r="BH277" s="373"/>
      <c r="BI277" s="373"/>
      <c r="BJ277" s="373"/>
      <c r="BK277" s="373"/>
      <c r="BL277" s="373"/>
      <c r="BM277" s="373"/>
      <c r="BN277" s="373"/>
      <c r="BO277" s="373"/>
      <c r="BP277" s="373"/>
      <c r="BQ277" s="373"/>
      <c r="BR277" s="373"/>
      <c r="BS277" s="373"/>
      <c r="BT277" s="373"/>
      <c r="BU277" s="373"/>
      <c r="BV277" s="373"/>
      <c r="BW277" s="373"/>
      <c r="BX277" s="373"/>
      <c r="BY277" s="373"/>
      <c r="BZ277" s="373"/>
      <c r="CA277" s="373"/>
      <c r="CB277" s="373"/>
      <c r="CC277" s="373"/>
      <c r="CD277" s="373"/>
      <c r="CE277" s="373"/>
      <c r="CF277" s="373"/>
      <c r="CG277" s="373"/>
      <c r="CH277" s="373"/>
      <c r="CI277" s="373"/>
      <c r="CJ277" s="373"/>
      <c r="CK277" s="373"/>
      <c r="CL277" s="373"/>
      <c r="CM277" s="373"/>
      <c r="CN277" s="373"/>
      <c r="CO277" s="373"/>
      <c r="CP277" s="373"/>
      <c r="CQ277" s="373"/>
      <c r="CR277" s="373"/>
      <c r="CS277" s="373"/>
      <c r="CT277" s="373"/>
      <c r="CU277" s="373"/>
      <c r="CV277" s="373"/>
      <c r="CW277" s="373"/>
      <c r="CX277" s="373"/>
      <c r="CY277" s="373"/>
      <c r="CZ277" s="373"/>
      <c r="DA277" s="373"/>
      <c r="DB277" s="373"/>
      <c r="DC277" s="373"/>
      <c r="DD277" s="373"/>
      <c r="DE277" s="373"/>
      <c r="DF277" s="373"/>
      <c r="DG277" s="373"/>
      <c r="DH277" s="373"/>
      <c r="DI277" s="373"/>
      <c r="DJ277" s="373"/>
      <c r="DK277" s="373"/>
      <c r="DL277" s="373"/>
      <c r="DM277" s="373"/>
      <c r="DN277" s="373"/>
      <c r="DO277" s="373"/>
      <c r="DP277" s="373"/>
      <c r="DQ277" s="373"/>
      <c r="DR277" s="373"/>
      <c r="DS277" s="373"/>
      <c r="DT277" s="373"/>
      <c r="DU277" s="373"/>
      <c r="DV277" s="373"/>
      <c r="DW277" s="373"/>
      <c r="DX277" s="373"/>
      <c r="DY277" s="373"/>
      <c r="DZ277" s="373"/>
      <c r="EA277" s="373"/>
      <c r="EB277" s="373"/>
      <c r="EC277" s="373"/>
      <c r="ED277" s="373"/>
      <c r="EE277" s="373"/>
      <c r="EF277" s="373"/>
      <c r="EG277" s="373"/>
      <c r="EH277" s="373"/>
      <c r="EI277" s="373"/>
      <c r="EJ277" s="373"/>
      <c r="EK277" s="373"/>
      <c r="EL277" s="373"/>
      <c r="EM277" s="373"/>
      <c r="EN277" s="373"/>
      <c r="EO277" s="373"/>
      <c r="EP277" s="373"/>
      <c r="EQ277" s="373"/>
      <c r="ER277" s="373"/>
      <c r="ES277" s="373"/>
      <c r="ET277" s="373"/>
      <c r="EU277" s="373"/>
      <c r="EV277" s="373"/>
      <c r="EW277" s="373"/>
      <c r="EX277" s="373"/>
      <c r="EY277" s="373"/>
      <c r="EZ277" s="373"/>
      <c r="FA277" s="373"/>
      <c r="FB277" s="373"/>
      <c r="FC277" s="373"/>
      <c r="FD277" s="373"/>
      <c r="FE277" s="373"/>
      <c r="FF277" s="373"/>
      <c r="FG277" s="373"/>
      <c r="FH277" s="373"/>
      <c r="FI277" s="373"/>
      <c r="FJ277" s="373"/>
      <c r="FK277" s="373"/>
      <c r="FL277" s="373"/>
      <c r="FM277" s="373"/>
      <c r="FN277" s="373"/>
      <c r="FO277" s="373"/>
      <c r="FP277" s="373"/>
      <c r="FQ277" s="373"/>
      <c r="FR277" s="373"/>
      <c r="FS277" s="373"/>
      <c r="FT277" s="373"/>
      <c r="FU277" s="373"/>
      <c r="FV277" s="373"/>
      <c r="FW277" s="373"/>
      <c r="FX277" s="373"/>
      <c r="FY277" s="373"/>
      <c r="FZ277" s="373"/>
      <c r="GA277" s="373"/>
      <c r="GB277" s="373"/>
      <c r="GC277" s="373"/>
      <c r="GD277" s="373"/>
      <c r="GE277" s="373"/>
      <c r="GF277" s="373"/>
      <c r="GG277" s="373"/>
      <c r="GH277" s="373"/>
      <c r="GI277" s="373"/>
      <c r="GJ277" s="373"/>
      <c r="GK277" s="373"/>
      <c r="GL277" s="373"/>
      <c r="GM277" s="373"/>
      <c r="GN277" s="373"/>
      <c r="GO277" s="373"/>
      <c r="GP277" s="373"/>
      <c r="GQ277" s="373"/>
      <c r="GR277" s="373"/>
      <c r="GS277" s="373"/>
      <c r="GT277" s="373"/>
      <c r="GU277" s="373"/>
      <c r="GV277" s="373"/>
      <c r="GW277" s="373"/>
      <c r="GX277" s="373"/>
      <c r="GY277" s="373"/>
      <c r="GZ277" s="373"/>
      <c r="HA277" s="373"/>
      <c r="HB277" s="373"/>
      <c r="HC277" s="373"/>
      <c r="HD277" s="373"/>
      <c r="HE277" s="373"/>
      <c r="HF277" s="373"/>
      <c r="HG277" s="373"/>
      <c r="HH277" s="373"/>
      <c r="HI277" s="373"/>
      <c r="HJ277" s="373"/>
      <c r="HK277" s="373"/>
      <c r="HL277" s="373"/>
      <c r="HM277" s="373"/>
      <c r="HN277" s="373"/>
      <c r="HO277" s="373"/>
      <c r="HP277" s="373"/>
      <c r="HQ277" s="373"/>
      <c r="HR277" s="373"/>
      <c r="HS277" s="373"/>
      <c r="HT277" s="373"/>
      <c r="HU277" s="373"/>
      <c r="HV277" s="373"/>
      <c r="HW277" s="373"/>
      <c r="HX277" s="373"/>
      <c r="HY277" s="373"/>
      <c r="HZ277" s="373"/>
      <c r="IA277" s="373"/>
      <c r="IB277" s="373"/>
      <c r="IC277" s="373"/>
      <c r="ID277" s="373"/>
      <c r="IE277" s="373"/>
      <c r="IF277" s="373"/>
      <c r="IG277" s="373"/>
      <c r="IH277" s="373"/>
      <c r="II277" s="373"/>
      <c r="IJ277" s="373"/>
      <c r="IK277" s="373"/>
      <c r="IL277" s="373"/>
      <c r="IM277" s="373"/>
      <c r="IN277" s="373"/>
      <c r="IO277" s="373"/>
      <c r="IP277" s="373"/>
      <c r="IQ277" s="373"/>
      <c r="IR277" s="373"/>
      <c r="IS277" s="373"/>
      <c r="IT277" s="373"/>
      <c r="IU277" s="373"/>
      <c r="IV277" s="373"/>
    </row>
    <row r="278" spans="1:256" ht="14.25" x14ac:dyDescent="0.2">
      <c r="A278" s="239"/>
      <c r="B278" s="239"/>
      <c r="C278" s="239"/>
      <c r="D278" s="246" t="s">
        <v>195</v>
      </c>
      <c r="E278" s="246"/>
      <c r="F278" s="246"/>
      <c r="G278" s="246"/>
      <c r="H278" s="246"/>
      <c r="I278" s="247"/>
      <c r="J278" s="248">
        <f>I265</f>
        <v>44547.29</v>
      </c>
      <c r="K278" s="249"/>
      <c r="L278" s="248">
        <f>K265</f>
        <v>230008.6</v>
      </c>
      <c r="M278" s="374" t="e">
        <v>#REF!</v>
      </c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373"/>
      <c r="Y278" s="373"/>
      <c r="Z278" s="373"/>
      <c r="AA278" s="373"/>
      <c r="AB278" s="373"/>
      <c r="AC278" s="373"/>
      <c r="AD278" s="373"/>
      <c r="AE278" s="373"/>
      <c r="AF278" s="373"/>
      <c r="AG278" s="373"/>
      <c r="AH278" s="373"/>
      <c r="AI278" s="373"/>
      <c r="AJ278" s="373"/>
      <c r="AK278" s="373"/>
      <c r="AL278" s="373"/>
      <c r="AM278" s="373"/>
      <c r="AN278" s="373"/>
      <c r="AO278" s="373"/>
      <c r="AP278" s="373"/>
      <c r="AQ278" s="373"/>
      <c r="AR278" s="373"/>
      <c r="AS278" s="373"/>
      <c r="AT278" s="373"/>
      <c r="AU278" s="373"/>
      <c r="AV278" s="373"/>
      <c r="AW278" s="373"/>
      <c r="AX278" s="373"/>
      <c r="AY278" s="373"/>
      <c r="AZ278" s="373"/>
      <c r="BA278" s="373"/>
      <c r="BB278" s="373"/>
      <c r="BC278" s="373"/>
      <c r="BD278" s="373"/>
      <c r="BE278" s="373"/>
      <c r="BF278" s="373"/>
      <c r="BG278" s="373"/>
      <c r="BH278" s="373"/>
      <c r="BI278" s="373"/>
      <c r="BJ278" s="373"/>
      <c r="BK278" s="373"/>
      <c r="BL278" s="373"/>
      <c r="BM278" s="373"/>
      <c r="BN278" s="373"/>
      <c r="BO278" s="373"/>
      <c r="BP278" s="373"/>
      <c r="BQ278" s="373"/>
      <c r="BR278" s="373"/>
      <c r="BS278" s="373"/>
      <c r="BT278" s="373"/>
      <c r="BU278" s="373"/>
      <c r="BV278" s="373"/>
      <c r="BW278" s="373"/>
      <c r="BX278" s="373"/>
      <c r="BY278" s="373"/>
      <c r="BZ278" s="373"/>
      <c r="CA278" s="373"/>
      <c r="CB278" s="373"/>
      <c r="CC278" s="373"/>
      <c r="CD278" s="373"/>
      <c r="CE278" s="373"/>
      <c r="CF278" s="373"/>
      <c r="CG278" s="373"/>
      <c r="CH278" s="373"/>
      <c r="CI278" s="373"/>
      <c r="CJ278" s="373"/>
      <c r="CK278" s="373"/>
      <c r="CL278" s="373"/>
      <c r="CM278" s="373"/>
      <c r="CN278" s="373"/>
      <c r="CO278" s="373"/>
      <c r="CP278" s="373"/>
      <c r="CQ278" s="373"/>
      <c r="CR278" s="373"/>
      <c r="CS278" s="373"/>
      <c r="CT278" s="373"/>
      <c r="CU278" s="373"/>
      <c r="CV278" s="373"/>
      <c r="CW278" s="373"/>
      <c r="CX278" s="373"/>
      <c r="CY278" s="373"/>
      <c r="CZ278" s="373"/>
      <c r="DA278" s="373"/>
      <c r="DB278" s="373"/>
      <c r="DC278" s="373"/>
      <c r="DD278" s="373"/>
      <c r="DE278" s="373"/>
      <c r="DF278" s="373"/>
      <c r="DG278" s="373"/>
      <c r="DH278" s="373"/>
      <c r="DI278" s="373"/>
      <c r="DJ278" s="373"/>
      <c r="DK278" s="373"/>
      <c r="DL278" s="373"/>
      <c r="DM278" s="373"/>
      <c r="DN278" s="373"/>
      <c r="DO278" s="373"/>
      <c r="DP278" s="373"/>
      <c r="DQ278" s="373"/>
      <c r="DR278" s="373"/>
      <c r="DS278" s="373"/>
      <c r="DT278" s="373"/>
      <c r="DU278" s="373"/>
      <c r="DV278" s="373"/>
      <c r="DW278" s="373"/>
      <c r="DX278" s="373"/>
      <c r="DY278" s="373"/>
      <c r="DZ278" s="373"/>
      <c r="EA278" s="373"/>
      <c r="EB278" s="373"/>
      <c r="EC278" s="373"/>
      <c r="ED278" s="373"/>
      <c r="EE278" s="373"/>
      <c r="EF278" s="373"/>
      <c r="EG278" s="373"/>
      <c r="EH278" s="373"/>
      <c r="EI278" s="373"/>
      <c r="EJ278" s="373"/>
      <c r="EK278" s="373"/>
      <c r="EL278" s="373"/>
      <c r="EM278" s="373"/>
      <c r="EN278" s="373"/>
      <c r="EO278" s="373"/>
      <c r="EP278" s="373"/>
      <c r="EQ278" s="373"/>
      <c r="ER278" s="373"/>
      <c r="ES278" s="373"/>
      <c r="ET278" s="373"/>
      <c r="EU278" s="373"/>
      <c r="EV278" s="373"/>
      <c r="EW278" s="373"/>
      <c r="EX278" s="373"/>
      <c r="EY278" s="373"/>
      <c r="EZ278" s="373"/>
      <c r="FA278" s="373"/>
      <c r="FB278" s="373"/>
      <c r="FC278" s="373"/>
      <c r="FD278" s="373"/>
      <c r="FE278" s="373"/>
      <c r="FF278" s="373"/>
      <c r="FG278" s="373"/>
      <c r="FH278" s="373"/>
      <c r="FI278" s="373"/>
      <c r="FJ278" s="373"/>
      <c r="FK278" s="373"/>
      <c r="FL278" s="373"/>
      <c r="FM278" s="373"/>
      <c r="FN278" s="373"/>
      <c r="FO278" s="373"/>
      <c r="FP278" s="373"/>
      <c r="FQ278" s="373"/>
      <c r="FR278" s="373"/>
      <c r="FS278" s="373"/>
      <c r="FT278" s="373"/>
      <c r="FU278" s="373"/>
      <c r="FV278" s="373"/>
      <c r="FW278" s="373"/>
      <c r="FX278" s="373"/>
      <c r="FY278" s="373"/>
      <c r="FZ278" s="373"/>
      <c r="GA278" s="373"/>
      <c r="GB278" s="373"/>
      <c r="GC278" s="373"/>
      <c r="GD278" s="373"/>
      <c r="GE278" s="373"/>
      <c r="GF278" s="373"/>
      <c r="GG278" s="373"/>
      <c r="GH278" s="373"/>
      <c r="GI278" s="373"/>
      <c r="GJ278" s="373"/>
      <c r="GK278" s="373"/>
      <c r="GL278" s="373"/>
      <c r="GM278" s="373"/>
      <c r="GN278" s="373"/>
      <c r="GO278" s="373"/>
      <c r="GP278" s="373"/>
      <c r="GQ278" s="373"/>
      <c r="GR278" s="373"/>
      <c r="GS278" s="373"/>
      <c r="GT278" s="373"/>
      <c r="GU278" s="373"/>
      <c r="GV278" s="373"/>
      <c r="GW278" s="373"/>
      <c r="GX278" s="373"/>
      <c r="GY278" s="373"/>
      <c r="GZ278" s="373"/>
      <c r="HA278" s="373"/>
      <c r="HB278" s="373"/>
      <c r="HC278" s="373"/>
      <c r="HD278" s="373"/>
      <c r="HE278" s="373"/>
      <c r="HF278" s="373"/>
      <c r="HG278" s="373"/>
      <c r="HH278" s="373"/>
      <c r="HI278" s="373"/>
      <c r="HJ278" s="373"/>
      <c r="HK278" s="373"/>
      <c r="HL278" s="373"/>
      <c r="HM278" s="373"/>
      <c r="HN278" s="373"/>
      <c r="HO278" s="373"/>
      <c r="HP278" s="373"/>
      <c r="HQ278" s="373"/>
      <c r="HR278" s="373"/>
      <c r="HS278" s="373"/>
      <c r="HT278" s="373"/>
      <c r="HU278" s="373"/>
      <c r="HV278" s="373"/>
      <c r="HW278" s="373"/>
      <c r="HX278" s="373"/>
      <c r="HY278" s="373"/>
      <c r="HZ278" s="373"/>
      <c r="IA278" s="373"/>
      <c r="IB278" s="373"/>
      <c r="IC278" s="373"/>
      <c r="ID278" s="373"/>
      <c r="IE278" s="373"/>
      <c r="IF278" s="373"/>
      <c r="IG278" s="373"/>
      <c r="IH278" s="373"/>
      <c r="II278" s="373"/>
      <c r="IJ278" s="373"/>
      <c r="IK278" s="373"/>
      <c r="IL278" s="373"/>
      <c r="IM278" s="373"/>
      <c r="IN278" s="373"/>
      <c r="IO278" s="373"/>
      <c r="IP278" s="373"/>
      <c r="IQ278" s="373"/>
      <c r="IR278" s="373"/>
      <c r="IS278" s="373"/>
      <c r="IT278" s="373"/>
      <c r="IU278" s="373"/>
      <c r="IV278" s="373"/>
    </row>
    <row r="279" spans="1:256" ht="14.25" x14ac:dyDescent="0.2">
      <c r="A279" s="250"/>
      <c r="B279" s="250"/>
      <c r="C279" s="250"/>
      <c r="D279" s="251" t="s">
        <v>157</v>
      </c>
      <c r="E279" s="251"/>
      <c r="F279" s="251"/>
      <c r="G279" s="251"/>
      <c r="H279" s="251"/>
      <c r="I279" s="252"/>
      <c r="J279" s="253">
        <v>0</v>
      </c>
      <c r="K279" s="254"/>
      <c r="L279" s="253">
        <v>0</v>
      </c>
      <c r="M279" s="374"/>
      <c r="N279" s="376"/>
      <c r="O279" s="376"/>
      <c r="P279" s="376"/>
      <c r="Q279" s="376"/>
      <c r="R279" s="376"/>
      <c r="S279" s="376"/>
      <c r="T279" s="376"/>
      <c r="U279" s="376"/>
      <c r="V279" s="376"/>
      <c r="W279" s="376"/>
      <c r="X279" s="376"/>
      <c r="Y279" s="376"/>
      <c r="Z279" s="376"/>
      <c r="AA279" s="376"/>
      <c r="AB279" s="376"/>
      <c r="AC279" s="376"/>
      <c r="AD279" s="376"/>
      <c r="AE279" s="376"/>
      <c r="AF279" s="376"/>
      <c r="AG279" s="376"/>
      <c r="AH279" s="376"/>
      <c r="AI279" s="376"/>
      <c r="AJ279" s="376"/>
      <c r="AK279" s="376"/>
      <c r="AL279" s="376"/>
      <c r="AM279" s="376"/>
      <c r="AN279" s="376"/>
      <c r="AO279" s="376"/>
      <c r="AP279" s="376"/>
      <c r="AQ279" s="376"/>
      <c r="AR279" s="376"/>
      <c r="AS279" s="376"/>
      <c r="AT279" s="376"/>
      <c r="AU279" s="376"/>
      <c r="AV279" s="376"/>
      <c r="AW279" s="376"/>
      <c r="AX279" s="376"/>
      <c r="AY279" s="376"/>
      <c r="AZ279" s="376"/>
      <c r="BA279" s="376"/>
      <c r="BB279" s="376"/>
      <c r="BC279" s="376"/>
      <c r="BD279" s="376"/>
      <c r="BE279" s="376"/>
      <c r="BF279" s="376"/>
      <c r="BG279" s="376"/>
      <c r="BH279" s="376"/>
      <c r="BI279" s="376"/>
      <c r="BJ279" s="376"/>
      <c r="BK279" s="376"/>
      <c r="BL279" s="376"/>
      <c r="BM279" s="376"/>
      <c r="BN279" s="376"/>
      <c r="BO279" s="376"/>
      <c r="BP279" s="376"/>
      <c r="BQ279" s="376"/>
      <c r="BR279" s="376"/>
      <c r="BS279" s="376"/>
      <c r="BT279" s="376"/>
      <c r="BU279" s="376"/>
      <c r="BV279" s="376"/>
      <c r="BW279" s="376"/>
      <c r="BX279" s="376"/>
      <c r="BY279" s="376"/>
      <c r="BZ279" s="376"/>
      <c r="CA279" s="376"/>
      <c r="CB279" s="376"/>
      <c r="CC279" s="376"/>
      <c r="CD279" s="376"/>
      <c r="CE279" s="376"/>
      <c r="CF279" s="376"/>
      <c r="CG279" s="376"/>
      <c r="CH279" s="376"/>
      <c r="CI279" s="376"/>
      <c r="CJ279" s="376"/>
      <c r="CK279" s="376"/>
      <c r="CL279" s="376"/>
      <c r="CM279" s="376"/>
      <c r="CN279" s="376"/>
      <c r="CO279" s="376"/>
      <c r="CP279" s="376"/>
      <c r="CQ279" s="376"/>
      <c r="CR279" s="376"/>
      <c r="CS279" s="376"/>
      <c r="CT279" s="376"/>
      <c r="CU279" s="376"/>
      <c r="CV279" s="376"/>
      <c r="CW279" s="376"/>
      <c r="CX279" s="376"/>
      <c r="CY279" s="376"/>
      <c r="CZ279" s="376"/>
      <c r="DA279" s="376"/>
      <c r="DB279" s="376"/>
      <c r="DC279" s="376"/>
      <c r="DD279" s="376"/>
      <c r="DE279" s="376"/>
      <c r="DF279" s="376"/>
      <c r="DG279" s="376"/>
      <c r="DH279" s="376"/>
      <c r="DI279" s="376"/>
      <c r="DJ279" s="376"/>
      <c r="DK279" s="376"/>
      <c r="DL279" s="376"/>
      <c r="DM279" s="376"/>
      <c r="DN279" s="376"/>
      <c r="DO279" s="376"/>
      <c r="DP279" s="376"/>
      <c r="DQ279" s="376"/>
      <c r="DR279" s="376"/>
      <c r="DS279" s="376"/>
      <c r="DT279" s="376"/>
      <c r="DU279" s="376"/>
      <c r="DV279" s="376"/>
      <c r="DW279" s="376"/>
      <c r="DX279" s="376"/>
      <c r="DY279" s="376"/>
      <c r="DZ279" s="376"/>
      <c r="EA279" s="376"/>
      <c r="EB279" s="376"/>
      <c r="EC279" s="376"/>
      <c r="ED279" s="376"/>
      <c r="EE279" s="376"/>
      <c r="EF279" s="376"/>
      <c r="EG279" s="376"/>
      <c r="EH279" s="376"/>
      <c r="EI279" s="376"/>
      <c r="EJ279" s="376"/>
      <c r="EK279" s="376"/>
      <c r="EL279" s="376"/>
      <c r="EM279" s="376"/>
      <c r="EN279" s="376"/>
      <c r="EO279" s="376"/>
      <c r="EP279" s="376"/>
      <c r="EQ279" s="376"/>
      <c r="ER279" s="376"/>
      <c r="ES279" s="376"/>
      <c r="ET279" s="376"/>
      <c r="EU279" s="376"/>
      <c r="EV279" s="376"/>
      <c r="EW279" s="376"/>
      <c r="EX279" s="376"/>
      <c r="EY279" s="376"/>
      <c r="EZ279" s="376"/>
      <c r="FA279" s="376"/>
      <c r="FB279" s="376"/>
      <c r="FC279" s="376"/>
      <c r="FD279" s="376"/>
      <c r="FE279" s="376"/>
      <c r="FF279" s="376"/>
      <c r="FG279" s="376"/>
      <c r="FH279" s="376"/>
      <c r="FI279" s="376"/>
      <c r="FJ279" s="376"/>
      <c r="FK279" s="376"/>
      <c r="FL279" s="376"/>
      <c r="FM279" s="376"/>
      <c r="FN279" s="376"/>
      <c r="FO279" s="376"/>
      <c r="FP279" s="376"/>
      <c r="FQ279" s="376"/>
      <c r="FR279" s="376"/>
      <c r="FS279" s="376"/>
      <c r="FT279" s="376"/>
      <c r="FU279" s="376"/>
      <c r="FV279" s="376"/>
      <c r="FW279" s="376"/>
      <c r="FX279" s="376"/>
      <c r="FY279" s="376"/>
      <c r="FZ279" s="376"/>
      <c r="GA279" s="376"/>
      <c r="GB279" s="376"/>
      <c r="GC279" s="376"/>
      <c r="GD279" s="376"/>
      <c r="GE279" s="376"/>
      <c r="GF279" s="376"/>
      <c r="GG279" s="376"/>
      <c r="GH279" s="376"/>
      <c r="GI279" s="376"/>
      <c r="GJ279" s="376"/>
      <c r="GK279" s="376"/>
      <c r="GL279" s="376"/>
      <c r="GM279" s="376"/>
      <c r="GN279" s="376"/>
      <c r="GO279" s="376"/>
      <c r="GP279" s="376"/>
      <c r="GQ279" s="376"/>
      <c r="GR279" s="376"/>
      <c r="GS279" s="376"/>
      <c r="GT279" s="376"/>
      <c r="GU279" s="376"/>
      <c r="GV279" s="376"/>
      <c r="GW279" s="376"/>
      <c r="GX279" s="376"/>
      <c r="GY279" s="376"/>
      <c r="GZ279" s="376"/>
      <c r="HA279" s="376"/>
      <c r="HB279" s="376"/>
      <c r="HC279" s="376"/>
      <c r="HD279" s="376"/>
      <c r="HE279" s="376"/>
      <c r="HF279" s="376"/>
      <c r="HG279" s="376"/>
      <c r="HH279" s="376"/>
      <c r="HI279" s="376"/>
      <c r="HJ279" s="376"/>
      <c r="HK279" s="376"/>
      <c r="HL279" s="376"/>
      <c r="HM279" s="376"/>
      <c r="HN279" s="376"/>
      <c r="HO279" s="376"/>
      <c r="HP279" s="376"/>
      <c r="HQ279" s="376"/>
      <c r="HR279" s="376"/>
      <c r="HS279" s="376"/>
      <c r="HT279" s="376"/>
      <c r="HU279" s="376"/>
      <c r="HV279" s="376"/>
      <c r="HW279" s="376"/>
      <c r="HX279" s="376"/>
      <c r="HY279" s="376"/>
      <c r="HZ279" s="376"/>
      <c r="IA279" s="376"/>
      <c r="IB279" s="376"/>
      <c r="IC279" s="376"/>
      <c r="ID279" s="376"/>
      <c r="IE279" s="376"/>
      <c r="IF279" s="376"/>
      <c r="IG279" s="376"/>
      <c r="IH279" s="376"/>
      <c r="II279" s="376"/>
      <c r="IJ279" s="376"/>
      <c r="IK279" s="376"/>
      <c r="IL279" s="376"/>
      <c r="IM279" s="376"/>
      <c r="IN279" s="376"/>
      <c r="IO279" s="376"/>
      <c r="IP279" s="376"/>
      <c r="IQ279" s="376"/>
      <c r="IR279" s="376"/>
      <c r="IS279" s="376"/>
      <c r="IT279" s="376"/>
      <c r="IU279" s="376"/>
      <c r="IV279" s="376"/>
    </row>
    <row r="280" spans="1:256" ht="15" x14ac:dyDescent="0.25">
      <c r="A280" s="237"/>
      <c r="B280" s="237"/>
      <c r="C280" s="237"/>
      <c r="D280" s="377" t="s">
        <v>196</v>
      </c>
      <c r="E280" s="377"/>
      <c r="F280" s="377"/>
      <c r="G280" s="377"/>
      <c r="H280" s="377"/>
      <c r="I280" s="377"/>
      <c r="J280" s="378">
        <f>J277*15%</f>
        <v>533.75</v>
      </c>
      <c r="K280" s="378"/>
      <c r="L280" s="378">
        <f>L277*15%</f>
        <v>12932.71</v>
      </c>
      <c r="M280" s="370">
        <v>3502.96</v>
      </c>
      <c r="N280" s="371"/>
      <c r="O280" s="371"/>
      <c r="P280" s="371"/>
      <c r="Q280" s="371"/>
      <c r="R280" s="371"/>
      <c r="S280" s="371"/>
      <c r="T280" s="371"/>
      <c r="U280" s="371"/>
      <c r="V280" s="371"/>
      <c r="W280" s="371"/>
      <c r="X280" s="371"/>
      <c r="Y280" s="371"/>
      <c r="Z280" s="371"/>
      <c r="AA280" s="371"/>
      <c r="AB280" s="371"/>
      <c r="AC280" s="371"/>
      <c r="AD280" s="371"/>
      <c r="AE280" s="371"/>
      <c r="AF280" s="371"/>
      <c r="AG280" s="371"/>
      <c r="AH280" s="371"/>
      <c r="AI280" s="371"/>
      <c r="AJ280" s="371"/>
      <c r="AK280" s="371"/>
      <c r="AL280" s="371"/>
      <c r="AM280" s="371"/>
      <c r="AN280" s="371"/>
      <c r="AO280" s="371"/>
      <c r="AP280" s="371"/>
      <c r="AQ280" s="371"/>
      <c r="AR280" s="371"/>
      <c r="AS280" s="371"/>
      <c r="AT280" s="371"/>
      <c r="AU280" s="371"/>
      <c r="AV280" s="371"/>
      <c r="AW280" s="371"/>
      <c r="AX280" s="371"/>
      <c r="AY280" s="371"/>
      <c r="AZ280" s="371"/>
      <c r="BA280" s="371"/>
      <c r="BB280" s="371"/>
      <c r="BC280" s="371"/>
      <c r="BD280" s="371"/>
      <c r="BE280" s="371"/>
      <c r="BF280" s="371"/>
      <c r="BG280" s="371"/>
      <c r="BH280" s="371"/>
      <c r="BI280" s="371"/>
      <c r="BJ280" s="371"/>
      <c r="BK280" s="371"/>
      <c r="BL280" s="371"/>
      <c r="BM280" s="371"/>
      <c r="BN280" s="371"/>
      <c r="BO280" s="371"/>
      <c r="BP280" s="371"/>
      <c r="BQ280" s="371"/>
      <c r="BR280" s="371"/>
      <c r="BS280" s="371"/>
      <c r="BT280" s="371"/>
      <c r="BU280" s="371"/>
      <c r="BV280" s="371"/>
      <c r="BW280" s="371"/>
      <c r="BX280" s="371"/>
      <c r="BY280" s="371"/>
      <c r="BZ280" s="371"/>
      <c r="CA280" s="371"/>
      <c r="CB280" s="371"/>
      <c r="CC280" s="371"/>
      <c r="CD280" s="371"/>
      <c r="CE280" s="371"/>
      <c r="CF280" s="371"/>
      <c r="CG280" s="371"/>
      <c r="CH280" s="371"/>
      <c r="CI280" s="371"/>
      <c r="CJ280" s="371"/>
      <c r="CK280" s="371"/>
      <c r="CL280" s="371"/>
      <c r="CM280" s="371"/>
      <c r="CN280" s="371"/>
      <c r="CO280" s="371"/>
      <c r="CP280" s="371"/>
      <c r="CQ280" s="371"/>
      <c r="CR280" s="371"/>
      <c r="CS280" s="371"/>
      <c r="CT280" s="371"/>
      <c r="CU280" s="371"/>
      <c r="CV280" s="371"/>
      <c r="CW280" s="371"/>
      <c r="CX280" s="371"/>
      <c r="CY280" s="371"/>
      <c r="CZ280" s="371"/>
      <c r="DA280" s="371"/>
      <c r="DB280" s="371"/>
      <c r="DC280" s="371"/>
      <c r="DD280" s="371"/>
      <c r="DE280" s="371"/>
      <c r="DF280" s="371"/>
      <c r="DG280" s="371"/>
      <c r="DH280" s="371"/>
      <c r="DI280" s="371"/>
      <c r="DJ280" s="371"/>
      <c r="DK280" s="371"/>
      <c r="DL280" s="371"/>
      <c r="DM280" s="371"/>
      <c r="DN280" s="371"/>
      <c r="DO280" s="371"/>
      <c r="DP280" s="371"/>
      <c r="DQ280" s="371"/>
      <c r="DR280" s="371"/>
      <c r="DS280" s="371"/>
      <c r="DT280" s="371"/>
      <c r="DU280" s="371"/>
      <c r="DV280" s="371"/>
      <c r="DW280" s="371"/>
      <c r="DX280" s="371"/>
      <c r="DY280" s="371"/>
      <c r="DZ280" s="371"/>
      <c r="EA280" s="371"/>
      <c r="EB280" s="371"/>
      <c r="EC280" s="371"/>
      <c r="ED280" s="371"/>
      <c r="EE280" s="371"/>
      <c r="EF280" s="371"/>
      <c r="EG280" s="371"/>
      <c r="EH280" s="371"/>
      <c r="EI280" s="371"/>
      <c r="EJ280" s="371"/>
      <c r="EK280" s="371"/>
      <c r="EL280" s="371"/>
      <c r="EM280" s="371"/>
      <c r="EN280" s="371"/>
      <c r="EO280" s="371"/>
      <c r="EP280" s="371"/>
      <c r="EQ280" s="371"/>
      <c r="ER280" s="371"/>
      <c r="ES280" s="371"/>
      <c r="ET280" s="371"/>
      <c r="EU280" s="371"/>
      <c r="EV280" s="371"/>
      <c r="EW280" s="371"/>
      <c r="EX280" s="371"/>
      <c r="EY280" s="371"/>
      <c r="EZ280" s="371"/>
      <c r="FA280" s="371"/>
      <c r="FB280" s="371"/>
      <c r="FC280" s="371"/>
      <c r="FD280" s="371"/>
      <c r="FE280" s="371"/>
      <c r="FF280" s="371"/>
      <c r="FG280" s="371"/>
      <c r="FH280" s="371"/>
      <c r="FI280" s="371"/>
      <c r="FJ280" s="371"/>
      <c r="FK280" s="371"/>
      <c r="FL280" s="371"/>
      <c r="FM280" s="371"/>
      <c r="FN280" s="371"/>
      <c r="FO280" s="371"/>
      <c r="FP280" s="371"/>
      <c r="FQ280" s="371"/>
      <c r="FR280" s="371"/>
      <c r="FS280" s="371"/>
      <c r="FT280" s="371"/>
      <c r="FU280" s="371"/>
      <c r="FV280" s="371"/>
      <c r="FW280" s="371"/>
      <c r="FX280" s="371"/>
      <c r="FY280" s="371"/>
      <c r="FZ280" s="371"/>
      <c r="GA280" s="371"/>
      <c r="GB280" s="371"/>
      <c r="GC280" s="371"/>
      <c r="GD280" s="371"/>
      <c r="GE280" s="371"/>
      <c r="GF280" s="371"/>
      <c r="GG280" s="371"/>
      <c r="GH280" s="371"/>
      <c r="GI280" s="371"/>
      <c r="GJ280" s="371"/>
      <c r="GK280" s="371"/>
      <c r="GL280" s="371"/>
      <c r="GM280" s="371"/>
      <c r="GN280" s="371"/>
      <c r="GO280" s="371"/>
      <c r="GP280" s="371"/>
      <c r="GQ280" s="371"/>
      <c r="GR280" s="371"/>
      <c r="GS280" s="371"/>
      <c r="GT280" s="371"/>
      <c r="GU280" s="371"/>
      <c r="GV280" s="371"/>
      <c r="GW280" s="371"/>
      <c r="GX280" s="371"/>
      <c r="GY280" s="371"/>
      <c r="GZ280" s="371"/>
      <c r="HA280" s="371"/>
      <c r="HB280" s="371"/>
      <c r="HC280" s="371"/>
      <c r="HD280" s="371"/>
      <c r="HE280" s="371"/>
      <c r="HF280" s="371"/>
      <c r="HG280" s="371"/>
      <c r="HH280" s="371"/>
      <c r="HI280" s="371"/>
      <c r="HJ280" s="371"/>
      <c r="HK280" s="371"/>
      <c r="HL280" s="371"/>
      <c r="HM280" s="371"/>
      <c r="HN280" s="371"/>
      <c r="HO280" s="371"/>
      <c r="HP280" s="371"/>
      <c r="HQ280" s="371"/>
      <c r="HR280" s="371"/>
      <c r="HS280" s="371"/>
      <c r="HT280" s="371"/>
      <c r="HU280" s="371"/>
      <c r="HV280" s="371"/>
      <c r="HW280" s="371"/>
      <c r="HX280" s="371"/>
      <c r="HY280" s="371"/>
      <c r="HZ280" s="371"/>
      <c r="IA280" s="371"/>
      <c r="IB280" s="371"/>
      <c r="IC280" s="371"/>
      <c r="ID280" s="371"/>
      <c r="IE280" s="371"/>
      <c r="IF280" s="371"/>
      <c r="IG280" s="371"/>
      <c r="IH280" s="371"/>
      <c r="II280" s="371"/>
      <c r="IJ280" s="371"/>
      <c r="IK280" s="371"/>
      <c r="IL280" s="371"/>
      <c r="IM280" s="371"/>
      <c r="IN280" s="371"/>
      <c r="IO280" s="371"/>
      <c r="IP280" s="371"/>
      <c r="IQ280" s="371"/>
      <c r="IR280" s="371"/>
      <c r="IS280" s="371"/>
      <c r="IT280" s="371"/>
      <c r="IU280" s="371"/>
      <c r="IV280" s="371"/>
    </row>
    <row r="281" spans="1:256" ht="14.25" x14ac:dyDescent="0.2">
      <c r="A281" s="237"/>
      <c r="B281" s="237"/>
      <c r="C281" s="237"/>
      <c r="D281" s="379" t="s">
        <v>197</v>
      </c>
      <c r="E281" s="380"/>
      <c r="F281" s="380"/>
      <c r="G281" s="380"/>
      <c r="H281" s="380"/>
      <c r="I281" s="380"/>
      <c r="J281" s="381">
        <f>J275+J280</f>
        <v>56566.93</v>
      </c>
      <c r="K281" s="381"/>
      <c r="L281" s="381">
        <f>L275+L280</f>
        <v>450643.61</v>
      </c>
      <c r="M281" s="370" t="e">
        <v>#REF!</v>
      </c>
      <c r="N281" s="371"/>
      <c r="O281" s="371"/>
      <c r="P281" s="371"/>
      <c r="Q281" s="371"/>
      <c r="R281" s="371"/>
      <c r="S281" s="371"/>
      <c r="T281" s="371"/>
      <c r="U281" s="371"/>
      <c r="V281" s="371"/>
      <c r="W281" s="371"/>
      <c r="X281" s="371"/>
      <c r="Y281" s="371"/>
      <c r="Z281" s="371"/>
      <c r="AA281" s="371"/>
      <c r="AB281" s="371"/>
      <c r="AC281" s="371"/>
      <c r="AD281" s="371"/>
      <c r="AE281" s="371"/>
      <c r="AF281" s="371"/>
      <c r="AG281" s="371"/>
      <c r="AH281" s="371"/>
      <c r="AI281" s="371"/>
      <c r="AJ281" s="371"/>
      <c r="AK281" s="371"/>
      <c r="AL281" s="371"/>
      <c r="AM281" s="371"/>
      <c r="AN281" s="371"/>
      <c r="AO281" s="371"/>
      <c r="AP281" s="371"/>
      <c r="AQ281" s="371"/>
      <c r="AR281" s="371"/>
      <c r="AS281" s="371"/>
      <c r="AT281" s="371"/>
      <c r="AU281" s="371"/>
      <c r="AV281" s="371"/>
      <c r="AW281" s="371"/>
      <c r="AX281" s="371"/>
      <c r="AY281" s="371"/>
      <c r="AZ281" s="371"/>
      <c r="BA281" s="371"/>
      <c r="BB281" s="371"/>
      <c r="BC281" s="371"/>
      <c r="BD281" s="371"/>
      <c r="BE281" s="371"/>
      <c r="BF281" s="371"/>
      <c r="BG281" s="371"/>
      <c r="BH281" s="371"/>
      <c r="BI281" s="371"/>
      <c r="BJ281" s="371"/>
      <c r="BK281" s="371"/>
      <c r="BL281" s="371"/>
      <c r="BM281" s="371"/>
      <c r="BN281" s="371"/>
      <c r="BO281" s="371"/>
      <c r="BP281" s="371"/>
      <c r="BQ281" s="371"/>
      <c r="BR281" s="371"/>
      <c r="BS281" s="371"/>
      <c r="BT281" s="371"/>
      <c r="BU281" s="371"/>
      <c r="BV281" s="371"/>
      <c r="BW281" s="371"/>
      <c r="BX281" s="371"/>
      <c r="BY281" s="371"/>
      <c r="BZ281" s="371"/>
      <c r="CA281" s="371"/>
      <c r="CB281" s="371"/>
      <c r="CC281" s="371"/>
      <c r="CD281" s="371"/>
      <c r="CE281" s="371"/>
      <c r="CF281" s="371"/>
      <c r="CG281" s="371"/>
      <c r="CH281" s="371"/>
      <c r="CI281" s="371"/>
      <c r="CJ281" s="371"/>
      <c r="CK281" s="371"/>
      <c r="CL281" s="371"/>
      <c r="CM281" s="371"/>
      <c r="CN281" s="371"/>
      <c r="CO281" s="371"/>
      <c r="CP281" s="371"/>
      <c r="CQ281" s="371"/>
      <c r="CR281" s="371"/>
      <c r="CS281" s="371"/>
      <c r="CT281" s="371"/>
      <c r="CU281" s="371"/>
      <c r="CV281" s="371"/>
      <c r="CW281" s="371"/>
      <c r="CX281" s="371"/>
      <c r="CY281" s="371"/>
      <c r="CZ281" s="371"/>
      <c r="DA281" s="371"/>
      <c r="DB281" s="371"/>
      <c r="DC281" s="371"/>
      <c r="DD281" s="371"/>
      <c r="DE281" s="371"/>
      <c r="DF281" s="371"/>
      <c r="DG281" s="371"/>
      <c r="DH281" s="371"/>
      <c r="DI281" s="371"/>
      <c r="DJ281" s="371"/>
      <c r="DK281" s="371"/>
      <c r="DL281" s="371"/>
      <c r="DM281" s="371"/>
      <c r="DN281" s="371"/>
      <c r="DO281" s="371"/>
      <c r="DP281" s="371"/>
      <c r="DQ281" s="371"/>
      <c r="DR281" s="371"/>
      <c r="DS281" s="371"/>
      <c r="DT281" s="371"/>
      <c r="DU281" s="371"/>
      <c r="DV281" s="371"/>
      <c r="DW281" s="371"/>
      <c r="DX281" s="371"/>
      <c r="DY281" s="371"/>
      <c r="DZ281" s="371"/>
      <c r="EA281" s="371"/>
      <c r="EB281" s="371"/>
      <c r="EC281" s="371"/>
      <c r="ED281" s="371"/>
      <c r="EE281" s="371"/>
      <c r="EF281" s="371"/>
      <c r="EG281" s="371"/>
      <c r="EH281" s="371"/>
      <c r="EI281" s="371"/>
      <c r="EJ281" s="371"/>
      <c r="EK281" s="371"/>
      <c r="EL281" s="371"/>
      <c r="EM281" s="371"/>
      <c r="EN281" s="371"/>
      <c r="EO281" s="371"/>
      <c r="EP281" s="371"/>
      <c r="EQ281" s="371"/>
      <c r="ER281" s="371"/>
      <c r="ES281" s="371"/>
      <c r="ET281" s="371"/>
      <c r="EU281" s="371"/>
      <c r="EV281" s="371"/>
      <c r="EW281" s="371"/>
      <c r="EX281" s="371"/>
      <c r="EY281" s="371"/>
      <c r="EZ281" s="371"/>
      <c r="FA281" s="371"/>
      <c r="FB281" s="371"/>
      <c r="FC281" s="371"/>
      <c r="FD281" s="371"/>
      <c r="FE281" s="371"/>
      <c r="FF281" s="371"/>
      <c r="FG281" s="371"/>
      <c r="FH281" s="371"/>
      <c r="FI281" s="371"/>
      <c r="FJ281" s="371"/>
      <c r="FK281" s="371"/>
      <c r="FL281" s="371"/>
      <c r="FM281" s="371"/>
      <c r="FN281" s="371"/>
      <c r="FO281" s="371"/>
      <c r="FP281" s="371"/>
      <c r="FQ281" s="371"/>
      <c r="FR281" s="371"/>
      <c r="FS281" s="371"/>
      <c r="FT281" s="371"/>
      <c r="FU281" s="371"/>
      <c r="FV281" s="371"/>
      <c r="FW281" s="371"/>
      <c r="FX281" s="371"/>
      <c r="FY281" s="371"/>
      <c r="FZ281" s="371"/>
      <c r="GA281" s="371"/>
      <c r="GB281" s="371"/>
      <c r="GC281" s="371"/>
      <c r="GD281" s="371"/>
      <c r="GE281" s="371"/>
      <c r="GF281" s="371"/>
      <c r="GG281" s="371"/>
      <c r="GH281" s="371"/>
      <c r="GI281" s="371"/>
      <c r="GJ281" s="371"/>
      <c r="GK281" s="371"/>
      <c r="GL281" s="371"/>
      <c r="GM281" s="371"/>
      <c r="GN281" s="371"/>
      <c r="GO281" s="371"/>
      <c r="GP281" s="371"/>
      <c r="GQ281" s="371"/>
      <c r="GR281" s="371"/>
      <c r="GS281" s="371"/>
      <c r="GT281" s="371"/>
      <c r="GU281" s="371"/>
      <c r="GV281" s="371"/>
      <c r="GW281" s="371"/>
      <c r="GX281" s="371"/>
      <c r="GY281" s="371"/>
      <c r="GZ281" s="371"/>
      <c r="HA281" s="371"/>
      <c r="HB281" s="371"/>
      <c r="HC281" s="371"/>
      <c r="HD281" s="371"/>
      <c r="HE281" s="371"/>
      <c r="HF281" s="371"/>
      <c r="HG281" s="371"/>
      <c r="HH281" s="371"/>
      <c r="HI281" s="371"/>
      <c r="HJ281" s="371"/>
      <c r="HK281" s="371"/>
      <c r="HL281" s="371"/>
      <c r="HM281" s="371"/>
      <c r="HN281" s="371"/>
      <c r="HO281" s="371"/>
      <c r="HP281" s="371"/>
      <c r="HQ281" s="371"/>
      <c r="HR281" s="371"/>
      <c r="HS281" s="371"/>
      <c r="HT281" s="371"/>
      <c r="HU281" s="371"/>
      <c r="HV281" s="371"/>
      <c r="HW281" s="371"/>
      <c r="HX281" s="371"/>
      <c r="HY281" s="371"/>
      <c r="HZ281" s="371"/>
      <c r="IA281" s="371"/>
      <c r="IB281" s="371"/>
      <c r="IC281" s="371"/>
      <c r="ID281" s="371"/>
      <c r="IE281" s="371"/>
      <c r="IF281" s="371"/>
      <c r="IG281" s="371"/>
      <c r="IH281" s="371"/>
      <c r="II281" s="371"/>
      <c r="IJ281" s="371"/>
      <c r="IK281" s="371"/>
      <c r="IL281" s="371"/>
      <c r="IM281" s="371"/>
      <c r="IN281" s="371"/>
      <c r="IO281" s="371"/>
      <c r="IP281" s="371"/>
      <c r="IQ281" s="371"/>
      <c r="IR281" s="371"/>
      <c r="IS281" s="371"/>
      <c r="IT281" s="371"/>
      <c r="IU281" s="371"/>
      <c r="IV281" s="371"/>
    </row>
    <row r="282" spans="1:256" ht="14.25" x14ac:dyDescent="0.2">
      <c r="A282" s="241"/>
      <c r="B282" s="241"/>
      <c r="C282" s="241"/>
      <c r="D282" s="241"/>
      <c r="E282" s="241"/>
      <c r="F282" s="241"/>
      <c r="G282" s="241"/>
      <c r="H282" s="241"/>
      <c r="I282" s="241"/>
      <c r="J282" s="241"/>
      <c r="K282" s="241"/>
      <c r="L282" s="241"/>
      <c r="M282" s="374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75"/>
      <c r="AA282" s="375"/>
      <c r="AB282" s="375"/>
      <c r="AC282" s="375"/>
      <c r="AD282" s="375"/>
      <c r="AE282" s="375"/>
      <c r="AF282" s="375"/>
      <c r="AG282" s="375"/>
      <c r="AH282" s="375"/>
      <c r="AI282" s="375"/>
      <c r="AJ282" s="375"/>
      <c r="AK282" s="375"/>
      <c r="AL282" s="375"/>
      <c r="AM282" s="375"/>
      <c r="AN282" s="375"/>
      <c r="AO282" s="375"/>
      <c r="AP282" s="375"/>
      <c r="AQ282" s="375"/>
      <c r="AR282" s="375"/>
      <c r="AS282" s="375"/>
      <c r="AT282" s="375"/>
      <c r="AU282" s="375"/>
      <c r="AV282" s="375"/>
      <c r="AW282" s="375"/>
      <c r="AX282" s="375"/>
      <c r="AY282" s="375"/>
      <c r="AZ282" s="375"/>
      <c r="BA282" s="375"/>
      <c r="BB282" s="375"/>
      <c r="BC282" s="375"/>
      <c r="BD282" s="375"/>
      <c r="BE282" s="375"/>
      <c r="BF282" s="375"/>
      <c r="BG282" s="375"/>
      <c r="BH282" s="375"/>
      <c r="BI282" s="375"/>
      <c r="BJ282" s="375"/>
      <c r="BK282" s="375"/>
      <c r="BL282" s="375"/>
      <c r="BM282" s="375"/>
      <c r="BN282" s="375"/>
      <c r="BO282" s="375"/>
      <c r="BP282" s="375"/>
      <c r="BQ282" s="375"/>
      <c r="BR282" s="375"/>
      <c r="BS282" s="375"/>
      <c r="BT282" s="375"/>
      <c r="BU282" s="375"/>
      <c r="BV282" s="375"/>
      <c r="BW282" s="375"/>
      <c r="BX282" s="375"/>
      <c r="BY282" s="375"/>
      <c r="BZ282" s="375"/>
      <c r="CA282" s="375"/>
      <c r="CB282" s="375"/>
      <c r="CC282" s="375"/>
      <c r="CD282" s="375"/>
      <c r="CE282" s="375"/>
      <c r="CF282" s="375"/>
      <c r="CG282" s="375"/>
      <c r="CH282" s="375"/>
      <c r="CI282" s="375"/>
      <c r="CJ282" s="375"/>
      <c r="CK282" s="375"/>
      <c r="CL282" s="375"/>
      <c r="CM282" s="375"/>
      <c r="CN282" s="375"/>
      <c r="CO282" s="375"/>
      <c r="CP282" s="375"/>
      <c r="CQ282" s="375"/>
      <c r="CR282" s="375"/>
      <c r="CS282" s="375"/>
      <c r="CT282" s="375"/>
      <c r="CU282" s="375"/>
      <c r="CV282" s="375"/>
      <c r="CW282" s="375"/>
      <c r="CX282" s="375"/>
      <c r="CY282" s="375"/>
      <c r="CZ282" s="375"/>
      <c r="DA282" s="375"/>
      <c r="DB282" s="375"/>
      <c r="DC282" s="375"/>
      <c r="DD282" s="375"/>
      <c r="DE282" s="375"/>
      <c r="DF282" s="375"/>
      <c r="DG282" s="375"/>
      <c r="DH282" s="375"/>
      <c r="DI282" s="375"/>
      <c r="DJ282" s="375"/>
      <c r="DK282" s="375"/>
      <c r="DL282" s="375"/>
      <c r="DM282" s="375"/>
      <c r="DN282" s="375"/>
      <c r="DO282" s="375"/>
      <c r="DP282" s="375"/>
      <c r="DQ282" s="375"/>
      <c r="DR282" s="375"/>
      <c r="DS282" s="375"/>
      <c r="DT282" s="375"/>
      <c r="DU282" s="375"/>
      <c r="DV282" s="375"/>
      <c r="DW282" s="375"/>
      <c r="DX282" s="375"/>
      <c r="DY282" s="375"/>
      <c r="DZ282" s="375"/>
      <c r="EA282" s="375"/>
      <c r="EB282" s="375"/>
      <c r="EC282" s="375"/>
      <c r="ED282" s="375"/>
      <c r="EE282" s="375"/>
      <c r="EF282" s="375"/>
      <c r="EG282" s="375"/>
      <c r="EH282" s="375"/>
      <c r="EI282" s="375"/>
      <c r="EJ282" s="375"/>
      <c r="EK282" s="375"/>
      <c r="EL282" s="375"/>
      <c r="EM282" s="375"/>
      <c r="EN282" s="375"/>
      <c r="EO282" s="375"/>
      <c r="EP282" s="375"/>
      <c r="EQ282" s="375"/>
      <c r="ER282" s="375"/>
      <c r="ES282" s="375"/>
      <c r="ET282" s="375"/>
      <c r="EU282" s="375"/>
      <c r="EV282" s="375"/>
      <c r="EW282" s="375"/>
      <c r="EX282" s="375"/>
      <c r="EY282" s="375"/>
      <c r="EZ282" s="375"/>
      <c r="FA282" s="375"/>
      <c r="FB282" s="375"/>
      <c r="FC282" s="375"/>
      <c r="FD282" s="375"/>
      <c r="FE282" s="375"/>
      <c r="FF282" s="375"/>
      <c r="FG282" s="375"/>
      <c r="FH282" s="375"/>
      <c r="FI282" s="375"/>
      <c r="FJ282" s="375"/>
      <c r="FK282" s="375"/>
      <c r="FL282" s="375"/>
      <c r="FM282" s="375"/>
      <c r="FN282" s="375"/>
      <c r="FO282" s="375"/>
      <c r="FP282" s="375"/>
      <c r="FQ282" s="375"/>
      <c r="FR282" s="375"/>
      <c r="FS282" s="375"/>
      <c r="FT282" s="375"/>
      <c r="FU282" s="375"/>
      <c r="FV282" s="375"/>
      <c r="FW282" s="375"/>
      <c r="FX282" s="375"/>
      <c r="FY282" s="375"/>
      <c r="FZ282" s="375"/>
      <c r="GA282" s="375"/>
      <c r="GB282" s="375"/>
      <c r="GC282" s="375"/>
      <c r="GD282" s="375"/>
      <c r="GE282" s="375"/>
      <c r="GF282" s="375"/>
      <c r="GG282" s="375"/>
      <c r="GH282" s="375"/>
      <c r="GI282" s="375"/>
      <c r="GJ282" s="375"/>
      <c r="GK282" s="375"/>
      <c r="GL282" s="375"/>
      <c r="GM282" s="375"/>
      <c r="GN282" s="375"/>
      <c r="GO282" s="375"/>
      <c r="GP282" s="375"/>
      <c r="GQ282" s="375"/>
      <c r="GR282" s="375"/>
      <c r="GS282" s="375"/>
      <c r="GT282" s="375"/>
      <c r="GU282" s="375"/>
      <c r="GV282" s="375"/>
      <c r="GW282" s="375"/>
      <c r="GX282" s="375"/>
      <c r="GY282" s="375"/>
      <c r="GZ282" s="375"/>
      <c r="HA282" s="375"/>
      <c r="HB282" s="375"/>
      <c r="HC282" s="375"/>
      <c r="HD282" s="375"/>
      <c r="HE282" s="375"/>
      <c r="HF282" s="375"/>
      <c r="HG282" s="375"/>
      <c r="HH282" s="375"/>
      <c r="HI282" s="375"/>
      <c r="HJ282" s="375"/>
      <c r="HK282" s="375"/>
      <c r="HL282" s="375"/>
      <c r="HM282" s="375"/>
      <c r="HN282" s="375"/>
      <c r="HO282" s="375"/>
      <c r="HP282" s="375"/>
      <c r="HQ282" s="375"/>
      <c r="HR282" s="375"/>
      <c r="HS282" s="375"/>
      <c r="HT282" s="375"/>
      <c r="HU282" s="375"/>
      <c r="HV282" s="375"/>
      <c r="HW282" s="375"/>
      <c r="HX282" s="375"/>
      <c r="HY282" s="375"/>
      <c r="HZ282" s="375"/>
      <c r="IA282" s="375"/>
      <c r="IB282" s="375"/>
      <c r="IC282" s="375"/>
      <c r="ID282" s="375"/>
      <c r="IE282" s="375"/>
      <c r="IF282" s="375"/>
      <c r="IG282" s="375"/>
      <c r="IH282" s="375"/>
      <c r="II282" s="375"/>
      <c r="IJ282" s="375"/>
      <c r="IK282" s="375"/>
      <c r="IL282" s="375"/>
      <c r="IM282" s="375"/>
      <c r="IN282" s="375"/>
      <c r="IO282" s="375"/>
      <c r="IP282" s="375"/>
      <c r="IQ282" s="375"/>
      <c r="IR282" s="375"/>
      <c r="IS282" s="375"/>
      <c r="IT282" s="375"/>
      <c r="IU282" s="375"/>
      <c r="IV282" s="375"/>
    </row>
    <row r="283" spans="1:256" ht="14.25" x14ac:dyDescent="0.2">
      <c r="A283" s="241"/>
      <c r="B283" s="241"/>
      <c r="C283" s="241"/>
      <c r="D283" s="241"/>
      <c r="E283" s="241"/>
      <c r="F283" s="241"/>
      <c r="G283" s="241"/>
      <c r="H283" s="241"/>
      <c r="I283" s="241"/>
      <c r="J283" s="241"/>
      <c r="K283" s="241"/>
      <c r="L283" s="241"/>
      <c r="M283" s="374"/>
      <c r="N283" s="375"/>
      <c r="O283" s="375"/>
      <c r="P283" s="375"/>
      <c r="Q283" s="375"/>
      <c r="R283" s="375"/>
      <c r="S283" s="375"/>
      <c r="T283" s="375"/>
      <c r="U283" s="375"/>
      <c r="V283" s="375"/>
      <c r="W283" s="375"/>
      <c r="X283" s="375"/>
      <c r="Y283" s="375"/>
      <c r="Z283" s="375"/>
      <c r="AA283" s="375"/>
      <c r="AB283" s="375"/>
      <c r="AC283" s="375"/>
      <c r="AD283" s="375"/>
      <c r="AE283" s="375"/>
      <c r="AF283" s="375"/>
      <c r="AG283" s="375"/>
      <c r="AH283" s="375"/>
      <c r="AI283" s="375"/>
      <c r="AJ283" s="375"/>
      <c r="AK283" s="375"/>
      <c r="AL283" s="375"/>
      <c r="AM283" s="375"/>
      <c r="AN283" s="375"/>
      <c r="AO283" s="375"/>
      <c r="AP283" s="375"/>
      <c r="AQ283" s="375"/>
      <c r="AR283" s="375"/>
      <c r="AS283" s="375"/>
      <c r="AT283" s="375"/>
      <c r="AU283" s="375"/>
      <c r="AV283" s="375"/>
      <c r="AW283" s="375"/>
      <c r="AX283" s="375"/>
      <c r="AY283" s="375"/>
      <c r="AZ283" s="375"/>
      <c r="BA283" s="375"/>
      <c r="BB283" s="375"/>
      <c r="BC283" s="375"/>
      <c r="BD283" s="375"/>
      <c r="BE283" s="375"/>
      <c r="BF283" s="375"/>
      <c r="BG283" s="375"/>
      <c r="BH283" s="375"/>
      <c r="BI283" s="375"/>
      <c r="BJ283" s="375"/>
      <c r="BK283" s="375"/>
      <c r="BL283" s="375"/>
      <c r="BM283" s="375"/>
      <c r="BN283" s="375"/>
      <c r="BO283" s="375"/>
      <c r="BP283" s="375"/>
      <c r="BQ283" s="375"/>
      <c r="BR283" s="375"/>
      <c r="BS283" s="375"/>
      <c r="BT283" s="375"/>
      <c r="BU283" s="375"/>
      <c r="BV283" s="375"/>
      <c r="BW283" s="375"/>
      <c r="BX283" s="375"/>
      <c r="BY283" s="375"/>
      <c r="BZ283" s="375"/>
      <c r="CA283" s="375"/>
      <c r="CB283" s="375"/>
      <c r="CC283" s="375"/>
      <c r="CD283" s="375"/>
      <c r="CE283" s="375"/>
      <c r="CF283" s="375"/>
      <c r="CG283" s="375"/>
      <c r="CH283" s="375"/>
      <c r="CI283" s="375"/>
      <c r="CJ283" s="375"/>
      <c r="CK283" s="375"/>
      <c r="CL283" s="375"/>
      <c r="CM283" s="375"/>
      <c r="CN283" s="375"/>
      <c r="CO283" s="375"/>
      <c r="CP283" s="375"/>
      <c r="CQ283" s="375"/>
      <c r="CR283" s="375"/>
      <c r="CS283" s="375"/>
      <c r="CT283" s="375"/>
      <c r="CU283" s="375"/>
      <c r="CV283" s="375"/>
      <c r="CW283" s="375"/>
      <c r="CX283" s="375"/>
      <c r="CY283" s="375"/>
      <c r="CZ283" s="375"/>
      <c r="DA283" s="375"/>
      <c r="DB283" s="375"/>
      <c r="DC283" s="375"/>
      <c r="DD283" s="375"/>
      <c r="DE283" s="375"/>
      <c r="DF283" s="375"/>
      <c r="DG283" s="375"/>
      <c r="DH283" s="375"/>
      <c r="DI283" s="375"/>
      <c r="DJ283" s="375"/>
      <c r="DK283" s="375"/>
      <c r="DL283" s="375"/>
      <c r="DM283" s="375"/>
      <c r="DN283" s="375"/>
      <c r="DO283" s="375"/>
      <c r="DP283" s="375"/>
      <c r="DQ283" s="375"/>
      <c r="DR283" s="375"/>
      <c r="DS283" s="375"/>
      <c r="DT283" s="375"/>
      <c r="DU283" s="375"/>
      <c r="DV283" s="375"/>
      <c r="DW283" s="375"/>
      <c r="DX283" s="375"/>
      <c r="DY283" s="375"/>
      <c r="DZ283" s="375"/>
      <c r="EA283" s="375"/>
      <c r="EB283" s="375"/>
      <c r="EC283" s="375"/>
      <c r="ED283" s="375"/>
      <c r="EE283" s="375"/>
      <c r="EF283" s="375"/>
      <c r="EG283" s="375"/>
      <c r="EH283" s="375"/>
      <c r="EI283" s="375"/>
      <c r="EJ283" s="375"/>
      <c r="EK283" s="375"/>
      <c r="EL283" s="375"/>
      <c r="EM283" s="375"/>
      <c r="EN283" s="375"/>
      <c r="EO283" s="375"/>
      <c r="EP283" s="375"/>
      <c r="EQ283" s="375"/>
      <c r="ER283" s="375"/>
      <c r="ES283" s="375"/>
      <c r="ET283" s="375"/>
      <c r="EU283" s="375"/>
      <c r="EV283" s="375"/>
      <c r="EW283" s="375"/>
      <c r="EX283" s="375"/>
      <c r="EY283" s="375"/>
      <c r="EZ283" s="375"/>
      <c r="FA283" s="375"/>
      <c r="FB283" s="375"/>
      <c r="FC283" s="375"/>
      <c r="FD283" s="375"/>
      <c r="FE283" s="375"/>
      <c r="FF283" s="375"/>
      <c r="FG283" s="375"/>
      <c r="FH283" s="375"/>
      <c r="FI283" s="375"/>
      <c r="FJ283" s="375"/>
      <c r="FK283" s="375"/>
      <c r="FL283" s="375"/>
      <c r="FM283" s="375"/>
      <c r="FN283" s="375"/>
      <c r="FO283" s="375"/>
      <c r="FP283" s="375"/>
      <c r="FQ283" s="375"/>
      <c r="FR283" s="375"/>
      <c r="FS283" s="375"/>
      <c r="FT283" s="375"/>
      <c r="FU283" s="375"/>
      <c r="FV283" s="375"/>
      <c r="FW283" s="375"/>
      <c r="FX283" s="375"/>
      <c r="FY283" s="375"/>
      <c r="FZ283" s="375"/>
      <c r="GA283" s="375"/>
      <c r="GB283" s="375"/>
      <c r="GC283" s="375"/>
      <c r="GD283" s="375"/>
      <c r="GE283" s="375"/>
      <c r="GF283" s="375"/>
      <c r="GG283" s="375"/>
      <c r="GH283" s="375"/>
      <c r="GI283" s="375"/>
      <c r="GJ283" s="375"/>
      <c r="GK283" s="375"/>
      <c r="GL283" s="375"/>
      <c r="GM283" s="375"/>
      <c r="GN283" s="375"/>
      <c r="GO283" s="375"/>
      <c r="GP283" s="375"/>
      <c r="GQ283" s="375"/>
      <c r="GR283" s="375"/>
      <c r="GS283" s="375"/>
      <c r="GT283" s="375"/>
      <c r="GU283" s="375"/>
      <c r="GV283" s="375"/>
      <c r="GW283" s="375"/>
      <c r="GX283" s="375"/>
      <c r="GY283" s="375"/>
      <c r="GZ283" s="375"/>
      <c r="HA283" s="375"/>
      <c r="HB283" s="375"/>
      <c r="HC283" s="375"/>
      <c r="HD283" s="375"/>
      <c r="HE283" s="375"/>
      <c r="HF283" s="375"/>
      <c r="HG283" s="375"/>
      <c r="HH283" s="375"/>
      <c r="HI283" s="375"/>
      <c r="HJ283" s="375"/>
      <c r="HK283" s="375"/>
      <c r="HL283" s="375"/>
      <c r="HM283" s="375"/>
      <c r="HN283" s="375"/>
      <c r="HO283" s="375"/>
      <c r="HP283" s="375"/>
      <c r="HQ283" s="375"/>
      <c r="HR283" s="375"/>
      <c r="HS283" s="375"/>
      <c r="HT283" s="375"/>
      <c r="HU283" s="375"/>
      <c r="HV283" s="375"/>
      <c r="HW283" s="375"/>
      <c r="HX283" s="375"/>
      <c r="HY283" s="375"/>
      <c r="HZ283" s="375"/>
      <c r="IA283" s="375"/>
      <c r="IB283" s="375"/>
      <c r="IC283" s="375"/>
      <c r="ID283" s="375"/>
      <c r="IE283" s="375"/>
      <c r="IF283" s="375"/>
      <c r="IG283" s="375"/>
      <c r="IH283" s="375"/>
      <c r="II283" s="375"/>
      <c r="IJ283" s="375"/>
      <c r="IK283" s="375"/>
      <c r="IL283" s="375"/>
      <c r="IM283" s="375"/>
      <c r="IN283" s="375"/>
      <c r="IO283" s="375"/>
      <c r="IP283" s="375"/>
      <c r="IQ283" s="375"/>
      <c r="IR283" s="375"/>
      <c r="IS283" s="375"/>
      <c r="IT283" s="375"/>
      <c r="IU283" s="375"/>
      <c r="IV283" s="375"/>
    </row>
    <row r="284" spans="1:256" ht="15" x14ac:dyDescent="0.25">
      <c r="A284" s="368"/>
      <c r="B284" s="368"/>
      <c r="C284" s="368"/>
      <c r="D284" s="379" t="s">
        <v>198</v>
      </c>
      <c r="E284" s="377"/>
      <c r="F284" s="377"/>
      <c r="G284" s="377"/>
      <c r="H284" s="377"/>
      <c r="I284" s="377"/>
      <c r="J284" s="382">
        <f>(J275-J278)*0.925+J278</f>
        <v>55171.74</v>
      </c>
      <c r="K284" s="382"/>
      <c r="L284" s="382">
        <f>L275*0.925</f>
        <v>404882.58</v>
      </c>
      <c r="M284" s="287" t="e">
        <v>#REF!</v>
      </c>
      <c r="N284" s="275"/>
      <c r="O284" s="275"/>
      <c r="P284" s="275"/>
      <c r="Q284" s="275"/>
      <c r="R284" s="275"/>
      <c r="S284" s="275"/>
      <c r="T284" s="275"/>
      <c r="U284" s="275"/>
      <c r="V284" s="275"/>
      <c r="W284" s="275"/>
      <c r="X284" s="275"/>
      <c r="Y284" s="275"/>
      <c r="Z284" s="275"/>
      <c r="AA284" s="275"/>
      <c r="AB284" s="275"/>
      <c r="AC284" s="275"/>
      <c r="AD284" s="275"/>
      <c r="AE284" s="275"/>
      <c r="AF284" s="275"/>
      <c r="AG284" s="275"/>
      <c r="AH284" s="275"/>
      <c r="AI284" s="275"/>
      <c r="AJ284" s="275"/>
      <c r="AK284" s="275"/>
      <c r="AL284" s="275"/>
      <c r="AM284" s="275"/>
      <c r="AN284" s="275"/>
      <c r="AO284" s="275"/>
      <c r="AP284" s="275"/>
      <c r="AQ284" s="275"/>
      <c r="AR284" s="275"/>
      <c r="AS284" s="275"/>
      <c r="AT284" s="275"/>
      <c r="AU284" s="275"/>
      <c r="AV284" s="275"/>
      <c r="AW284" s="275"/>
      <c r="AX284" s="275"/>
      <c r="AY284" s="275"/>
      <c r="AZ284" s="275"/>
      <c r="BA284" s="275"/>
      <c r="BB284" s="275"/>
      <c r="BC284" s="275"/>
      <c r="BD284" s="275"/>
      <c r="BE284" s="275"/>
      <c r="BF284" s="275"/>
      <c r="BG284" s="275"/>
      <c r="BH284" s="275"/>
      <c r="BI284" s="275"/>
      <c r="BJ284" s="275"/>
      <c r="BK284" s="275"/>
      <c r="BL284" s="275"/>
      <c r="BM284" s="275"/>
      <c r="BN284" s="275"/>
      <c r="BO284" s="275"/>
      <c r="BP284" s="275"/>
      <c r="BQ284" s="275"/>
      <c r="BR284" s="275"/>
      <c r="BS284" s="275"/>
      <c r="BT284" s="275"/>
      <c r="BU284" s="275"/>
      <c r="BV284" s="275"/>
      <c r="BW284" s="275"/>
      <c r="BX284" s="275"/>
      <c r="BY284" s="275"/>
      <c r="BZ284" s="275"/>
      <c r="CA284" s="275"/>
      <c r="CB284" s="275"/>
      <c r="CC284" s="275"/>
      <c r="CD284" s="275"/>
      <c r="CE284" s="275"/>
      <c r="CF284" s="275"/>
      <c r="CG284" s="275"/>
      <c r="CH284" s="275"/>
      <c r="CI284" s="275"/>
      <c r="CJ284" s="275"/>
      <c r="CK284" s="275"/>
      <c r="CL284" s="275"/>
      <c r="CM284" s="275"/>
      <c r="CN284" s="275"/>
      <c r="CO284" s="275"/>
      <c r="CP284" s="275"/>
      <c r="CQ284" s="275"/>
      <c r="CR284" s="275"/>
      <c r="CS284" s="275"/>
      <c r="CT284" s="275"/>
      <c r="CU284" s="275"/>
      <c r="CV284" s="275"/>
      <c r="CW284" s="275"/>
      <c r="CX284" s="275"/>
      <c r="CY284" s="275"/>
      <c r="CZ284" s="275"/>
      <c r="DA284" s="275"/>
      <c r="DB284" s="275"/>
      <c r="DC284" s="275"/>
      <c r="DD284" s="275"/>
      <c r="DE284" s="275"/>
      <c r="DF284" s="275"/>
      <c r="DG284" s="275"/>
      <c r="DH284" s="275"/>
      <c r="DI284" s="275"/>
      <c r="DJ284" s="275"/>
      <c r="DK284" s="275"/>
      <c r="DL284" s="275"/>
      <c r="DM284" s="275"/>
      <c r="DN284" s="275"/>
      <c r="DO284" s="275"/>
      <c r="DP284" s="275"/>
      <c r="DQ284" s="275"/>
      <c r="DR284" s="275"/>
      <c r="DS284" s="275"/>
      <c r="DT284" s="275"/>
      <c r="DU284" s="275"/>
      <c r="DV284" s="275"/>
      <c r="DW284" s="275"/>
      <c r="DX284" s="275"/>
      <c r="DY284" s="275"/>
      <c r="DZ284" s="275"/>
      <c r="EA284" s="275"/>
      <c r="EB284" s="275"/>
      <c r="EC284" s="275"/>
      <c r="ED284" s="275"/>
      <c r="EE284" s="275"/>
      <c r="EF284" s="275"/>
      <c r="EG284" s="275"/>
      <c r="EH284" s="275"/>
      <c r="EI284" s="275"/>
      <c r="EJ284" s="275"/>
      <c r="EK284" s="275"/>
      <c r="EL284" s="275"/>
      <c r="EM284" s="275"/>
      <c r="EN284" s="275"/>
      <c r="EO284" s="275"/>
      <c r="EP284" s="275"/>
      <c r="EQ284" s="275"/>
      <c r="ER284" s="275"/>
      <c r="ES284" s="275"/>
      <c r="ET284" s="275"/>
      <c r="EU284" s="275"/>
      <c r="EV284" s="275"/>
      <c r="EW284" s="275"/>
      <c r="EX284" s="275"/>
      <c r="EY284" s="275"/>
      <c r="EZ284" s="275"/>
      <c r="FA284" s="275"/>
      <c r="FB284" s="275"/>
      <c r="FC284" s="275"/>
      <c r="FD284" s="275"/>
      <c r="FE284" s="275"/>
      <c r="FF284" s="275"/>
      <c r="FG284" s="275"/>
      <c r="FH284" s="275"/>
      <c r="FI284" s="275"/>
      <c r="FJ284" s="275"/>
      <c r="FK284" s="275"/>
      <c r="FL284" s="275"/>
      <c r="FM284" s="275"/>
      <c r="FN284" s="275"/>
      <c r="FO284" s="275"/>
      <c r="FP284" s="275"/>
      <c r="FQ284" s="275"/>
      <c r="FR284" s="275"/>
      <c r="FS284" s="275"/>
      <c r="FT284" s="275"/>
      <c r="FU284" s="275"/>
      <c r="FV284" s="275"/>
      <c r="FW284" s="275"/>
      <c r="FX284" s="275"/>
      <c r="FY284" s="275"/>
      <c r="FZ284" s="275"/>
      <c r="GA284" s="275"/>
      <c r="GB284" s="275"/>
      <c r="GC284" s="275"/>
      <c r="GD284" s="275"/>
      <c r="GE284" s="275"/>
      <c r="GF284" s="275"/>
      <c r="GG284" s="275"/>
      <c r="GH284" s="275"/>
      <c r="GI284" s="275"/>
      <c r="GJ284" s="275"/>
      <c r="GK284" s="275"/>
      <c r="GL284" s="275"/>
      <c r="GM284" s="275"/>
      <c r="GN284" s="275"/>
      <c r="GO284" s="275"/>
      <c r="GP284" s="275"/>
      <c r="GQ284" s="275"/>
      <c r="GR284" s="275"/>
      <c r="GS284" s="275"/>
      <c r="GT284" s="275"/>
      <c r="GU284" s="275"/>
      <c r="GV284" s="275"/>
      <c r="GW284" s="275"/>
      <c r="GX284" s="275"/>
      <c r="GY284" s="275"/>
      <c r="GZ284" s="275"/>
      <c r="HA284" s="275"/>
      <c r="HB284" s="275"/>
      <c r="HC284" s="275"/>
      <c r="HD284" s="275"/>
      <c r="HE284" s="275"/>
      <c r="HF284" s="275"/>
      <c r="HG284" s="275"/>
      <c r="HH284" s="275"/>
      <c r="HI284" s="275"/>
      <c r="HJ284" s="275"/>
      <c r="HK284" s="275"/>
      <c r="HL284" s="275"/>
      <c r="HM284" s="275"/>
      <c r="HN284" s="275"/>
      <c r="HO284" s="275"/>
      <c r="HP284" s="275"/>
      <c r="HQ284" s="275"/>
      <c r="HR284" s="275"/>
      <c r="HS284" s="275"/>
      <c r="HT284" s="275"/>
      <c r="HU284" s="275"/>
      <c r="HV284" s="275"/>
      <c r="HW284" s="275"/>
      <c r="HX284" s="275"/>
      <c r="HY284" s="275"/>
      <c r="HZ284" s="275"/>
      <c r="IA284" s="275"/>
      <c r="IB284" s="275"/>
      <c r="IC284" s="275"/>
      <c r="ID284" s="275"/>
      <c r="IE284" s="275"/>
      <c r="IF284" s="275"/>
      <c r="IG284" s="275"/>
      <c r="IH284" s="275"/>
      <c r="II284" s="275"/>
      <c r="IJ284" s="275"/>
      <c r="IK284" s="275"/>
      <c r="IL284" s="275"/>
      <c r="IM284" s="275"/>
      <c r="IN284" s="275"/>
      <c r="IO284" s="275"/>
      <c r="IP284" s="275"/>
      <c r="IQ284" s="275"/>
      <c r="IR284" s="275"/>
      <c r="IS284" s="275"/>
      <c r="IT284" s="275"/>
      <c r="IU284" s="275"/>
      <c r="IV284" s="275"/>
    </row>
    <row r="285" spans="1:256" ht="15" x14ac:dyDescent="0.25">
      <c r="A285" s="368"/>
      <c r="B285" s="368"/>
      <c r="C285" s="368"/>
      <c r="D285" s="377" t="s">
        <v>69</v>
      </c>
      <c r="E285" s="377"/>
      <c r="F285" s="377"/>
      <c r="G285" s="377"/>
      <c r="H285" s="377"/>
      <c r="I285" s="377"/>
      <c r="J285" s="378">
        <f>J284</f>
        <v>55171.74</v>
      </c>
      <c r="K285" s="378"/>
      <c r="L285" s="378">
        <f>L284</f>
        <v>404882.58</v>
      </c>
      <c r="M285" s="287"/>
      <c r="N285" s="275"/>
      <c r="O285" s="275"/>
      <c r="P285" s="275"/>
      <c r="Q285" s="275"/>
      <c r="R285" s="275"/>
      <c r="S285" s="275"/>
      <c r="T285" s="275"/>
      <c r="U285" s="275"/>
      <c r="V285" s="275"/>
      <c r="W285" s="275"/>
      <c r="X285" s="275"/>
      <c r="Y285" s="275"/>
      <c r="Z285" s="275"/>
      <c r="AA285" s="275"/>
      <c r="AB285" s="275"/>
      <c r="AC285" s="275"/>
      <c r="AD285" s="275"/>
      <c r="AE285" s="275"/>
      <c r="AF285" s="275"/>
      <c r="AG285" s="275"/>
      <c r="AH285" s="275"/>
      <c r="AI285" s="275"/>
      <c r="AJ285" s="275"/>
      <c r="AK285" s="275"/>
      <c r="AL285" s="275"/>
      <c r="AM285" s="275"/>
      <c r="AN285" s="275"/>
      <c r="AO285" s="275"/>
      <c r="AP285" s="275"/>
      <c r="AQ285" s="275"/>
      <c r="AR285" s="275"/>
      <c r="AS285" s="275"/>
      <c r="AT285" s="275"/>
      <c r="AU285" s="275"/>
      <c r="AV285" s="275"/>
      <c r="AW285" s="275"/>
      <c r="AX285" s="275"/>
      <c r="AY285" s="275"/>
      <c r="AZ285" s="275"/>
      <c r="BA285" s="275"/>
      <c r="BB285" s="275"/>
      <c r="BC285" s="275"/>
      <c r="BD285" s="275"/>
      <c r="BE285" s="275"/>
      <c r="BF285" s="275"/>
      <c r="BG285" s="275"/>
      <c r="BH285" s="275"/>
      <c r="BI285" s="275"/>
      <c r="BJ285" s="275"/>
      <c r="BK285" s="275"/>
      <c r="BL285" s="275"/>
      <c r="BM285" s="275"/>
      <c r="BN285" s="275"/>
      <c r="BO285" s="275"/>
      <c r="BP285" s="275"/>
      <c r="BQ285" s="275"/>
      <c r="BR285" s="275"/>
      <c r="BS285" s="275"/>
      <c r="BT285" s="275"/>
      <c r="BU285" s="275"/>
      <c r="BV285" s="275"/>
      <c r="BW285" s="275"/>
      <c r="BX285" s="275"/>
      <c r="BY285" s="275"/>
      <c r="BZ285" s="275"/>
      <c r="CA285" s="275"/>
      <c r="CB285" s="275"/>
      <c r="CC285" s="275"/>
      <c r="CD285" s="275"/>
      <c r="CE285" s="275"/>
      <c r="CF285" s="275"/>
      <c r="CG285" s="275"/>
      <c r="CH285" s="275"/>
      <c r="CI285" s="275"/>
      <c r="CJ285" s="275"/>
      <c r="CK285" s="275"/>
      <c r="CL285" s="275"/>
      <c r="CM285" s="275"/>
      <c r="CN285" s="275"/>
      <c r="CO285" s="275"/>
      <c r="CP285" s="275"/>
      <c r="CQ285" s="275"/>
      <c r="CR285" s="275"/>
      <c r="CS285" s="275"/>
      <c r="CT285" s="275"/>
      <c r="CU285" s="275"/>
      <c r="CV285" s="275"/>
      <c r="CW285" s="275"/>
      <c r="CX285" s="275"/>
      <c r="CY285" s="275"/>
      <c r="CZ285" s="275"/>
      <c r="DA285" s="275"/>
      <c r="DB285" s="275"/>
      <c r="DC285" s="275"/>
      <c r="DD285" s="275"/>
      <c r="DE285" s="275"/>
      <c r="DF285" s="275"/>
      <c r="DG285" s="275"/>
      <c r="DH285" s="275"/>
      <c r="DI285" s="275"/>
      <c r="DJ285" s="275"/>
      <c r="DK285" s="275"/>
      <c r="DL285" s="275"/>
      <c r="DM285" s="275"/>
      <c r="DN285" s="275"/>
      <c r="DO285" s="275"/>
      <c r="DP285" s="275"/>
      <c r="DQ285" s="275"/>
      <c r="DR285" s="275"/>
      <c r="DS285" s="275"/>
      <c r="DT285" s="275"/>
      <c r="DU285" s="275"/>
      <c r="DV285" s="275"/>
      <c r="DW285" s="275"/>
      <c r="DX285" s="275"/>
      <c r="DY285" s="275"/>
      <c r="DZ285" s="275"/>
      <c r="EA285" s="275"/>
      <c r="EB285" s="275"/>
      <c r="EC285" s="275"/>
      <c r="ED285" s="275"/>
      <c r="EE285" s="275"/>
      <c r="EF285" s="275"/>
      <c r="EG285" s="275"/>
      <c r="EH285" s="275"/>
      <c r="EI285" s="275"/>
      <c r="EJ285" s="275"/>
      <c r="EK285" s="275"/>
      <c r="EL285" s="275"/>
      <c r="EM285" s="275"/>
      <c r="EN285" s="275"/>
      <c r="EO285" s="275"/>
      <c r="EP285" s="275"/>
      <c r="EQ285" s="275"/>
      <c r="ER285" s="275"/>
      <c r="ES285" s="275"/>
      <c r="ET285" s="275"/>
      <c r="EU285" s="275"/>
      <c r="EV285" s="275"/>
      <c r="EW285" s="275"/>
      <c r="EX285" s="275"/>
      <c r="EY285" s="275"/>
      <c r="EZ285" s="275"/>
      <c r="FA285" s="275"/>
      <c r="FB285" s="275"/>
      <c r="FC285" s="275"/>
      <c r="FD285" s="275"/>
      <c r="FE285" s="275"/>
      <c r="FF285" s="275"/>
      <c r="FG285" s="275"/>
      <c r="FH285" s="275"/>
      <c r="FI285" s="275"/>
      <c r="FJ285" s="275"/>
      <c r="FK285" s="275"/>
      <c r="FL285" s="275"/>
      <c r="FM285" s="275"/>
      <c r="FN285" s="275"/>
      <c r="FO285" s="275"/>
      <c r="FP285" s="275"/>
      <c r="FQ285" s="275"/>
      <c r="FR285" s="275"/>
      <c r="FS285" s="275"/>
      <c r="FT285" s="275"/>
      <c r="FU285" s="275"/>
      <c r="FV285" s="275"/>
      <c r="FW285" s="275"/>
      <c r="FX285" s="275"/>
      <c r="FY285" s="275"/>
      <c r="FZ285" s="275"/>
      <c r="GA285" s="275"/>
      <c r="GB285" s="275"/>
      <c r="GC285" s="275"/>
      <c r="GD285" s="275"/>
      <c r="GE285" s="275"/>
      <c r="GF285" s="275"/>
      <c r="GG285" s="275"/>
      <c r="GH285" s="275"/>
      <c r="GI285" s="275"/>
      <c r="GJ285" s="275"/>
      <c r="GK285" s="275"/>
      <c r="GL285" s="275"/>
      <c r="GM285" s="275"/>
      <c r="GN285" s="275"/>
      <c r="GO285" s="275"/>
      <c r="GP285" s="275"/>
      <c r="GQ285" s="275"/>
      <c r="GR285" s="275"/>
      <c r="GS285" s="275"/>
      <c r="GT285" s="275"/>
      <c r="GU285" s="275"/>
      <c r="GV285" s="275"/>
      <c r="GW285" s="275"/>
      <c r="GX285" s="275"/>
      <c r="GY285" s="275"/>
      <c r="GZ285" s="275"/>
      <c r="HA285" s="275"/>
      <c r="HB285" s="275"/>
      <c r="HC285" s="275"/>
      <c r="HD285" s="275"/>
      <c r="HE285" s="275"/>
      <c r="HF285" s="275"/>
      <c r="HG285" s="275"/>
      <c r="HH285" s="275"/>
      <c r="HI285" s="275"/>
      <c r="HJ285" s="275"/>
      <c r="HK285" s="275"/>
      <c r="HL285" s="275"/>
      <c r="HM285" s="275"/>
      <c r="HN285" s="275"/>
      <c r="HO285" s="275"/>
      <c r="HP285" s="275"/>
      <c r="HQ285" s="275"/>
      <c r="HR285" s="275"/>
      <c r="HS285" s="275"/>
      <c r="HT285" s="275"/>
      <c r="HU285" s="275"/>
      <c r="HV285" s="275"/>
      <c r="HW285" s="275"/>
      <c r="HX285" s="275"/>
      <c r="HY285" s="275"/>
      <c r="HZ285" s="275"/>
      <c r="IA285" s="275"/>
      <c r="IB285" s="275"/>
      <c r="IC285" s="275"/>
      <c r="ID285" s="275"/>
      <c r="IE285" s="275"/>
      <c r="IF285" s="275"/>
      <c r="IG285" s="275"/>
      <c r="IH285" s="275"/>
      <c r="II285" s="275"/>
      <c r="IJ285" s="275"/>
      <c r="IK285" s="275"/>
      <c r="IL285" s="275"/>
      <c r="IM285" s="275"/>
      <c r="IN285" s="275"/>
      <c r="IO285" s="275"/>
      <c r="IP285" s="275"/>
      <c r="IQ285" s="275"/>
      <c r="IR285" s="275"/>
      <c r="IS285" s="275"/>
      <c r="IT285" s="275"/>
      <c r="IU285" s="275"/>
      <c r="IV285" s="275"/>
    </row>
    <row r="286" spans="1:256" ht="15" x14ac:dyDescent="0.25">
      <c r="A286" s="368"/>
      <c r="B286" s="368"/>
      <c r="C286" s="368"/>
      <c r="D286" s="377" t="s">
        <v>70</v>
      </c>
      <c r="E286" s="377"/>
      <c r="F286" s="377"/>
      <c r="G286" s="377"/>
      <c r="H286" s="377"/>
      <c r="I286" s="377"/>
      <c r="J286" s="378">
        <f>J277*0.925</f>
        <v>3291.45</v>
      </c>
      <c r="K286" s="378"/>
      <c r="L286" s="378">
        <f>L277*0.925</f>
        <v>79751.72</v>
      </c>
      <c r="M286" s="287">
        <v>21718.35</v>
      </c>
      <c r="N286" s="275"/>
      <c r="O286" s="275"/>
      <c r="P286" s="275"/>
      <c r="Q286" s="275"/>
      <c r="R286" s="275"/>
      <c r="S286" s="275"/>
      <c r="T286" s="275"/>
      <c r="U286" s="275"/>
      <c r="V286" s="275"/>
      <c r="W286" s="275"/>
      <c r="X286" s="275"/>
      <c r="Y286" s="275"/>
      <c r="Z286" s="275"/>
      <c r="AA286" s="275"/>
      <c r="AB286" s="275"/>
      <c r="AC286" s="275"/>
      <c r="AD286" s="275"/>
      <c r="AE286" s="275"/>
      <c r="AF286" s="275"/>
      <c r="AG286" s="275"/>
      <c r="AH286" s="275"/>
      <c r="AI286" s="275"/>
      <c r="AJ286" s="275"/>
      <c r="AK286" s="275"/>
      <c r="AL286" s="275"/>
      <c r="AM286" s="275"/>
      <c r="AN286" s="275"/>
      <c r="AO286" s="275"/>
      <c r="AP286" s="275"/>
      <c r="AQ286" s="275"/>
      <c r="AR286" s="275"/>
      <c r="AS286" s="275"/>
      <c r="AT286" s="275"/>
      <c r="AU286" s="275"/>
      <c r="AV286" s="275"/>
      <c r="AW286" s="275"/>
      <c r="AX286" s="275"/>
      <c r="AY286" s="275"/>
      <c r="AZ286" s="275"/>
      <c r="BA286" s="275"/>
      <c r="BB286" s="275"/>
      <c r="BC286" s="275"/>
      <c r="BD286" s="275"/>
      <c r="BE286" s="275"/>
      <c r="BF286" s="275"/>
      <c r="BG286" s="275"/>
      <c r="BH286" s="275"/>
      <c r="BI286" s="275"/>
      <c r="BJ286" s="275"/>
      <c r="BK286" s="275"/>
      <c r="BL286" s="275"/>
      <c r="BM286" s="275"/>
      <c r="BN286" s="275"/>
      <c r="BO286" s="275"/>
      <c r="BP286" s="275"/>
      <c r="BQ286" s="275"/>
      <c r="BR286" s="275"/>
      <c r="BS286" s="275"/>
      <c r="BT286" s="275"/>
      <c r="BU286" s="275"/>
      <c r="BV286" s="275"/>
      <c r="BW286" s="275"/>
      <c r="BX286" s="275"/>
      <c r="BY286" s="275"/>
      <c r="BZ286" s="275"/>
      <c r="CA286" s="275"/>
      <c r="CB286" s="275"/>
      <c r="CC286" s="275"/>
      <c r="CD286" s="275"/>
      <c r="CE286" s="275"/>
      <c r="CF286" s="275"/>
      <c r="CG286" s="275"/>
      <c r="CH286" s="275"/>
      <c r="CI286" s="275"/>
      <c r="CJ286" s="275"/>
      <c r="CK286" s="275"/>
      <c r="CL286" s="275"/>
      <c r="CM286" s="275"/>
      <c r="CN286" s="275"/>
      <c r="CO286" s="275"/>
      <c r="CP286" s="275"/>
      <c r="CQ286" s="275"/>
      <c r="CR286" s="275"/>
      <c r="CS286" s="275"/>
      <c r="CT286" s="275"/>
      <c r="CU286" s="275"/>
      <c r="CV286" s="275"/>
      <c r="CW286" s="275"/>
      <c r="CX286" s="275"/>
      <c r="CY286" s="275"/>
      <c r="CZ286" s="275"/>
      <c r="DA286" s="275"/>
      <c r="DB286" s="275"/>
      <c r="DC286" s="275"/>
      <c r="DD286" s="275"/>
      <c r="DE286" s="275"/>
      <c r="DF286" s="275"/>
      <c r="DG286" s="275"/>
      <c r="DH286" s="275"/>
      <c r="DI286" s="275"/>
      <c r="DJ286" s="275"/>
      <c r="DK286" s="275"/>
      <c r="DL286" s="275"/>
      <c r="DM286" s="275"/>
      <c r="DN286" s="275"/>
      <c r="DO286" s="275"/>
      <c r="DP286" s="275"/>
      <c r="DQ286" s="275"/>
      <c r="DR286" s="275"/>
      <c r="DS286" s="275"/>
      <c r="DT286" s="275"/>
      <c r="DU286" s="275"/>
      <c r="DV286" s="275"/>
      <c r="DW286" s="275"/>
      <c r="DX286" s="275"/>
      <c r="DY286" s="275"/>
      <c r="DZ286" s="275"/>
      <c r="EA286" s="275"/>
      <c r="EB286" s="275"/>
      <c r="EC286" s="275"/>
      <c r="ED286" s="275"/>
      <c r="EE286" s="275"/>
      <c r="EF286" s="275"/>
      <c r="EG286" s="275"/>
      <c r="EH286" s="275"/>
      <c r="EI286" s="275"/>
      <c r="EJ286" s="275"/>
      <c r="EK286" s="275"/>
      <c r="EL286" s="275"/>
      <c r="EM286" s="275"/>
      <c r="EN286" s="275"/>
      <c r="EO286" s="275"/>
      <c r="EP286" s="275"/>
      <c r="EQ286" s="275"/>
      <c r="ER286" s="275"/>
      <c r="ES286" s="275"/>
      <c r="ET286" s="275"/>
      <c r="EU286" s="275"/>
      <c r="EV286" s="275"/>
      <c r="EW286" s="275"/>
      <c r="EX286" s="275"/>
      <c r="EY286" s="275"/>
      <c r="EZ286" s="275"/>
      <c r="FA286" s="275"/>
      <c r="FB286" s="275"/>
      <c r="FC286" s="275"/>
      <c r="FD286" s="275"/>
      <c r="FE286" s="275"/>
      <c r="FF286" s="275"/>
      <c r="FG286" s="275"/>
      <c r="FH286" s="275"/>
      <c r="FI286" s="275"/>
      <c r="FJ286" s="275"/>
      <c r="FK286" s="275"/>
      <c r="FL286" s="275"/>
      <c r="FM286" s="275"/>
      <c r="FN286" s="275"/>
      <c r="FO286" s="275"/>
      <c r="FP286" s="275"/>
      <c r="FQ286" s="275"/>
      <c r="FR286" s="275"/>
      <c r="FS286" s="275"/>
      <c r="FT286" s="275"/>
      <c r="FU286" s="275"/>
      <c r="FV286" s="275"/>
      <c r="FW286" s="275"/>
      <c r="FX286" s="275"/>
      <c r="FY286" s="275"/>
      <c r="FZ286" s="275"/>
      <c r="GA286" s="275"/>
      <c r="GB286" s="275"/>
      <c r="GC286" s="275"/>
      <c r="GD286" s="275"/>
      <c r="GE286" s="275"/>
      <c r="GF286" s="275"/>
      <c r="GG286" s="275"/>
      <c r="GH286" s="275"/>
      <c r="GI286" s="275"/>
      <c r="GJ286" s="275"/>
      <c r="GK286" s="275"/>
      <c r="GL286" s="275"/>
      <c r="GM286" s="275"/>
      <c r="GN286" s="275"/>
      <c r="GO286" s="275"/>
      <c r="GP286" s="275"/>
      <c r="GQ286" s="275"/>
      <c r="GR286" s="275"/>
      <c r="GS286" s="275"/>
      <c r="GT286" s="275"/>
      <c r="GU286" s="275"/>
      <c r="GV286" s="275"/>
      <c r="GW286" s="275"/>
      <c r="GX286" s="275"/>
      <c r="GY286" s="275"/>
      <c r="GZ286" s="275"/>
      <c r="HA286" s="275"/>
      <c r="HB286" s="275"/>
      <c r="HC286" s="275"/>
      <c r="HD286" s="275"/>
      <c r="HE286" s="275"/>
      <c r="HF286" s="275"/>
      <c r="HG286" s="275"/>
      <c r="HH286" s="275"/>
      <c r="HI286" s="275"/>
      <c r="HJ286" s="275"/>
      <c r="HK286" s="275"/>
      <c r="HL286" s="275"/>
      <c r="HM286" s="275"/>
      <c r="HN286" s="275"/>
      <c r="HO286" s="275"/>
      <c r="HP286" s="275"/>
      <c r="HQ286" s="275"/>
      <c r="HR286" s="275"/>
      <c r="HS286" s="275"/>
      <c r="HT286" s="275"/>
      <c r="HU286" s="275"/>
      <c r="HV286" s="275"/>
      <c r="HW286" s="275"/>
      <c r="HX286" s="275"/>
      <c r="HY286" s="275"/>
      <c r="HZ286" s="275"/>
      <c r="IA286" s="275"/>
      <c r="IB286" s="275"/>
      <c r="IC286" s="275"/>
      <c r="ID286" s="275"/>
      <c r="IE286" s="275"/>
      <c r="IF286" s="275"/>
      <c r="IG286" s="275"/>
      <c r="IH286" s="275"/>
      <c r="II286" s="275"/>
      <c r="IJ286" s="275"/>
      <c r="IK286" s="275"/>
      <c r="IL286" s="275"/>
      <c r="IM286" s="275"/>
      <c r="IN286" s="275"/>
      <c r="IO286" s="275"/>
      <c r="IP286" s="275"/>
      <c r="IQ286" s="275"/>
      <c r="IR286" s="275"/>
      <c r="IS286" s="275"/>
      <c r="IT286" s="275"/>
      <c r="IU286" s="275"/>
      <c r="IV286" s="275"/>
    </row>
    <row r="287" spans="1:256" ht="15" x14ac:dyDescent="0.25">
      <c r="A287" s="368"/>
      <c r="B287" s="368"/>
      <c r="C287" s="368"/>
      <c r="D287" s="377" t="s">
        <v>195</v>
      </c>
      <c r="E287" s="377"/>
      <c r="F287" s="377"/>
      <c r="G287" s="377"/>
      <c r="H287" s="377"/>
      <c r="I287" s="377"/>
      <c r="J287" s="378">
        <f>J278</f>
        <v>44547.29</v>
      </c>
      <c r="K287" s="378"/>
      <c r="L287" s="378">
        <f>L278*0.925</f>
        <v>212757.96</v>
      </c>
      <c r="M287" s="287"/>
    </row>
    <row r="288" spans="1:256" ht="15" x14ac:dyDescent="0.25">
      <c r="A288" s="368"/>
      <c r="B288" s="368"/>
      <c r="C288" s="368"/>
      <c r="D288" s="383" t="s">
        <v>157</v>
      </c>
      <c r="E288" s="377"/>
      <c r="F288" s="377"/>
      <c r="G288" s="377"/>
      <c r="H288" s="377"/>
      <c r="I288" s="377"/>
      <c r="J288" s="384">
        <v>0</v>
      </c>
      <c r="K288" s="378"/>
      <c r="L288" s="384">
        <v>0</v>
      </c>
      <c r="M288" s="287"/>
    </row>
    <row r="289" spans="1:13" ht="15" x14ac:dyDescent="0.25">
      <c r="A289" s="368"/>
      <c r="B289" s="368"/>
      <c r="C289" s="368"/>
      <c r="D289" s="377" t="s">
        <v>196</v>
      </c>
      <c r="E289" s="377"/>
      <c r="F289" s="377"/>
      <c r="G289" s="377"/>
      <c r="H289" s="377"/>
      <c r="I289" s="377"/>
      <c r="J289" s="378">
        <f>J286*0.15</f>
        <v>493.72</v>
      </c>
      <c r="K289" s="378"/>
      <c r="L289" s="378">
        <f>L286*0.15</f>
        <v>11962.76</v>
      </c>
      <c r="M289" s="287">
        <v>3257.75</v>
      </c>
    </row>
    <row r="290" spans="1:13" ht="15" x14ac:dyDescent="0.25">
      <c r="A290" s="368"/>
      <c r="B290" s="368"/>
      <c r="C290" s="368"/>
      <c r="D290" s="379" t="s">
        <v>199</v>
      </c>
      <c r="E290" s="380"/>
      <c r="F290" s="380"/>
      <c r="G290" s="380"/>
      <c r="H290" s="380"/>
      <c r="I290" s="380"/>
      <c r="J290" s="382">
        <f>J289+J284</f>
        <v>55665.46</v>
      </c>
      <c r="K290" s="380"/>
      <c r="L290" s="382">
        <f>L289+L284</f>
        <v>416845.34</v>
      </c>
      <c r="M290" s="287" t="e">
        <v>#REF!</v>
      </c>
    </row>
    <row r="291" spans="1:13" ht="15" x14ac:dyDescent="0.25">
      <c r="A291" s="368"/>
      <c r="B291" s="368"/>
      <c r="C291" s="368"/>
      <c r="D291" s="385"/>
      <c r="E291" s="385"/>
      <c r="F291" s="385"/>
      <c r="G291" s="385"/>
      <c r="H291" s="385"/>
      <c r="I291" s="385"/>
      <c r="J291" s="385"/>
      <c r="K291" s="385"/>
      <c r="L291" s="385"/>
      <c r="M291" s="287"/>
    </row>
    <row r="292" spans="1:13" ht="15" x14ac:dyDescent="0.25">
      <c r="A292" s="368"/>
      <c r="B292" s="368"/>
      <c r="C292" s="368"/>
      <c r="D292" s="385"/>
      <c r="E292" s="385"/>
      <c r="F292" s="385"/>
      <c r="G292" s="385"/>
      <c r="H292" s="385"/>
      <c r="I292" s="385"/>
      <c r="J292" s="385"/>
      <c r="K292" s="385"/>
      <c r="L292" s="385"/>
      <c r="M292" s="287"/>
    </row>
    <row r="293" spans="1:13" ht="15" x14ac:dyDescent="0.25">
      <c r="A293" s="368"/>
      <c r="B293" s="368"/>
      <c r="C293" s="368"/>
      <c r="D293" s="386" t="s">
        <v>200</v>
      </c>
      <c r="E293" s="387"/>
      <c r="F293" s="387"/>
      <c r="G293" s="387"/>
      <c r="H293" s="387"/>
      <c r="I293" s="388"/>
      <c r="J293" s="389">
        <f>J290</f>
        <v>55665.46</v>
      </c>
      <c r="K293" s="390"/>
      <c r="L293" s="389">
        <f>L290</f>
        <v>416845.34</v>
      </c>
      <c r="M293" s="287"/>
    </row>
    <row r="294" spans="1:13" ht="15" x14ac:dyDescent="0.25">
      <c r="A294" s="368"/>
      <c r="B294" s="368"/>
      <c r="C294" s="368"/>
      <c r="D294" s="391" t="s">
        <v>201</v>
      </c>
      <c r="E294" s="392"/>
      <c r="F294" s="392"/>
      <c r="G294" s="392"/>
      <c r="H294" s="392"/>
      <c r="I294" s="393"/>
      <c r="J294" s="394">
        <f>J285</f>
        <v>55171.74</v>
      </c>
      <c r="K294" s="395"/>
      <c r="L294" s="394">
        <f>L285</f>
        <v>404882.58</v>
      </c>
      <c r="M294" s="287"/>
    </row>
    <row r="295" spans="1:13" ht="15" x14ac:dyDescent="0.25">
      <c r="A295" s="368"/>
      <c r="B295" s="368"/>
      <c r="C295" s="368"/>
      <c r="D295" s="391" t="s">
        <v>202</v>
      </c>
      <c r="E295" s="392"/>
      <c r="F295" s="392"/>
      <c r="G295" s="392"/>
      <c r="H295" s="392"/>
      <c r="I295" s="393"/>
      <c r="J295" s="394">
        <f>J289</f>
        <v>493.72</v>
      </c>
      <c r="K295" s="396"/>
      <c r="L295" s="394">
        <f>L289</f>
        <v>11962.76</v>
      </c>
      <c r="M295" s="287"/>
    </row>
    <row r="296" spans="1:13" ht="15" x14ac:dyDescent="0.25">
      <c r="A296" s="368"/>
      <c r="B296" s="368"/>
      <c r="C296" s="368"/>
      <c r="D296" s="391" t="s">
        <v>203</v>
      </c>
      <c r="E296" s="392"/>
      <c r="F296" s="392"/>
      <c r="G296" s="392"/>
      <c r="H296" s="392"/>
      <c r="I296" s="393"/>
      <c r="J296" s="394">
        <v>0</v>
      </c>
      <c r="K296" s="394"/>
      <c r="L296" s="394">
        <v>0</v>
      </c>
      <c r="M296" s="287"/>
    </row>
    <row r="297" spans="1:13" ht="15" x14ac:dyDescent="0.25">
      <c r="A297" s="368"/>
      <c r="B297" s="368"/>
      <c r="C297" s="368"/>
      <c r="D297" s="391" t="s">
        <v>204</v>
      </c>
      <c r="E297" s="392"/>
      <c r="F297" s="392"/>
      <c r="G297" s="392"/>
      <c r="H297" s="392"/>
      <c r="I297" s="393"/>
      <c r="J297" s="397">
        <v>0</v>
      </c>
      <c r="K297" s="397"/>
      <c r="L297" s="397">
        <v>0</v>
      </c>
      <c r="M297" s="287"/>
    </row>
    <row r="298" spans="1:13" ht="14.25" x14ac:dyDescent="0.2">
      <c r="A298" s="483"/>
      <c r="B298" s="483"/>
      <c r="C298" s="483"/>
      <c r="D298" s="483"/>
      <c r="E298" s="483"/>
      <c r="F298" s="483"/>
      <c r="G298" s="483"/>
      <c r="H298" s="483"/>
      <c r="I298" s="483"/>
      <c r="J298" s="483"/>
      <c r="K298" s="483"/>
      <c r="L298" s="483"/>
    </row>
    <row r="299" spans="1:13" ht="14.25" x14ac:dyDescent="0.2">
      <c r="A299" s="483"/>
      <c r="B299" s="483"/>
      <c r="C299" s="483"/>
      <c r="D299" s="483"/>
      <c r="E299" s="483"/>
      <c r="F299" s="483"/>
      <c r="G299" s="483"/>
      <c r="H299" s="483"/>
      <c r="I299" s="483"/>
      <c r="J299" s="483"/>
      <c r="K299" s="483"/>
      <c r="L299" s="483"/>
    </row>
    <row r="300" spans="1:13" ht="14.25" x14ac:dyDescent="0.2">
      <c r="A300" s="483"/>
      <c r="B300" s="483"/>
      <c r="C300" s="483"/>
      <c r="D300" s="483"/>
      <c r="E300" s="483"/>
      <c r="F300" s="483"/>
      <c r="G300" s="483"/>
      <c r="H300" s="483"/>
      <c r="I300" s="483"/>
      <c r="J300" s="483"/>
      <c r="K300" s="483"/>
      <c r="L300" s="483"/>
    </row>
  </sheetData>
  <mergeCells count="152">
    <mergeCell ref="A32:L32"/>
    <mergeCell ref="A33:L33"/>
    <mergeCell ref="A42:L42"/>
    <mergeCell ref="A43:L43"/>
    <mergeCell ref="A44:L44"/>
    <mergeCell ref="I268:J268"/>
    <mergeCell ref="K268:L268"/>
    <mergeCell ref="I269:J269"/>
    <mergeCell ref="K269:L269"/>
    <mergeCell ref="I247:J247"/>
    <mergeCell ref="K247:L247"/>
    <mergeCell ref="I249:J249"/>
    <mergeCell ref="K249:L249"/>
    <mergeCell ref="A251:H251"/>
    <mergeCell ref="I251:J251"/>
    <mergeCell ref="K251:L251"/>
    <mergeCell ref="I228:J228"/>
    <mergeCell ref="K228:L228"/>
    <mergeCell ref="I230:J230"/>
    <mergeCell ref="K230:L230"/>
    <mergeCell ref="I242:J242"/>
    <mergeCell ref="K242:L242"/>
    <mergeCell ref="I209:J209"/>
    <mergeCell ref="K209:L209"/>
    <mergeCell ref="D271:H271"/>
    <mergeCell ref="D272:H272"/>
    <mergeCell ref="I265:J265"/>
    <mergeCell ref="K265:L265"/>
    <mergeCell ref="I266:J266"/>
    <mergeCell ref="K266:L266"/>
    <mergeCell ref="I267:J267"/>
    <mergeCell ref="K267:L267"/>
    <mergeCell ref="A255:H255"/>
    <mergeCell ref="I255:J255"/>
    <mergeCell ref="K255:L255"/>
    <mergeCell ref="A262:H262"/>
    <mergeCell ref="I262:J262"/>
    <mergeCell ref="K262:L262"/>
    <mergeCell ref="I211:J211"/>
    <mergeCell ref="K211:L211"/>
    <mergeCell ref="I223:J223"/>
    <mergeCell ref="K223:L223"/>
    <mergeCell ref="I190:J190"/>
    <mergeCell ref="K190:L190"/>
    <mergeCell ref="I192:J192"/>
    <mergeCell ref="K192:L192"/>
    <mergeCell ref="I204:J204"/>
    <mergeCell ref="K204:L204"/>
    <mergeCell ref="I171:J171"/>
    <mergeCell ref="K171:L171"/>
    <mergeCell ref="I173:J173"/>
    <mergeCell ref="K173:L173"/>
    <mergeCell ref="I185:J185"/>
    <mergeCell ref="K185:L185"/>
    <mergeCell ref="I152:J152"/>
    <mergeCell ref="K152:L152"/>
    <mergeCell ref="I154:J154"/>
    <mergeCell ref="K154:L154"/>
    <mergeCell ref="I166:J166"/>
    <mergeCell ref="K166:L166"/>
    <mergeCell ref="I133:J133"/>
    <mergeCell ref="K133:L133"/>
    <mergeCell ref="I135:J135"/>
    <mergeCell ref="K135:L135"/>
    <mergeCell ref="I147:J147"/>
    <mergeCell ref="K147:L147"/>
    <mergeCell ref="I124:J124"/>
    <mergeCell ref="K124:L124"/>
    <mergeCell ref="I129:J129"/>
    <mergeCell ref="K129:L129"/>
    <mergeCell ref="I131:J131"/>
    <mergeCell ref="K131:L131"/>
    <mergeCell ref="I110:J110"/>
    <mergeCell ref="K110:L110"/>
    <mergeCell ref="I112:J112"/>
    <mergeCell ref="K112:L112"/>
    <mergeCell ref="I114:J114"/>
    <mergeCell ref="K114:L114"/>
    <mergeCell ref="I93:J93"/>
    <mergeCell ref="K93:L93"/>
    <mergeCell ref="I95:J95"/>
    <mergeCell ref="K95:L95"/>
    <mergeCell ref="I105:J105"/>
    <mergeCell ref="K105:L105"/>
    <mergeCell ref="I87:J87"/>
    <mergeCell ref="K87:L87"/>
    <mergeCell ref="I89:J89"/>
    <mergeCell ref="K89:L89"/>
    <mergeCell ref="I91:J91"/>
    <mergeCell ref="K91:L91"/>
    <mergeCell ref="I70:J70"/>
    <mergeCell ref="K70:L70"/>
    <mergeCell ref="I72:J72"/>
    <mergeCell ref="K72:L72"/>
    <mergeCell ref="I82:J82"/>
    <mergeCell ref="K82:L82"/>
    <mergeCell ref="A50:L50"/>
    <mergeCell ref="A52:L52"/>
    <mergeCell ref="I63:J63"/>
    <mergeCell ref="K63:L63"/>
    <mergeCell ref="I68:J68"/>
    <mergeCell ref="K68:L68"/>
    <mergeCell ref="A45:L45"/>
    <mergeCell ref="A46:L46"/>
    <mergeCell ref="A47:L47"/>
    <mergeCell ref="J35:J39"/>
    <mergeCell ref="K35:K39"/>
    <mergeCell ref="L35:L39"/>
    <mergeCell ref="A36:A39"/>
    <mergeCell ref="B36:B39"/>
    <mergeCell ref="A34:L34"/>
    <mergeCell ref="A35:B35"/>
    <mergeCell ref="C35:C39"/>
    <mergeCell ref="D35:D39"/>
    <mergeCell ref="E35:E39"/>
    <mergeCell ref="F35:F39"/>
    <mergeCell ref="G35:G39"/>
    <mergeCell ref="H35:H39"/>
    <mergeCell ref="I35:I39"/>
    <mergeCell ref="J24:L24"/>
    <mergeCell ref="G26:G27"/>
    <mergeCell ref="H26:H27"/>
    <mergeCell ref="I26:J26"/>
    <mergeCell ref="A30:L30"/>
    <mergeCell ref="A31:L31"/>
    <mergeCell ref="C20:H20"/>
    <mergeCell ref="G21:I21"/>
    <mergeCell ref="J21:L21"/>
    <mergeCell ref="G22:H22"/>
    <mergeCell ref="J22:L22"/>
    <mergeCell ref="J23:L23"/>
    <mergeCell ref="C16:H16"/>
    <mergeCell ref="C17:H17"/>
    <mergeCell ref="C18:H18"/>
    <mergeCell ref="J18:L19"/>
    <mergeCell ref="C19:H19"/>
    <mergeCell ref="C9:H9"/>
    <mergeCell ref="C10:H10"/>
    <mergeCell ref="J10:L11"/>
    <mergeCell ref="C11:H11"/>
    <mergeCell ref="C12:H12"/>
    <mergeCell ref="J12:L13"/>
    <mergeCell ref="C13:H13"/>
    <mergeCell ref="I2:L2"/>
    <mergeCell ref="I3:L3"/>
    <mergeCell ref="I4:L4"/>
    <mergeCell ref="J6:L6"/>
    <mergeCell ref="J7:L7"/>
    <mergeCell ref="J8:L9"/>
    <mergeCell ref="C14:H14"/>
    <mergeCell ref="J14:L15"/>
    <mergeCell ref="C15:H15"/>
  </mergeCells>
  <pageMargins left="0.4" right="0.2" top="0.2" bottom="0.4" header="0.2" footer="0.2"/>
  <pageSetup paperSize="9" scale="59" fitToHeight="0" orientation="portrait" r:id="rId1"/>
  <headerFooter>
    <oddHeader>&amp;L&amp;8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X434"/>
  <sheetViews>
    <sheetView view="pageBreakPreview" topLeftCell="A390" zoomScale="70" zoomScaleNormal="70" zoomScaleSheetLayoutView="70" workbookViewId="0">
      <selection activeCell="AQ410" sqref="AQ410"/>
    </sheetView>
  </sheetViews>
  <sheetFormatPr defaultRowHeight="12.75" x14ac:dyDescent="0.2"/>
  <cols>
    <col min="1" max="1" width="5.7109375" style="326" customWidth="1"/>
    <col min="2" max="2" width="7.140625" style="326" customWidth="1"/>
    <col min="3" max="3" width="11.7109375" style="326" customWidth="1"/>
    <col min="4" max="4" width="40.7109375" style="326" customWidth="1"/>
    <col min="5" max="7" width="11.7109375" style="326" customWidth="1"/>
    <col min="8" max="8" width="12.7109375" style="326" customWidth="1"/>
    <col min="9" max="9" width="12.85546875" style="326" customWidth="1"/>
    <col min="10" max="10" width="14.5703125" style="326" customWidth="1"/>
    <col min="11" max="11" width="12.7109375" style="326" customWidth="1"/>
    <col min="12" max="12" width="15.5703125" style="326" customWidth="1"/>
    <col min="13" max="14" width="9.140625" style="326"/>
    <col min="15" max="35" width="0" style="326" hidden="1" customWidth="1"/>
    <col min="36" max="36" width="99.7109375" style="326" hidden="1" customWidth="1"/>
    <col min="37" max="37" width="155.7109375" style="326" hidden="1" customWidth="1"/>
    <col min="38" max="38" width="109.7109375" style="326" hidden="1" customWidth="1"/>
    <col min="39" max="42" width="0" style="326" hidden="1" customWidth="1"/>
    <col min="43" max="16384" width="9.140625" style="326"/>
  </cols>
  <sheetData>
    <row r="1" spans="1:256" hidden="1" x14ac:dyDescent="0.2">
      <c r="A1" s="325" t="str">
        <f>[91]Source!B1</f>
        <v>Smeta.RU  (495) 974-1589</v>
      </c>
    </row>
    <row r="2" spans="1:256" ht="15" hidden="1" x14ac:dyDescent="0.25">
      <c r="A2" s="327"/>
      <c r="B2" s="327"/>
      <c r="C2" s="328"/>
      <c r="D2" s="328"/>
      <c r="E2" s="328"/>
      <c r="F2" s="327"/>
      <c r="G2" s="327"/>
      <c r="H2" s="327"/>
      <c r="I2" s="667" t="s">
        <v>0</v>
      </c>
      <c r="J2" s="667"/>
      <c r="K2" s="667"/>
      <c r="L2" s="667"/>
    </row>
    <row r="3" spans="1:256" ht="14.25" hidden="1" x14ac:dyDescent="0.2">
      <c r="A3" s="327"/>
      <c r="B3" s="327"/>
      <c r="C3" s="327"/>
      <c r="D3" s="327"/>
      <c r="E3" s="327"/>
      <c r="F3" s="327"/>
      <c r="G3" s="327"/>
      <c r="H3" s="327"/>
      <c r="I3" s="667" t="s">
        <v>1</v>
      </c>
      <c r="J3" s="667"/>
      <c r="K3" s="667"/>
      <c r="L3" s="667"/>
    </row>
    <row r="4" spans="1:256" ht="14.25" hidden="1" x14ac:dyDescent="0.2">
      <c r="A4" s="327"/>
      <c r="B4" s="327"/>
      <c r="C4" s="327"/>
      <c r="D4" s="327"/>
      <c r="E4" s="327"/>
      <c r="F4" s="327"/>
      <c r="G4" s="327"/>
      <c r="H4" s="327"/>
      <c r="I4" s="667" t="s">
        <v>2</v>
      </c>
      <c r="J4" s="667"/>
      <c r="K4" s="667"/>
      <c r="L4" s="667"/>
    </row>
    <row r="5" spans="1:256" ht="14.25" hidden="1" x14ac:dyDescent="0.2">
      <c r="A5" s="327"/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</row>
    <row r="6" spans="1:256" s="4" customFormat="1" ht="15" hidden="1" x14ac:dyDescent="0.25">
      <c r="A6" s="1"/>
      <c r="B6" s="1"/>
      <c r="C6" s="1"/>
      <c r="D6" s="1"/>
      <c r="E6" s="1"/>
      <c r="F6" s="1"/>
      <c r="G6" s="1"/>
      <c r="H6" s="1"/>
      <c r="I6" s="1"/>
      <c r="J6" s="608" t="s">
        <v>3</v>
      </c>
      <c r="K6" s="609"/>
      <c r="L6" s="610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4" customFormat="1" ht="15" hidden="1" x14ac:dyDescent="0.25">
      <c r="A7" s="1"/>
      <c r="B7" s="1"/>
      <c r="C7" s="1"/>
      <c r="D7" s="1"/>
      <c r="E7" s="1"/>
      <c r="F7" s="1"/>
      <c r="G7" s="1"/>
      <c r="H7" s="1"/>
      <c r="I7" s="310" t="s">
        <v>4</v>
      </c>
      <c r="J7" s="625" t="s">
        <v>5</v>
      </c>
      <c r="K7" s="626"/>
      <c r="L7" s="62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6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4" customFormat="1" ht="15" hidden="1" x14ac:dyDescent="0.25">
      <c r="A8" s="1"/>
      <c r="B8" s="1"/>
      <c r="C8" s="1"/>
      <c r="D8" s="1"/>
      <c r="E8" s="1"/>
      <c r="F8" s="1"/>
      <c r="G8" s="1"/>
      <c r="H8" s="1"/>
      <c r="I8" s="1"/>
      <c r="J8" s="628" t="s">
        <v>6</v>
      </c>
      <c r="K8" s="629"/>
      <c r="L8" s="630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4" customFormat="1" ht="27.75" hidden="1" customHeight="1" x14ac:dyDescent="0.25">
      <c r="A9" s="597" t="s">
        <v>7</v>
      </c>
      <c r="B9" s="597"/>
      <c r="C9" s="598" t="s">
        <v>8</v>
      </c>
      <c r="D9" s="598"/>
      <c r="E9" s="598"/>
      <c r="F9" s="598"/>
      <c r="G9" s="598"/>
      <c r="H9" s="598"/>
      <c r="I9" s="310" t="s">
        <v>9</v>
      </c>
      <c r="J9" s="631"/>
      <c r="K9" s="632"/>
      <c r="L9" s="63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05" t="e">
        <v>#REF!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4" customFormat="1" ht="15" hidden="1" x14ac:dyDescent="0.25">
      <c r="A10" s="1"/>
      <c r="B10" s="1"/>
      <c r="C10" s="599" t="s">
        <v>10</v>
      </c>
      <c r="D10" s="599"/>
      <c r="E10" s="599"/>
      <c r="F10" s="599"/>
      <c r="G10" s="599"/>
      <c r="H10" s="599"/>
      <c r="I10" s="1"/>
      <c r="J10" s="628" t="s">
        <v>11</v>
      </c>
      <c r="K10" s="629"/>
      <c r="L10" s="630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4" customFormat="1" ht="29.25" hidden="1" customHeight="1" x14ac:dyDescent="0.25">
      <c r="A11" s="597" t="s">
        <v>12</v>
      </c>
      <c r="B11" s="597"/>
      <c r="C11" s="598" t="s">
        <v>13</v>
      </c>
      <c r="D11" s="598"/>
      <c r="E11" s="598"/>
      <c r="F11" s="598"/>
      <c r="G11" s="598"/>
      <c r="H11" s="598"/>
      <c r="I11" s="310" t="s">
        <v>9</v>
      </c>
      <c r="J11" s="631"/>
      <c r="K11" s="632"/>
      <c r="L11" s="63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05" t="e">
        <v>#REF!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4" customFormat="1" ht="15" hidden="1" x14ac:dyDescent="0.25">
      <c r="A12" s="1"/>
      <c r="B12" s="1"/>
      <c r="C12" s="599" t="s">
        <v>10</v>
      </c>
      <c r="D12" s="599"/>
      <c r="E12" s="599"/>
      <c r="F12" s="599"/>
      <c r="G12" s="599"/>
      <c r="H12" s="599"/>
      <c r="I12" s="1"/>
      <c r="J12" s="628" t="s">
        <v>14</v>
      </c>
      <c r="K12" s="629"/>
      <c r="L12" s="630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4" customFormat="1" ht="15" hidden="1" x14ac:dyDescent="0.25">
      <c r="A13" s="1" t="s">
        <v>15</v>
      </c>
      <c r="B13" s="1"/>
      <c r="C13" s="598" t="s">
        <v>16</v>
      </c>
      <c r="D13" s="598"/>
      <c r="E13" s="598"/>
      <c r="F13" s="598"/>
      <c r="G13" s="598"/>
      <c r="H13" s="598"/>
      <c r="I13" s="310" t="s">
        <v>9</v>
      </c>
      <c r="J13" s="631"/>
      <c r="K13" s="632"/>
      <c r="L13" s="63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05" t="e">
        <v>#REF!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4" customFormat="1" ht="15" hidden="1" x14ac:dyDescent="0.25">
      <c r="A14" s="1"/>
      <c r="B14" s="1"/>
      <c r="C14" s="619" t="s">
        <v>10</v>
      </c>
      <c r="D14" s="619"/>
      <c r="E14" s="619"/>
      <c r="F14" s="619"/>
      <c r="G14" s="619"/>
      <c r="H14" s="619"/>
      <c r="I14" s="1"/>
      <c r="J14" s="628" t="s">
        <v>132</v>
      </c>
      <c r="K14" s="629"/>
      <c r="L14" s="63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4" customFormat="1" ht="33" hidden="1" customHeight="1" x14ac:dyDescent="0.25">
      <c r="A15" s="1" t="s">
        <v>185</v>
      </c>
      <c r="B15" s="1"/>
      <c r="C15" s="598" t="s">
        <v>213</v>
      </c>
      <c r="D15" s="598"/>
      <c r="E15" s="598"/>
      <c r="F15" s="598"/>
      <c r="G15" s="598"/>
      <c r="H15" s="598"/>
      <c r="I15" s="310" t="s">
        <v>9</v>
      </c>
      <c r="J15" s="631"/>
      <c r="K15" s="632"/>
      <c r="L15" s="63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05" t="e">
        <v>#REF!</v>
      </c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4" customFormat="1" ht="15" hidden="1" x14ac:dyDescent="0.25">
      <c r="A16" s="1"/>
      <c r="B16" s="1"/>
      <c r="C16" s="619" t="s">
        <v>10</v>
      </c>
      <c r="D16" s="619"/>
      <c r="E16" s="619"/>
      <c r="F16" s="619"/>
      <c r="G16" s="619"/>
      <c r="H16" s="619"/>
      <c r="I16" s="1"/>
      <c r="J16" s="620"/>
      <c r="K16" s="621"/>
      <c r="L16" s="62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8" s="4" customFormat="1" ht="30" hidden="1" customHeight="1" x14ac:dyDescent="0.25">
      <c r="A17" s="1" t="s">
        <v>17</v>
      </c>
      <c r="B17" s="1"/>
      <c r="C17" s="716" t="s">
        <v>18</v>
      </c>
      <c r="D17" s="716"/>
      <c r="E17" s="716"/>
      <c r="F17" s="716"/>
      <c r="G17" s="716"/>
      <c r="H17" s="716"/>
      <c r="I17" s="1"/>
      <c r="J17" s="603"/>
      <c r="K17" s="604"/>
      <c r="L17" s="605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05" t="s">
        <v>19</v>
      </c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8" s="4" customFormat="1" ht="15" hidden="1" x14ac:dyDescent="0.25">
      <c r="A18" s="1"/>
      <c r="B18" s="1"/>
      <c r="C18" s="619" t="s">
        <v>20</v>
      </c>
      <c r="D18" s="619"/>
      <c r="E18" s="619"/>
      <c r="F18" s="619"/>
      <c r="G18" s="619"/>
      <c r="H18" s="619"/>
      <c r="I18" s="1"/>
      <c r="J18" s="620"/>
      <c r="K18" s="621"/>
      <c r="L18" s="62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8" s="4" customFormat="1" ht="30.75" hidden="1" customHeight="1" x14ac:dyDescent="0.25">
      <c r="A19" s="1" t="s">
        <v>21</v>
      </c>
      <c r="B19" s="1"/>
      <c r="C19" s="716" t="s">
        <v>18</v>
      </c>
      <c r="D19" s="716"/>
      <c r="E19" s="716"/>
      <c r="F19" s="716"/>
      <c r="G19" s="716"/>
      <c r="H19" s="716"/>
      <c r="I19" s="1"/>
      <c r="J19" s="603"/>
      <c r="K19" s="604"/>
      <c r="L19" s="605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07" t="e">
        <v>#REF!</v>
      </c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8" s="4" customFormat="1" ht="15.75" hidden="1" customHeight="1" x14ac:dyDescent="0.2">
      <c r="A20" s="1"/>
      <c r="B20" s="1"/>
      <c r="C20" s="599" t="s">
        <v>22</v>
      </c>
      <c r="D20" s="599"/>
      <c r="E20" s="599"/>
      <c r="F20" s="599"/>
      <c r="G20" s="599"/>
      <c r="H20" s="599"/>
      <c r="I20" s="1"/>
      <c r="J20" s="1"/>
      <c r="K20" s="1"/>
      <c r="L20" s="1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401"/>
      <c r="AJ20" s="401"/>
      <c r="AK20" s="401"/>
      <c r="AL20" s="401"/>
      <c r="AM20" s="401"/>
      <c r="AN20" s="401"/>
      <c r="AO20" s="401"/>
      <c r="AP20" s="401"/>
      <c r="AQ20" s="401"/>
      <c r="AR20" s="401"/>
      <c r="AS20" s="401"/>
      <c r="AT20" s="401"/>
      <c r="AU20" s="401"/>
      <c r="AV20" s="401"/>
      <c r="AW20" s="401"/>
      <c r="AX20" s="401"/>
      <c r="AY20" s="401"/>
      <c r="AZ20" s="401"/>
      <c r="BA20" s="401"/>
      <c r="BB20" s="401"/>
      <c r="BC20" s="401"/>
      <c r="BD20" s="401"/>
      <c r="BE20" s="401"/>
      <c r="BF20" s="401"/>
      <c r="BG20" s="401"/>
      <c r="BH20" s="401"/>
      <c r="BI20" s="401"/>
      <c r="BJ20" s="401"/>
      <c r="BK20" s="401"/>
      <c r="BL20" s="401"/>
      <c r="BM20" s="401"/>
      <c r="BN20" s="401"/>
      <c r="BO20" s="401"/>
      <c r="BP20" s="401"/>
      <c r="BQ20" s="401"/>
      <c r="BR20" s="401"/>
      <c r="BS20" s="401"/>
      <c r="BT20" s="401"/>
      <c r="BU20" s="401"/>
      <c r="BV20" s="401"/>
      <c r="BW20" s="401"/>
      <c r="BX20" s="401"/>
      <c r="BY20" s="401"/>
      <c r="BZ20" s="401"/>
      <c r="CA20" s="401"/>
      <c r="CB20" s="401"/>
      <c r="CC20" s="401"/>
      <c r="CD20" s="401"/>
      <c r="CE20" s="401"/>
      <c r="CF20" s="401"/>
      <c r="CG20" s="401"/>
      <c r="CH20" s="401"/>
      <c r="CI20" s="401"/>
      <c r="CJ20" s="401"/>
      <c r="CK20" s="401"/>
      <c r="CL20" s="401"/>
      <c r="CM20" s="401"/>
      <c r="CN20" s="401"/>
      <c r="CO20" s="401"/>
      <c r="CP20" s="401"/>
      <c r="CQ20" s="401"/>
      <c r="CR20" s="401"/>
      <c r="CS20" s="401"/>
      <c r="CT20" s="401"/>
      <c r="CU20" s="401"/>
      <c r="CV20" s="401"/>
      <c r="CW20" s="401"/>
      <c r="CX20" s="401"/>
      <c r="CY20" s="401"/>
      <c r="CZ20" s="401"/>
      <c r="DA20" s="401"/>
      <c r="DB20" s="401"/>
      <c r="DC20" s="401"/>
      <c r="DD20" s="401"/>
      <c r="DE20" s="401"/>
      <c r="DF20" s="401"/>
      <c r="DG20" s="401"/>
      <c r="DH20" s="401"/>
      <c r="DI20" s="401"/>
      <c r="DJ20" s="401"/>
      <c r="DK20" s="401"/>
      <c r="DL20" s="401"/>
      <c r="DM20" s="401"/>
      <c r="DN20" s="401"/>
      <c r="DO20" s="401"/>
      <c r="DP20" s="401"/>
      <c r="DQ20" s="401"/>
      <c r="DR20" s="401"/>
      <c r="DS20" s="401"/>
      <c r="DT20" s="401"/>
      <c r="DU20" s="401"/>
      <c r="DV20" s="401"/>
      <c r="DW20" s="401"/>
      <c r="DX20" s="401"/>
      <c r="DY20" s="401"/>
      <c r="DZ20" s="401"/>
      <c r="EA20" s="401"/>
      <c r="EB20" s="401"/>
      <c r="EC20" s="401"/>
      <c r="ED20" s="401"/>
      <c r="EE20" s="401"/>
      <c r="EF20" s="401"/>
      <c r="EG20" s="401"/>
      <c r="EH20" s="401"/>
      <c r="EI20" s="401"/>
      <c r="EJ20" s="401"/>
      <c r="EK20" s="401"/>
      <c r="EL20" s="401"/>
      <c r="EM20" s="401"/>
      <c r="EN20" s="401"/>
      <c r="EO20" s="401"/>
      <c r="EP20" s="401"/>
      <c r="EQ20" s="401"/>
      <c r="ER20" s="401"/>
      <c r="ES20" s="401"/>
      <c r="ET20" s="401"/>
      <c r="EU20" s="401"/>
      <c r="EV20" s="401"/>
      <c r="EW20" s="401"/>
      <c r="EX20" s="401"/>
      <c r="EY20" s="401"/>
      <c r="EZ20" s="401"/>
      <c r="FA20" s="401"/>
      <c r="FB20" s="401"/>
      <c r="FC20" s="401"/>
      <c r="FD20" s="401"/>
      <c r="FE20" s="401"/>
      <c r="FF20" s="401"/>
      <c r="FG20" s="401"/>
      <c r="FH20" s="401"/>
      <c r="FI20" s="401"/>
      <c r="FJ20" s="401"/>
      <c r="FK20" s="401"/>
      <c r="FL20" s="401"/>
      <c r="FM20" s="401"/>
      <c r="FN20" s="401"/>
      <c r="FO20" s="401"/>
      <c r="FP20" s="401"/>
      <c r="FQ20" s="401"/>
      <c r="FR20" s="401"/>
      <c r="FS20" s="401"/>
      <c r="FT20" s="401"/>
      <c r="FU20" s="401"/>
      <c r="FV20" s="401"/>
      <c r="FW20" s="401"/>
      <c r="FX20" s="401"/>
      <c r="FY20" s="401"/>
      <c r="FZ20" s="401"/>
      <c r="GA20" s="401"/>
      <c r="GB20" s="401"/>
      <c r="GC20" s="401"/>
      <c r="GD20" s="401"/>
      <c r="GE20" s="401"/>
      <c r="GF20" s="401"/>
      <c r="GG20" s="401"/>
      <c r="GH20" s="401"/>
      <c r="GI20" s="401"/>
      <c r="GJ20" s="401"/>
      <c r="GK20" s="401"/>
      <c r="GL20" s="401"/>
      <c r="GM20" s="401"/>
      <c r="GN20" s="401"/>
      <c r="GO20" s="401"/>
      <c r="GP20" s="401"/>
      <c r="GQ20" s="401"/>
      <c r="GR20" s="401"/>
      <c r="GS20" s="401"/>
      <c r="GT20" s="401"/>
      <c r="GU20" s="401"/>
      <c r="GV20" s="401"/>
      <c r="GW20" s="401"/>
      <c r="GX20" s="401"/>
      <c r="GY20" s="401"/>
      <c r="GZ20" s="401"/>
      <c r="HA20" s="401"/>
      <c r="HB20" s="401"/>
      <c r="HC20" s="401"/>
      <c r="HD20" s="401"/>
      <c r="HE20" s="401"/>
      <c r="HF20" s="401"/>
      <c r="HG20" s="401"/>
      <c r="HH20" s="401"/>
      <c r="HI20" s="401"/>
      <c r="HJ20" s="401"/>
      <c r="HK20" s="401"/>
      <c r="HL20" s="401"/>
      <c r="HM20" s="401"/>
      <c r="HN20" s="401"/>
      <c r="HO20" s="401"/>
      <c r="HP20" s="401"/>
      <c r="HQ20" s="401"/>
      <c r="HR20" s="401"/>
      <c r="HS20" s="401"/>
      <c r="HT20" s="401"/>
      <c r="HU20" s="401"/>
      <c r="HV20" s="401"/>
      <c r="HW20" s="401"/>
      <c r="HX20" s="401"/>
      <c r="HY20" s="401"/>
      <c r="HZ20" s="401"/>
      <c r="IA20" s="401"/>
      <c r="IB20" s="401"/>
      <c r="IC20" s="401"/>
      <c r="ID20" s="401"/>
      <c r="IE20" s="401"/>
      <c r="IF20" s="401"/>
      <c r="IG20" s="401"/>
      <c r="IH20" s="401"/>
      <c r="II20" s="401"/>
      <c r="IJ20" s="401"/>
      <c r="IK20" s="401"/>
      <c r="IL20" s="401"/>
      <c r="IM20" s="401"/>
      <c r="IN20" s="401"/>
      <c r="IO20" s="401"/>
      <c r="IP20" s="401"/>
      <c r="IQ20" s="401"/>
      <c r="IR20" s="401"/>
      <c r="IS20" s="401"/>
      <c r="IT20" s="401"/>
      <c r="IU20" s="401"/>
      <c r="IV20" s="401"/>
    </row>
    <row r="21" spans="1:258" s="4" customFormat="1" ht="14.25" hidden="1" x14ac:dyDescent="0.2">
      <c r="A21" s="1"/>
      <c r="B21" s="1"/>
      <c r="C21" s="1"/>
      <c r="D21" s="1"/>
      <c r="E21" s="1"/>
      <c r="F21" s="1"/>
      <c r="G21" s="606" t="s">
        <v>23</v>
      </c>
      <c r="H21" s="606"/>
      <c r="I21" s="607"/>
      <c r="J21" s="608"/>
      <c r="K21" s="609"/>
      <c r="L21" s="610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401"/>
      <c r="AJ21" s="401"/>
      <c r="AK21" s="401"/>
      <c r="AL21" s="401"/>
      <c r="AM21" s="401"/>
      <c r="AN21" s="401"/>
      <c r="AO21" s="401"/>
      <c r="AP21" s="401"/>
      <c r="AQ21" s="401"/>
      <c r="AR21" s="401"/>
      <c r="AS21" s="401"/>
      <c r="AT21" s="401"/>
      <c r="AU21" s="401"/>
      <c r="AV21" s="401"/>
      <c r="AW21" s="401"/>
      <c r="AX21" s="401"/>
      <c r="AY21" s="401"/>
      <c r="AZ21" s="401"/>
      <c r="BA21" s="401"/>
      <c r="BB21" s="401"/>
      <c r="BC21" s="401"/>
      <c r="BD21" s="401"/>
      <c r="BE21" s="401"/>
      <c r="BF21" s="401"/>
      <c r="BG21" s="401"/>
      <c r="BH21" s="401"/>
      <c r="BI21" s="401"/>
      <c r="BJ21" s="401"/>
      <c r="BK21" s="401"/>
      <c r="BL21" s="401"/>
      <c r="BM21" s="401"/>
      <c r="BN21" s="401"/>
      <c r="BO21" s="401"/>
      <c r="BP21" s="401"/>
      <c r="BQ21" s="401"/>
      <c r="BR21" s="401"/>
      <c r="BS21" s="401"/>
      <c r="BT21" s="401"/>
      <c r="BU21" s="401"/>
      <c r="BV21" s="401"/>
      <c r="BW21" s="401"/>
      <c r="BX21" s="401"/>
      <c r="BY21" s="401"/>
      <c r="BZ21" s="401"/>
      <c r="CA21" s="401"/>
      <c r="CB21" s="401"/>
      <c r="CC21" s="401"/>
      <c r="CD21" s="401"/>
      <c r="CE21" s="401"/>
      <c r="CF21" s="401"/>
      <c r="CG21" s="401"/>
      <c r="CH21" s="401"/>
      <c r="CI21" s="401"/>
      <c r="CJ21" s="401"/>
      <c r="CK21" s="401"/>
      <c r="CL21" s="401"/>
      <c r="CM21" s="401"/>
      <c r="CN21" s="401"/>
      <c r="CO21" s="401"/>
      <c r="CP21" s="401"/>
      <c r="CQ21" s="401"/>
      <c r="CR21" s="401"/>
      <c r="CS21" s="401"/>
      <c r="CT21" s="401"/>
      <c r="CU21" s="401"/>
      <c r="CV21" s="401"/>
      <c r="CW21" s="401"/>
      <c r="CX21" s="401"/>
      <c r="CY21" s="401"/>
      <c r="CZ21" s="401"/>
      <c r="DA21" s="401"/>
      <c r="DB21" s="401"/>
      <c r="DC21" s="401"/>
      <c r="DD21" s="401"/>
      <c r="DE21" s="401"/>
      <c r="DF21" s="401"/>
      <c r="DG21" s="401"/>
      <c r="DH21" s="401"/>
      <c r="DI21" s="401"/>
      <c r="DJ21" s="401"/>
      <c r="DK21" s="401"/>
      <c r="DL21" s="401"/>
      <c r="DM21" s="401"/>
      <c r="DN21" s="401"/>
      <c r="DO21" s="401"/>
      <c r="DP21" s="401"/>
      <c r="DQ21" s="401"/>
      <c r="DR21" s="401"/>
      <c r="DS21" s="401"/>
      <c r="DT21" s="401"/>
      <c r="DU21" s="401"/>
      <c r="DV21" s="401"/>
      <c r="DW21" s="401"/>
      <c r="DX21" s="401"/>
      <c r="DY21" s="401"/>
      <c r="DZ21" s="401"/>
      <c r="EA21" s="401"/>
      <c r="EB21" s="401"/>
      <c r="EC21" s="401"/>
      <c r="ED21" s="401"/>
      <c r="EE21" s="401"/>
      <c r="EF21" s="401"/>
      <c r="EG21" s="401"/>
      <c r="EH21" s="401"/>
      <c r="EI21" s="401"/>
      <c r="EJ21" s="401"/>
      <c r="EK21" s="401"/>
      <c r="EL21" s="401"/>
      <c r="EM21" s="401"/>
      <c r="EN21" s="401"/>
      <c r="EO21" s="401"/>
      <c r="EP21" s="401"/>
      <c r="EQ21" s="401"/>
      <c r="ER21" s="401"/>
      <c r="ES21" s="401"/>
      <c r="ET21" s="401"/>
      <c r="EU21" s="401"/>
      <c r="EV21" s="401"/>
      <c r="EW21" s="401"/>
      <c r="EX21" s="401"/>
      <c r="EY21" s="401"/>
      <c r="EZ21" s="401"/>
      <c r="FA21" s="401"/>
      <c r="FB21" s="401"/>
      <c r="FC21" s="401"/>
      <c r="FD21" s="401"/>
      <c r="FE21" s="401"/>
      <c r="FF21" s="401"/>
      <c r="FG21" s="401"/>
      <c r="FH21" s="401"/>
      <c r="FI21" s="401"/>
      <c r="FJ21" s="401"/>
      <c r="FK21" s="401"/>
      <c r="FL21" s="401"/>
      <c r="FM21" s="401"/>
      <c r="FN21" s="401"/>
      <c r="FO21" s="401"/>
      <c r="FP21" s="401"/>
      <c r="FQ21" s="401"/>
      <c r="FR21" s="401"/>
      <c r="FS21" s="401"/>
      <c r="FT21" s="401"/>
      <c r="FU21" s="401"/>
      <c r="FV21" s="401"/>
      <c r="FW21" s="401"/>
      <c r="FX21" s="401"/>
      <c r="FY21" s="401"/>
      <c r="FZ21" s="401"/>
      <c r="GA21" s="401"/>
      <c r="GB21" s="401"/>
      <c r="GC21" s="401"/>
      <c r="GD21" s="401"/>
      <c r="GE21" s="401"/>
      <c r="GF21" s="401"/>
      <c r="GG21" s="401"/>
      <c r="GH21" s="401"/>
      <c r="GI21" s="401"/>
      <c r="GJ21" s="401"/>
      <c r="GK21" s="401"/>
      <c r="GL21" s="401"/>
      <c r="GM21" s="401"/>
      <c r="GN21" s="401"/>
      <c r="GO21" s="401"/>
      <c r="GP21" s="401"/>
      <c r="GQ21" s="401"/>
      <c r="GR21" s="401"/>
      <c r="GS21" s="401"/>
      <c r="GT21" s="401"/>
      <c r="GU21" s="401"/>
      <c r="GV21" s="401"/>
      <c r="GW21" s="401"/>
      <c r="GX21" s="401"/>
      <c r="GY21" s="401"/>
      <c r="GZ21" s="401"/>
      <c r="HA21" s="401"/>
      <c r="HB21" s="401"/>
      <c r="HC21" s="401"/>
      <c r="HD21" s="401"/>
      <c r="HE21" s="401"/>
      <c r="HF21" s="401"/>
      <c r="HG21" s="401"/>
      <c r="HH21" s="401"/>
      <c r="HI21" s="401"/>
      <c r="HJ21" s="401"/>
      <c r="HK21" s="401"/>
      <c r="HL21" s="401"/>
      <c r="HM21" s="401"/>
      <c r="HN21" s="401"/>
      <c r="HO21" s="401"/>
      <c r="HP21" s="401"/>
      <c r="HQ21" s="401"/>
      <c r="HR21" s="401"/>
      <c r="HS21" s="401"/>
      <c r="HT21" s="401"/>
      <c r="HU21" s="401"/>
      <c r="HV21" s="401"/>
      <c r="HW21" s="401"/>
      <c r="HX21" s="401"/>
      <c r="HY21" s="401"/>
      <c r="HZ21" s="401"/>
      <c r="IA21" s="401"/>
      <c r="IB21" s="401"/>
      <c r="IC21" s="401"/>
      <c r="ID21" s="401"/>
      <c r="IE21" s="401"/>
      <c r="IF21" s="401"/>
      <c r="IG21" s="401"/>
      <c r="IH21" s="401"/>
      <c r="II21" s="401"/>
      <c r="IJ21" s="401"/>
      <c r="IK21" s="401"/>
      <c r="IL21" s="401"/>
      <c r="IM21" s="401"/>
      <c r="IN21" s="401"/>
      <c r="IO21" s="401"/>
      <c r="IP21" s="401"/>
      <c r="IQ21" s="401"/>
      <c r="IR21" s="401"/>
      <c r="IS21" s="401"/>
      <c r="IT21" s="401"/>
      <c r="IU21" s="401"/>
      <c r="IV21" s="401"/>
    </row>
    <row r="22" spans="1:258" s="4" customFormat="1" ht="14.25" hidden="1" x14ac:dyDescent="0.2">
      <c r="A22" s="1"/>
      <c r="B22" s="1"/>
      <c r="C22" s="1"/>
      <c r="D22" s="1"/>
      <c r="E22" s="1"/>
      <c r="F22" s="1"/>
      <c r="G22" s="606" t="s">
        <v>24</v>
      </c>
      <c r="H22" s="607"/>
      <c r="I22" s="306" t="s">
        <v>25</v>
      </c>
      <c r="J22" s="608" t="s">
        <v>225</v>
      </c>
      <c r="K22" s="609"/>
      <c r="L22" s="610"/>
      <c r="M22" s="401"/>
      <c r="N22" s="401"/>
      <c r="O22" s="401"/>
      <c r="P22" s="401"/>
      <c r="Q22" s="401"/>
      <c r="R22" s="401"/>
      <c r="S22" s="401"/>
      <c r="T22" s="401"/>
      <c r="U22" s="401"/>
      <c r="V22" s="401"/>
      <c r="W22" s="401"/>
      <c r="X22" s="401"/>
      <c r="Y22" s="401"/>
      <c r="Z22" s="401"/>
      <c r="AA22" s="401"/>
      <c r="AB22" s="401"/>
      <c r="AC22" s="401"/>
      <c r="AD22" s="401"/>
      <c r="AE22" s="401"/>
      <c r="AF22" s="401"/>
      <c r="AG22" s="401"/>
      <c r="AH22" s="401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8" s="4" customFormat="1" ht="14.25" hidden="1" x14ac:dyDescent="0.2">
      <c r="A23" s="1"/>
      <c r="B23" s="1"/>
      <c r="C23" s="1"/>
      <c r="D23" s="1"/>
      <c r="E23" s="1"/>
      <c r="F23" s="1"/>
      <c r="G23" s="1"/>
      <c r="H23" s="1"/>
      <c r="I23" s="308" t="s">
        <v>26</v>
      </c>
      <c r="J23" s="616">
        <v>43713</v>
      </c>
      <c r="K23" s="617"/>
      <c r="L23" s="618"/>
      <c r="M23" s="401"/>
      <c r="N23" s="401"/>
      <c r="O23" s="401"/>
      <c r="P23" s="401"/>
      <c r="Q23" s="401"/>
      <c r="R23" s="401"/>
      <c r="S23" s="401"/>
      <c r="T23" s="401"/>
      <c r="U23" s="401"/>
      <c r="V23" s="401"/>
      <c r="W23" s="401"/>
      <c r="X23" s="401"/>
      <c r="Y23" s="401"/>
      <c r="Z23" s="401"/>
      <c r="AA23" s="401"/>
      <c r="AB23" s="401"/>
      <c r="AC23" s="401"/>
      <c r="AD23" s="401"/>
      <c r="AE23" s="401"/>
      <c r="AF23" s="401"/>
      <c r="AG23" s="401"/>
      <c r="AH23" s="401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8" s="4" customFormat="1" ht="15" hidden="1" customHeight="1" x14ac:dyDescent="0.2">
      <c r="A24" s="1"/>
      <c r="B24" s="1"/>
      <c r="C24" s="1"/>
      <c r="D24" s="1"/>
      <c r="E24" s="1"/>
      <c r="F24" s="1"/>
      <c r="G24" s="1"/>
      <c r="H24" s="1"/>
      <c r="I24" s="310" t="s">
        <v>27</v>
      </c>
      <c r="J24" s="608"/>
      <c r="K24" s="609"/>
      <c r="L24" s="61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8" s="4" customFormat="1" ht="14.25" hidden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8" s="4" customFormat="1" ht="14.25" hidden="1" x14ac:dyDescent="0.2">
      <c r="A26" s="1"/>
      <c r="B26" s="1"/>
      <c r="C26" s="1"/>
      <c r="D26" s="1"/>
      <c r="E26" s="1"/>
      <c r="F26" s="1"/>
      <c r="G26" s="1"/>
      <c r="H26" s="1"/>
      <c r="I26" s="634" t="s">
        <v>28</v>
      </c>
      <c r="J26" s="634" t="s">
        <v>29</v>
      </c>
      <c r="K26" s="612" t="s">
        <v>30</v>
      </c>
      <c r="L26" s="613"/>
      <c r="M26" s="1"/>
      <c r="N26" s="1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</row>
    <row r="27" spans="1:258" s="4" customFormat="1" ht="14.25" hidden="1" x14ac:dyDescent="0.2">
      <c r="A27" s="1"/>
      <c r="B27" s="1"/>
      <c r="C27" s="1"/>
      <c r="D27" s="1"/>
      <c r="E27" s="1"/>
      <c r="F27" s="1"/>
      <c r="G27" s="1"/>
      <c r="H27" s="1"/>
      <c r="I27" s="635"/>
      <c r="J27" s="635"/>
      <c r="K27" s="10" t="s">
        <v>31</v>
      </c>
      <c r="L27" s="311" t="s">
        <v>32</v>
      </c>
      <c r="M27" s="1"/>
      <c r="N27" s="1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</row>
    <row r="28" spans="1:258" s="4" customFormat="1" ht="14.25" hidden="1" x14ac:dyDescent="0.2">
      <c r="A28" s="1"/>
      <c r="B28" s="1"/>
      <c r="C28" s="1"/>
      <c r="D28" s="1"/>
      <c r="E28" s="1"/>
      <c r="F28" s="1"/>
      <c r="G28" s="1"/>
      <c r="H28" s="1"/>
      <c r="I28" s="11" t="s">
        <v>332</v>
      </c>
      <c r="J28" s="309">
        <v>44104</v>
      </c>
      <c r="K28" s="309">
        <v>44075</v>
      </c>
      <c r="L28" s="12">
        <f>J28</f>
        <v>44104</v>
      </c>
      <c r="M28" s="1"/>
      <c r="N28" s="1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</row>
    <row r="29" spans="1:258" ht="14.25" hidden="1" x14ac:dyDescent="0.2">
      <c r="A29" s="327"/>
      <c r="B29" s="327"/>
      <c r="C29" s="327"/>
      <c r="D29" s="327"/>
      <c r="E29" s="327"/>
      <c r="F29" s="327"/>
      <c r="G29" s="327"/>
      <c r="H29" s="327"/>
      <c r="I29" s="327"/>
      <c r="J29" s="327"/>
      <c r="K29" s="327"/>
      <c r="L29" s="327"/>
    </row>
    <row r="30" spans="1:258" ht="18" hidden="1" x14ac:dyDescent="0.25">
      <c r="A30" s="647" t="s">
        <v>34</v>
      </c>
      <c r="B30" s="647"/>
      <c r="C30" s="647"/>
      <c r="D30" s="647"/>
      <c r="E30" s="647"/>
      <c r="F30" s="647"/>
      <c r="G30" s="647"/>
      <c r="H30" s="647"/>
      <c r="I30" s="647"/>
      <c r="J30" s="647"/>
      <c r="K30" s="647"/>
      <c r="L30" s="647"/>
    </row>
    <row r="31" spans="1:258" ht="18" hidden="1" x14ac:dyDescent="0.25">
      <c r="A31" s="647" t="s">
        <v>35</v>
      </c>
      <c r="B31" s="647"/>
      <c r="C31" s="647"/>
      <c r="D31" s="647"/>
      <c r="E31" s="647"/>
      <c r="F31" s="647"/>
      <c r="G31" s="647"/>
      <c r="H31" s="647"/>
      <c r="I31" s="647"/>
      <c r="J31" s="647"/>
      <c r="K31" s="647"/>
      <c r="L31" s="647"/>
    </row>
    <row r="32" spans="1:258" ht="18" hidden="1" x14ac:dyDescent="0.25">
      <c r="A32" s="399"/>
      <c r="B32" s="399"/>
      <c r="C32" s="399"/>
      <c r="D32" s="399"/>
      <c r="E32" s="399"/>
      <c r="F32" s="399"/>
      <c r="G32" s="399"/>
      <c r="H32" s="399"/>
      <c r="I32" s="399"/>
      <c r="J32" s="399"/>
      <c r="K32" s="399"/>
      <c r="L32" s="399"/>
    </row>
    <row r="33" spans="1:37" ht="15" x14ac:dyDescent="0.25">
      <c r="A33" s="615" t="s">
        <v>399</v>
      </c>
      <c r="B33" s="615"/>
      <c r="C33" s="615"/>
      <c r="D33" s="615"/>
      <c r="E33" s="615"/>
      <c r="F33" s="615"/>
      <c r="G33" s="615"/>
      <c r="H33" s="615"/>
      <c r="I33" s="615"/>
      <c r="J33" s="615"/>
      <c r="K33" s="615"/>
      <c r="L33" s="615"/>
    </row>
    <row r="34" spans="1:37" ht="15" customHeight="1" x14ac:dyDescent="0.25">
      <c r="A34" s="646" t="s">
        <v>309</v>
      </c>
      <c r="B34" s="646"/>
      <c r="C34" s="646"/>
      <c r="D34" s="646"/>
      <c r="E34" s="646"/>
      <c r="F34" s="646"/>
      <c r="G34" s="646"/>
      <c r="H34" s="646"/>
      <c r="I34" s="646"/>
      <c r="J34" s="646"/>
      <c r="K34" s="646"/>
      <c r="L34" s="646"/>
    </row>
    <row r="35" spans="1:37" ht="28.5" x14ac:dyDescent="0.2">
      <c r="A35" s="611" t="s">
        <v>226</v>
      </c>
      <c r="B35" s="611"/>
      <c r="C35" s="611"/>
      <c r="D35" s="611"/>
      <c r="E35" s="611"/>
      <c r="F35" s="611"/>
      <c r="G35" s="611"/>
      <c r="H35" s="611"/>
      <c r="I35" s="611"/>
      <c r="J35" s="611"/>
      <c r="K35" s="611"/>
      <c r="L35" s="611"/>
      <c r="AK35" s="336" t="s">
        <v>226</v>
      </c>
    </row>
    <row r="36" spans="1:37" ht="14.25" x14ac:dyDescent="0.2">
      <c r="A36" s="642" t="s">
        <v>36</v>
      </c>
      <c r="B36" s="642"/>
      <c r="C36" s="642" t="s">
        <v>37</v>
      </c>
      <c r="D36" s="642" t="s">
        <v>38</v>
      </c>
      <c r="E36" s="642" t="s">
        <v>39</v>
      </c>
      <c r="F36" s="642" t="s">
        <v>40</v>
      </c>
      <c r="G36" s="642" t="s">
        <v>41</v>
      </c>
      <c r="H36" s="643" t="s">
        <v>42</v>
      </c>
      <c r="I36" s="643" t="s">
        <v>43</v>
      </c>
      <c r="J36" s="642" t="s">
        <v>227</v>
      </c>
      <c r="K36" s="642" t="s">
        <v>44</v>
      </c>
      <c r="L36" s="642" t="s">
        <v>45</v>
      </c>
    </row>
    <row r="37" spans="1:37" x14ac:dyDescent="0.2">
      <c r="A37" s="643" t="s">
        <v>46</v>
      </c>
      <c r="B37" s="643" t="s">
        <v>47</v>
      </c>
      <c r="C37" s="642"/>
      <c r="D37" s="642"/>
      <c r="E37" s="642"/>
      <c r="F37" s="642"/>
      <c r="G37" s="642"/>
      <c r="H37" s="644"/>
      <c r="I37" s="644"/>
      <c r="J37" s="642"/>
      <c r="K37" s="642"/>
      <c r="L37" s="642"/>
    </row>
    <row r="38" spans="1:37" x14ac:dyDescent="0.2">
      <c r="A38" s="644"/>
      <c r="B38" s="644"/>
      <c r="C38" s="642"/>
      <c r="D38" s="642"/>
      <c r="E38" s="642"/>
      <c r="F38" s="642"/>
      <c r="G38" s="642"/>
      <c r="H38" s="644"/>
      <c r="I38" s="644"/>
      <c r="J38" s="642"/>
      <c r="K38" s="642"/>
      <c r="L38" s="642"/>
    </row>
    <row r="39" spans="1:37" ht="20.100000000000001" customHeight="1" x14ac:dyDescent="0.2">
      <c r="A39" s="644"/>
      <c r="B39" s="644"/>
      <c r="C39" s="642"/>
      <c r="D39" s="642"/>
      <c r="E39" s="642"/>
      <c r="F39" s="642"/>
      <c r="G39" s="642"/>
      <c r="H39" s="644"/>
      <c r="I39" s="644"/>
      <c r="J39" s="642"/>
      <c r="K39" s="642"/>
      <c r="L39" s="642"/>
    </row>
    <row r="40" spans="1:37" ht="20.100000000000001" customHeight="1" x14ac:dyDescent="0.2">
      <c r="A40" s="645"/>
      <c r="B40" s="645"/>
      <c r="C40" s="642"/>
      <c r="D40" s="642"/>
      <c r="E40" s="642"/>
      <c r="F40" s="642"/>
      <c r="G40" s="642"/>
      <c r="H40" s="645"/>
      <c r="I40" s="645"/>
      <c r="J40" s="642"/>
      <c r="K40" s="642"/>
      <c r="L40" s="642"/>
    </row>
    <row r="41" spans="1:37" ht="14.25" x14ac:dyDescent="0.2">
      <c r="A41" s="344">
        <v>1</v>
      </c>
      <c r="B41" s="344">
        <v>2</v>
      </c>
      <c r="C41" s="344">
        <v>3</v>
      </c>
      <c r="D41" s="344">
        <v>4</v>
      </c>
      <c r="E41" s="344">
        <v>5</v>
      </c>
      <c r="F41" s="344">
        <v>6</v>
      </c>
      <c r="G41" s="344">
        <v>7</v>
      </c>
      <c r="H41" s="344">
        <v>8</v>
      </c>
      <c r="I41" s="344">
        <v>9</v>
      </c>
      <c r="J41" s="344">
        <v>10</v>
      </c>
      <c r="K41" s="344">
        <v>11</v>
      </c>
      <c r="L41" s="344">
        <v>12</v>
      </c>
    </row>
    <row r="43" spans="1:37" ht="19.5" customHeight="1" x14ac:dyDescent="0.25">
      <c r="A43" s="772" t="s">
        <v>333</v>
      </c>
      <c r="B43" s="772"/>
      <c r="C43" s="772"/>
      <c r="D43" s="772"/>
      <c r="E43" s="772"/>
      <c r="F43" s="772"/>
      <c r="G43" s="772"/>
      <c r="H43" s="772"/>
      <c r="I43" s="772"/>
      <c r="J43" s="772"/>
      <c r="K43" s="772"/>
      <c r="L43" s="772"/>
      <c r="AK43" s="345" t="str">
        <f>CONCATENATE("Локальная смета: ",IF([92]Source!G20&lt;&gt;"Новая локальная смета", [92]Source!G20, ""))</f>
        <v>Локальная смета: 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</v>
      </c>
    </row>
    <row r="44" spans="1:37" ht="33.75" customHeight="1" x14ac:dyDescent="0.25">
      <c r="A44" s="772" t="s">
        <v>190</v>
      </c>
      <c r="B44" s="772"/>
      <c r="C44" s="772"/>
      <c r="D44" s="772"/>
      <c r="E44" s="772"/>
      <c r="F44" s="772"/>
      <c r="G44" s="772"/>
      <c r="H44" s="772"/>
      <c r="I44" s="772"/>
      <c r="J44" s="772"/>
      <c r="K44" s="772"/>
      <c r="L44" s="772"/>
      <c r="AK44" s="345"/>
    </row>
    <row r="46" spans="1:37" ht="14.25" customHeight="1" x14ac:dyDescent="0.25">
      <c r="A46" s="592" t="s">
        <v>48</v>
      </c>
      <c r="B46" s="592"/>
      <c r="C46" s="592"/>
      <c r="D46" s="592"/>
      <c r="E46" s="592"/>
      <c r="F46" s="592"/>
      <c r="G46" s="592"/>
      <c r="H46" s="592"/>
      <c r="I46" s="592"/>
      <c r="J46" s="592"/>
      <c r="K46" s="592"/>
      <c r="L46" s="592"/>
      <c r="AK46" s="345"/>
    </row>
    <row r="47" spans="1:37" ht="14.25" customHeight="1" x14ac:dyDescent="0.25">
      <c r="A47" s="592" t="s">
        <v>400</v>
      </c>
      <c r="B47" s="592"/>
      <c r="C47" s="592"/>
      <c r="D47" s="592"/>
      <c r="E47" s="592"/>
      <c r="F47" s="592"/>
      <c r="G47" s="592"/>
      <c r="H47" s="592"/>
      <c r="I47" s="592"/>
      <c r="J47" s="592"/>
      <c r="K47" s="592"/>
      <c r="L47" s="592"/>
      <c r="AK47" s="345"/>
    </row>
    <row r="48" spans="1:37" ht="14.25" customHeight="1" x14ac:dyDescent="0.25">
      <c r="A48" s="592" t="s">
        <v>401</v>
      </c>
      <c r="B48" s="592"/>
      <c r="C48" s="592"/>
      <c r="D48" s="592"/>
      <c r="E48" s="592"/>
      <c r="F48" s="592"/>
      <c r="G48" s="592"/>
      <c r="H48" s="592"/>
      <c r="I48" s="592"/>
      <c r="J48" s="592"/>
      <c r="K48" s="592"/>
      <c r="L48" s="592"/>
      <c r="AK48" s="345"/>
    </row>
    <row r="49" spans="1:37" ht="14.25" hidden="1" customHeight="1" x14ac:dyDescent="0.25">
      <c r="A49" s="593" t="s">
        <v>49</v>
      </c>
      <c r="B49" s="594"/>
      <c r="C49" s="594"/>
      <c r="D49" s="594"/>
      <c r="E49" s="594"/>
      <c r="F49" s="594"/>
      <c r="G49" s="594"/>
      <c r="H49" s="594"/>
      <c r="I49" s="594"/>
      <c r="J49" s="594"/>
      <c r="K49" s="594"/>
      <c r="L49" s="595"/>
      <c r="AK49" s="345"/>
    </row>
    <row r="50" spans="1:37" ht="14.25" hidden="1" customHeight="1" x14ac:dyDescent="0.25">
      <c r="A50" s="596" t="s">
        <v>50</v>
      </c>
      <c r="B50" s="596"/>
      <c r="C50" s="596"/>
      <c r="D50" s="596"/>
      <c r="E50" s="596"/>
      <c r="F50" s="596"/>
      <c r="G50" s="596"/>
      <c r="H50" s="596"/>
      <c r="I50" s="596"/>
      <c r="J50" s="596"/>
      <c r="K50" s="596"/>
      <c r="L50" s="596"/>
      <c r="AK50" s="345"/>
    </row>
    <row r="51" spans="1:37" ht="14.25" hidden="1" customHeight="1" x14ac:dyDescent="0.25">
      <c r="A51" s="596" t="s">
        <v>51</v>
      </c>
      <c r="B51" s="596"/>
      <c r="C51" s="596"/>
      <c r="D51" s="596"/>
      <c r="E51" s="596"/>
      <c r="F51" s="596"/>
      <c r="G51" s="596"/>
      <c r="H51" s="596"/>
      <c r="I51" s="596"/>
      <c r="J51" s="596"/>
      <c r="K51" s="596"/>
      <c r="L51" s="596"/>
      <c r="AK51" s="345"/>
    </row>
    <row r="52" spans="1:37" ht="14.25" customHeight="1" x14ac:dyDescent="0.25">
      <c r="A52" s="14" t="s">
        <v>379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AK52" s="345"/>
    </row>
    <row r="54" spans="1:37" ht="16.5" x14ac:dyDescent="0.25">
      <c r="A54" s="646" t="str">
        <f>CONCATENATE("Раздел: ",IF([91]Source!G28&lt;&gt;"Новый раздел", [91]Source!G28, ""))</f>
        <v>Раздел: Вентиляция</v>
      </c>
      <c r="B54" s="646"/>
      <c r="C54" s="646"/>
      <c r="D54" s="646"/>
      <c r="E54" s="646"/>
      <c r="F54" s="646"/>
      <c r="G54" s="646"/>
      <c r="H54" s="646"/>
      <c r="I54" s="646"/>
      <c r="J54" s="646"/>
      <c r="K54" s="646"/>
      <c r="L54" s="646"/>
    </row>
    <row r="56" spans="1:37" ht="16.5" x14ac:dyDescent="0.25">
      <c r="A56" s="646" t="str">
        <f>CONCATENATE("Подраздел: ",IF([91]Source!G2410&lt;&gt;"Новый подраздел", [91]Source!G2410, ""))</f>
        <v>Подраздел: Дополнительные материалы и оборудование</v>
      </c>
      <c r="B56" s="646"/>
      <c r="C56" s="646"/>
      <c r="D56" s="646"/>
      <c r="E56" s="646"/>
      <c r="F56" s="646"/>
      <c r="G56" s="646"/>
      <c r="H56" s="646"/>
      <c r="I56" s="646"/>
      <c r="J56" s="646"/>
      <c r="K56" s="646"/>
      <c r="L56" s="646"/>
    </row>
    <row r="57" spans="1:37" ht="39" customHeight="1" x14ac:dyDescent="0.2">
      <c r="A57" s="346">
        <v>1</v>
      </c>
      <c r="B57" s="346" t="str">
        <f>[91]Source!E2449</f>
        <v>331</v>
      </c>
      <c r="C57" s="347" t="s">
        <v>334</v>
      </c>
      <c r="D57" s="347" t="s">
        <v>335</v>
      </c>
      <c r="E57" s="348" t="str">
        <f>[91]Source!H2449</f>
        <v>1 клапан</v>
      </c>
      <c r="F57" s="329">
        <f>[91]Source!I2449</f>
        <v>3</v>
      </c>
      <c r="G57" s="349"/>
      <c r="H57" s="350"/>
      <c r="I57" s="329"/>
      <c r="J57" s="351"/>
      <c r="K57" s="329"/>
      <c r="L57" s="351"/>
      <c r="Q57" s="326">
        <f>ROUND(([91]Source!DN2449/100)*ROUND((ROUND(([91]Source!AF2449*[91]Source!AV2449*[91]Source!I2449),2)),2), 2)</f>
        <v>165.46</v>
      </c>
      <c r="R57" s="326">
        <f>[91]Source!X2449</f>
        <v>3450.82</v>
      </c>
      <c r="S57" s="326">
        <f>ROUND(([91]Source!DO2449/100)*ROUND((ROUND(([91]Source!AF2449*[91]Source!AV2449*[91]Source!I2449),2)),2), 2)</f>
        <v>146.61000000000001</v>
      </c>
      <c r="T57" s="326">
        <f>[91]Source!Y2449</f>
        <v>2182.13</v>
      </c>
      <c r="U57" s="326">
        <f>ROUND((175/100)*ROUND((ROUND(([91]Source!AE2449*[91]Source!AV2449*[91]Source!I2449),2)),2), 2)</f>
        <v>0.28000000000000003</v>
      </c>
      <c r="V57" s="326">
        <f>ROUND((157/100)*ROUND(ROUND((ROUND(([91]Source!AE2449*[91]Source!AV2449*[91]Source!I2449),2)*[91]Source!BS2449),2), 2), 2)</f>
        <v>6.09</v>
      </c>
    </row>
    <row r="58" spans="1:37" ht="14.25" x14ac:dyDescent="0.2">
      <c r="A58" s="346"/>
      <c r="B58" s="346"/>
      <c r="C58" s="347"/>
      <c r="D58" s="347" t="s">
        <v>52</v>
      </c>
      <c r="E58" s="348"/>
      <c r="F58" s="329"/>
      <c r="G58" s="349">
        <f>[91]Source!AO2449</f>
        <v>39.18</v>
      </c>
      <c r="H58" s="350" t="str">
        <f>[91]Source!DG2449</f>
        <v>)*1,67</v>
      </c>
      <c r="I58" s="329">
        <f>[91]Source!AV2449</f>
        <v>1.0669999999999999</v>
      </c>
      <c r="J58" s="351">
        <f>ROUND((ROUND(([91]Source!AF2449*[91]Source!AV2449*[91]Source!I2449),2)),2)</f>
        <v>209.44</v>
      </c>
      <c r="K58" s="329">
        <f>IF([91]Source!BA2449&lt;&gt; 0, [91]Source!BA2449, 1)</f>
        <v>24.23</v>
      </c>
      <c r="L58" s="351">
        <f>[91]Source!S2449</f>
        <v>5074.7299999999996</v>
      </c>
      <c r="W58" s="326">
        <f>J58</f>
        <v>209.44</v>
      </c>
    </row>
    <row r="59" spans="1:37" ht="14.25" x14ac:dyDescent="0.2">
      <c r="A59" s="346"/>
      <c r="B59" s="346"/>
      <c r="C59" s="347"/>
      <c r="D59" s="347" t="s">
        <v>53</v>
      </c>
      <c r="E59" s="348"/>
      <c r="F59" s="329"/>
      <c r="G59" s="349">
        <f>[91]Source!AM2449</f>
        <v>0.73</v>
      </c>
      <c r="H59" s="427"/>
      <c r="I59" s="329">
        <f>[91]Source!AV2449</f>
        <v>1.0669999999999999</v>
      </c>
      <c r="J59" s="351">
        <f>(ROUND((ROUND((([91]Source!ET2449)*[91]Source!AV2449*[91]Source!I2449),2)),2)+ROUND((ROUND((([91]Source!AE2449-([91]Source!EU2449))*[91]Source!AV2449*[91]Source!I2449),2)),2))-J68</f>
        <v>2.34</v>
      </c>
      <c r="K59" s="329">
        <f>IF([91]Source!BB2449&lt;&gt; 0, [91]Source!BB2449, 1)</f>
        <v>6.33</v>
      </c>
      <c r="L59" s="351">
        <f>[91]Source!Q2449-L68</f>
        <v>14.7</v>
      </c>
    </row>
    <row r="60" spans="1:37" ht="14.25" x14ac:dyDescent="0.2">
      <c r="A60" s="346"/>
      <c r="B60" s="346"/>
      <c r="C60" s="347"/>
      <c r="D60" s="347" t="s">
        <v>54</v>
      </c>
      <c r="E60" s="348"/>
      <c r="F60" s="329"/>
      <c r="G60" s="349">
        <f>[91]Source!AN2449</f>
        <v>0.03</v>
      </c>
      <c r="H60" s="427"/>
      <c r="I60" s="329">
        <f>[91]Source!AV2449</f>
        <v>1.0669999999999999</v>
      </c>
      <c r="J60" s="352">
        <f>ROUND((ROUND(([91]Source!AE2449*[91]Source!AV2449*[91]Source!I2449),2)),2)-J69</f>
        <v>0.1</v>
      </c>
      <c r="K60" s="329">
        <f>IF([91]Source!BS2449&lt;&gt; 0, [91]Source!BS2449, 1)</f>
        <v>24.23</v>
      </c>
      <c r="L60" s="352">
        <f>[91]Source!R2449-L69</f>
        <v>2.3199999999999998</v>
      </c>
      <c r="W60" s="326">
        <f>J60</f>
        <v>0.1</v>
      </c>
    </row>
    <row r="61" spans="1:37" ht="14.25" x14ac:dyDescent="0.2">
      <c r="A61" s="346"/>
      <c r="B61" s="346"/>
      <c r="C61" s="347"/>
      <c r="D61" s="347" t="s">
        <v>55</v>
      </c>
      <c r="E61" s="348"/>
      <c r="F61" s="329"/>
      <c r="G61" s="349">
        <f>[91]Source!AL2449</f>
        <v>4.43</v>
      </c>
      <c r="H61" s="427"/>
      <c r="I61" s="329">
        <f>[91]Source!AW2449</f>
        <v>1.028</v>
      </c>
      <c r="J61" s="351">
        <f>ROUND((ROUND(([91]Source!AC2449*[91]Source!AW2449*[91]Source!I2449),2)),2)</f>
        <v>13.66</v>
      </c>
      <c r="K61" s="329">
        <f>IF([91]Source!BC2449&lt;&gt; 0, [91]Source!BC2449, 1)</f>
        <v>5.58</v>
      </c>
      <c r="L61" s="351">
        <f>[91]Source!P2449</f>
        <v>76.22</v>
      </c>
    </row>
    <row r="62" spans="1:37" ht="14.25" x14ac:dyDescent="0.2">
      <c r="A62" s="346"/>
      <c r="B62" s="346"/>
      <c r="C62" s="347"/>
      <c r="D62" s="347" t="s">
        <v>56</v>
      </c>
      <c r="E62" s="348" t="s">
        <v>57</v>
      </c>
      <c r="F62" s="329">
        <f>[91]Source!DN2449</f>
        <v>79</v>
      </c>
      <c r="G62" s="349"/>
      <c r="H62" s="427"/>
      <c r="I62" s="329"/>
      <c r="J62" s="351">
        <f>SUM(Q57:Q61)</f>
        <v>165.46</v>
      </c>
      <c r="K62" s="329">
        <f>[91]Source!BZ2449</f>
        <v>68</v>
      </c>
      <c r="L62" s="351">
        <f>SUM(R57:R61)</f>
        <v>3450.82</v>
      </c>
    </row>
    <row r="63" spans="1:37" ht="14.25" x14ac:dyDescent="0.2">
      <c r="A63" s="346"/>
      <c r="B63" s="346"/>
      <c r="C63" s="347"/>
      <c r="D63" s="347" t="s">
        <v>58</v>
      </c>
      <c r="E63" s="348" t="s">
        <v>57</v>
      </c>
      <c r="F63" s="329">
        <f>[91]Source!DO2449</f>
        <v>70</v>
      </c>
      <c r="G63" s="349"/>
      <c r="H63" s="427"/>
      <c r="I63" s="329"/>
      <c r="J63" s="351">
        <f>SUM(S57:S62)</f>
        <v>146.61000000000001</v>
      </c>
      <c r="K63" s="329">
        <f>[91]Source!CA2449</f>
        <v>43</v>
      </c>
      <c r="L63" s="351">
        <f>SUM(T57:T62)</f>
        <v>2182.13</v>
      </c>
    </row>
    <row r="64" spans="1:37" ht="14.25" x14ac:dyDescent="0.2">
      <c r="A64" s="346"/>
      <c r="B64" s="346"/>
      <c r="C64" s="347"/>
      <c r="D64" s="347" t="s">
        <v>59</v>
      </c>
      <c r="E64" s="348" t="s">
        <v>57</v>
      </c>
      <c r="F64" s="329">
        <f>175</f>
        <v>175</v>
      </c>
      <c r="G64" s="349"/>
      <c r="H64" s="427"/>
      <c r="I64" s="329"/>
      <c r="J64" s="351">
        <f>SUM(U57:U63)-J70</f>
        <v>0.17</v>
      </c>
      <c r="K64" s="329">
        <f>157</f>
        <v>157</v>
      </c>
      <c r="L64" s="351">
        <f>SUM(V57:V63)-L70</f>
        <v>3.64</v>
      </c>
    </row>
    <row r="65" spans="1:27" ht="14.25" x14ac:dyDescent="0.2">
      <c r="A65" s="346"/>
      <c r="B65" s="346"/>
      <c r="C65" s="347"/>
      <c r="D65" s="347" t="s">
        <v>60</v>
      </c>
      <c r="E65" s="348" t="s">
        <v>61</v>
      </c>
      <c r="F65" s="329">
        <f>[91]Source!AQ2449</f>
        <v>3.37</v>
      </c>
      <c r="G65" s="349"/>
      <c r="H65" s="427"/>
      <c r="I65" s="329">
        <f>[91]Source!AV2449</f>
        <v>1.0669999999999999</v>
      </c>
      <c r="J65" s="351">
        <f>[91]Source!U2449</f>
        <v>10.79</v>
      </c>
      <c r="K65" s="329"/>
      <c r="L65" s="351"/>
    </row>
    <row r="66" spans="1:27" ht="15" x14ac:dyDescent="0.25">
      <c r="I66" s="641">
        <f>J58+J59+J61+J62+J63+J64</f>
        <v>537.67999999999995</v>
      </c>
      <c r="J66" s="641"/>
      <c r="K66" s="641">
        <f>L58+L59+L61+L62+L63+L64</f>
        <v>10802.24</v>
      </c>
      <c r="L66" s="641"/>
      <c r="O66" s="353">
        <f>J58+J59+J61+J62+J63+J64</f>
        <v>537.67999999999995</v>
      </c>
      <c r="P66" s="353">
        <f>L58+L59+L61+L62+L63+L64</f>
        <v>10802.24</v>
      </c>
      <c r="X66" s="326">
        <f>IF([91]Source!BI2449&lt;=1,J58+J59+J61+J62+J63+J64-0, 0)</f>
        <v>0</v>
      </c>
      <c r="Y66" s="326">
        <f>IF([91]Source!BI2449=2,J58+J59+J61+J62+J63+J64-0, 0)</f>
        <v>537.67999999999995</v>
      </c>
      <c r="Z66" s="326">
        <f>IF([91]Source!BI2449=3,J58+J59+J61+J62+J63+J64-0, 0)</f>
        <v>0</v>
      </c>
      <c r="AA66" s="326">
        <f>IF([91]Source!BI2449=4,J58+J59+J61+J62+J63+J64,0)</f>
        <v>0</v>
      </c>
    </row>
    <row r="67" spans="1:27" ht="28.5" x14ac:dyDescent="0.2">
      <c r="A67" s="354"/>
      <c r="B67" s="354"/>
      <c r="C67" s="355"/>
      <c r="D67" s="355" t="s">
        <v>62</v>
      </c>
      <c r="E67" s="348"/>
      <c r="F67" s="356"/>
      <c r="G67" s="357"/>
      <c r="H67" s="348"/>
      <c r="I67" s="356"/>
      <c r="J67" s="352"/>
      <c r="K67" s="356"/>
      <c r="L67" s="352"/>
    </row>
    <row r="68" spans="1:27" ht="14.25" x14ac:dyDescent="0.2">
      <c r="A68" s="354"/>
      <c r="B68" s="354"/>
      <c r="C68" s="355"/>
      <c r="D68" s="355" t="s">
        <v>53</v>
      </c>
      <c r="E68" s="348"/>
      <c r="F68" s="356"/>
      <c r="G68" s="357">
        <f t="shared" ref="G68:L68" si="0">G69</f>
        <v>0.03</v>
      </c>
      <c r="H68" s="358" t="str">
        <f t="shared" si="0"/>
        <v>)*(1.67-1)</v>
      </c>
      <c r="I68" s="356">
        <f t="shared" si="0"/>
        <v>1.0669999999999999</v>
      </c>
      <c r="J68" s="352">
        <f t="shared" si="0"/>
        <v>0.06</v>
      </c>
      <c r="K68" s="356">
        <f t="shared" si="0"/>
        <v>24.23</v>
      </c>
      <c r="L68" s="352">
        <f t="shared" si="0"/>
        <v>1.56</v>
      </c>
    </row>
    <row r="69" spans="1:27" ht="14.25" x14ac:dyDescent="0.2">
      <c r="A69" s="354"/>
      <c r="B69" s="354"/>
      <c r="C69" s="355"/>
      <c r="D69" s="355" t="s">
        <v>54</v>
      </c>
      <c r="E69" s="348"/>
      <c r="F69" s="356"/>
      <c r="G69" s="357">
        <f>[91]Source!AN2449</f>
        <v>0.03</v>
      </c>
      <c r="H69" s="358" t="s">
        <v>63</v>
      </c>
      <c r="I69" s="356">
        <f>[91]Source!AV2449</f>
        <v>1.0669999999999999</v>
      </c>
      <c r="J69" s="352">
        <f>ROUND(F57*G69*I69*(1.67-1), 2)</f>
        <v>0.06</v>
      </c>
      <c r="K69" s="356">
        <f>IF([91]Source!BS2449&lt;&gt; 0, [91]Source!BS2449, 1)</f>
        <v>24.23</v>
      </c>
      <c r="L69" s="352">
        <f>ROUND(F57*G69*I69*(1.67-1)*K69, 2)</f>
        <v>1.56</v>
      </c>
      <c r="W69" s="326">
        <f>J69</f>
        <v>0.06</v>
      </c>
    </row>
    <row r="70" spans="1:27" ht="14.25" x14ac:dyDescent="0.2">
      <c r="A70" s="354"/>
      <c r="B70" s="354"/>
      <c r="C70" s="355"/>
      <c r="D70" s="355" t="s">
        <v>59</v>
      </c>
      <c r="E70" s="348" t="s">
        <v>57</v>
      </c>
      <c r="F70" s="356">
        <f>175</f>
        <v>175</v>
      </c>
      <c r="G70" s="357"/>
      <c r="H70" s="348"/>
      <c r="I70" s="356"/>
      <c r="J70" s="352">
        <f>ROUND(J69*(F70/100), 2)</f>
        <v>0.11</v>
      </c>
      <c r="K70" s="356">
        <f>157</f>
        <v>157</v>
      </c>
      <c r="L70" s="352">
        <f>ROUND(L69*(K70/100), 2)</f>
        <v>2.4500000000000002</v>
      </c>
    </row>
    <row r="71" spans="1:27" ht="15" x14ac:dyDescent="0.25">
      <c r="I71" s="641">
        <f>J70+J69</f>
        <v>0.17</v>
      </c>
      <c r="J71" s="641"/>
      <c r="K71" s="641">
        <f>L70+L69</f>
        <v>4.01</v>
      </c>
      <c r="L71" s="641"/>
      <c r="O71" s="353">
        <f>I71</f>
        <v>0.17</v>
      </c>
      <c r="P71" s="353">
        <f>K71</f>
        <v>4.01</v>
      </c>
      <c r="X71" s="326">
        <f>IF([91]Source!BI2449&lt;=1,I71, 0)</f>
        <v>0</v>
      </c>
      <c r="Y71" s="326">
        <f>IF([91]Source!BI2449=2,I71, 0)</f>
        <v>0.17</v>
      </c>
      <c r="Z71" s="326">
        <f>IF([91]Source!BI2449=3,I71, 0)</f>
        <v>0</v>
      </c>
      <c r="AA71" s="326">
        <f>IF([91]Source!BI2449=4,I71, 0)</f>
        <v>0</v>
      </c>
    </row>
    <row r="73" spans="1:27" ht="15" x14ac:dyDescent="0.25">
      <c r="A73" s="359"/>
      <c r="B73" s="359"/>
      <c r="C73" s="360"/>
      <c r="D73" s="360" t="s">
        <v>64</v>
      </c>
      <c r="E73" s="361"/>
      <c r="F73" s="362"/>
      <c r="G73" s="363"/>
      <c r="H73" s="364"/>
      <c r="I73" s="641">
        <f>I66+I71</f>
        <v>537.85</v>
      </c>
      <c r="J73" s="641"/>
      <c r="K73" s="641">
        <f>K66+K71</f>
        <v>10806.25</v>
      </c>
      <c r="L73" s="641"/>
    </row>
    <row r="74" spans="1:27" ht="168" x14ac:dyDescent="0.2">
      <c r="A74" s="346">
        <v>2</v>
      </c>
      <c r="B74" s="346" t="str">
        <f>[91]Source!E2451</f>
        <v>332</v>
      </c>
      <c r="C74" s="347" t="str">
        <f>[91]Source!F2451</f>
        <v>МКЭ-33-1005/8-1 от 26.07.2018г.</v>
      </c>
      <c r="D74" s="347" t="s">
        <v>336</v>
      </c>
      <c r="E74" s="348" t="str">
        <f>[91]Source!H2451</f>
        <v>шт.</v>
      </c>
      <c r="F74" s="329">
        <f>[91]Source!I2451</f>
        <v>3</v>
      </c>
      <c r="G74" s="412">
        <f>J74/F74</f>
        <v>2397.5700000000002</v>
      </c>
      <c r="H74" s="410">
        <v>1.02</v>
      </c>
      <c r="I74" s="411">
        <v>1</v>
      </c>
      <c r="J74" s="412">
        <f>L74/K74</f>
        <v>7192.7</v>
      </c>
      <c r="K74" s="411">
        <v>5.58</v>
      </c>
      <c r="L74" s="412">
        <f>13116.1*H74*F74</f>
        <v>40135.269999999997</v>
      </c>
      <c r="Q74" s="326">
        <f>ROUND(([91]Source!DN2451/100)*ROUND((ROUND(([91]Source!AF2451*[91]Source!AV2451*[91]Source!I2451),2)),2), 2)</f>
        <v>0</v>
      </c>
      <c r="R74" s="326">
        <f>[91]Source!X2451</f>
        <v>0</v>
      </c>
      <c r="S74" s="326">
        <f>ROUND(([91]Source!DO2451/100)*ROUND((ROUND(([91]Source!AF2451*[91]Source!AV2451*[91]Source!I2451),2)),2), 2)</f>
        <v>0</v>
      </c>
      <c r="T74" s="326">
        <f>[91]Source!Y2451</f>
        <v>0</v>
      </c>
      <c r="U74" s="326">
        <f>ROUND((175/100)*ROUND((ROUND(([91]Source!AE2451*[91]Source!AV2451*[91]Source!I2451),2)),2), 2)</f>
        <v>0</v>
      </c>
      <c r="V74" s="326">
        <f>ROUND((157/100)*ROUND(ROUND((ROUND(([91]Source!AE2451*[91]Source!AV2451*[91]Source!I2451),2)*[91]Source!BS2451),2), 2), 2)</f>
        <v>0</v>
      </c>
    </row>
    <row r="75" spans="1:27" ht="15" x14ac:dyDescent="0.25">
      <c r="A75" s="365"/>
      <c r="B75" s="365"/>
      <c r="C75" s="365"/>
      <c r="D75" s="365"/>
      <c r="E75" s="365"/>
      <c r="F75" s="365"/>
      <c r="G75" s="365"/>
      <c r="H75" s="365"/>
      <c r="I75" s="641">
        <f>J74</f>
        <v>7192.7</v>
      </c>
      <c r="J75" s="641"/>
      <c r="K75" s="641">
        <f>L74</f>
        <v>40135.269999999997</v>
      </c>
      <c r="L75" s="641"/>
      <c r="O75" s="353">
        <f>J74</f>
        <v>7192.7</v>
      </c>
      <c r="P75" s="353">
        <f>L74</f>
        <v>40135.269999999997</v>
      </c>
      <c r="X75" s="326">
        <f>IF([91]Source!BI2451&lt;=1,J74-0, 0)</f>
        <v>7192.7</v>
      </c>
      <c r="Y75" s="326">
        <f>IF([91]Source!BI2451=2,J74-0, 0)</f>
        <v>0</v>
      </c>
      <c r="Z75" s="326">
        <f>IF([91]Source!BI2451=3,J74-0, 0)</f>
        <v>0</v>
      </c>
      <c r="AA75" s="326">
        <f>IF([91]Source!BI2451=4,J74,0)</f>
        <v>0</v>
      </c>
    </row>
    <row r="76" spans="1:27" ht="40.5" customHeight="1" x14ac:dyDescent="0.2">
      <c r="A76" s="346">
        <v>3</v>
      </c>
      <c r="B76" s="346" t="str">
        <f>[91]Source!E2455</f>
        <v>334</v>
      </c>
      <c r="C76" s="347" t="s">
        <v>337</v>
      </c>
      <c r="D76" s="347" t="s">
        <v>338</v>
      </c>
      <c r="E76" s="348" t="str">
        <f>[91]Source!H2455</f>
        <v>1 клапан</v>
      </c>
      <c r="F76" s="329">
        <f>[91]Source!I2455</f>
        <v>4</v>
      </c>
      <c r="G76" s="349"/>
      <c r="H76" s="350"/>
      <c r="I76" s="329"/>
      <c r="J76" s="351"/>
      <c r="K76" s="329"/>
      <c r="L76" s="351"/>
      <c r="Q76" s="326">
        <f>ROUND(([91]Source!DN2455/100)*ROUND((ROUND(([91]Source!AF2455*[91]Source!AV2455*[91]Source!I2455),2)),2), 2)</f>
        <v>220.62</v>
      </c>
      <c r="R76" s="326">
        <f>[91]Source!X2455</f>
        <v>4601.2</v>
      </c>
      <c r="S76" s="326">
        <f>ROUND(([91]Source!DO2455/100)*ROUND((ROUND(([91]Source!AF2455*[91]Source!AV2455*[91]Source!I2455),2)),2), 2)</f>
        <v>195.48</v>
      </c>
      <c r="T76" s="326">
        <f>[91]Source!Y2455</f>
        <v>2909.58</v>
      </c>
      <c r="U76" s="326">
        <f>ROUND((175/100)*ROUND((ROUND(([91]Source!AE2455*[91]Source!AV2455*[91]Source!I2455),2)),2), 2)</f>
        <v>0.37</v>
      </c>
      <c r="V76" s="326">
        <f>ROUND((157/100)*ROUND(ROUND((ROUND(([91]Source!AE2455*[91]Source!AV2455*[91]Source!I2455),2)*[91]Source!BS2455),2), 2), 2)</f>
        <v>7.99</v>
      </c>
    </row>
    <row r="77" spans="1:27" ht="14.25" x14ac:dyDescent="0.2">
      <c r="A77" s="346"/>
      <c r="B77" s="346"/>
      <c r="C77" s="347"/>
      <c r="D77" s="347" t="s">
        <v>52</v>
      </c>
      <c r="E77" s="348"/>
      <c r="F77" s="329"/>
      <c r="G77" s="349">
        <f>[91]Source!AO2455</f>
        <v>39.18</v>
      </c>
      <c r="H77" s="350" t="str">
        <f>[91]Source!DG2455</f>
        <v>)*1,67</v>
      </c>
      <c r="I77" s="329">
        <f>[91]Source!AV2455</f>
        <v>1.0669999999999999</v>
      </c>
      <c r="J77" s="351">
        <f>ROUND((ROUND(([91]Source!AF2455*[91]Source!AV2455*[91]Source!I2455),2)),2)</f>
        <v>279.26</v>
      </c>
      <c r="K77" s="329">
        <f>IF([91]Source!BA2455&lt;&gt; 0, [91]Source!BA2455, 1)</f>
        <v>24.23</v>
      </c>
      <c r="L77" s="351">
        <f>[91]Source!S2455</f>
        <v>6766.47</v>
      </c>
      <c r="W77" s="326">
        <f>J77</f>
        <v>279.26</v>
      </c>
    </row>
    <row r="78" spans="1:27" ht="14.25" x14ac:dyDescent="0.2">
      <c r="A78" s="346"/>
      <c r="B78" s="346"/>
      <c r="C78" s="347"/>
      <c r="D78" s="347" t="s">
        <v>53</v>
      </c>
      <c r="E78" s="348"/>
      <c r="F78" s="329"/>
      <c r="G78" s="349">
        <f>[91]Source!AM2455</f>
        <v>0.73</v>
      </c>
      <c r="H78" s="350">
        <f>[91]Source!DE2455</f>
        <v>0</v>
      </c>
      <c r="I78" s="329">
        <f>[91]Source!AV2455</f>
        <v>1.0669999999999999</v>
      </c>
      <c r="J78" s="351">
        <f>(ROUND((ROUND((([91]Source!ET2455)*[91]Source!AV2455*[91]Source!I2455),2)),2)+ROUND((ROUND((([91]Source!AE2455-([91]Source!EU2455))*[91]Source!AV2455*[91]Source!I2455),2)),2))-J87</f>
        <v>3.12</v>
      </c>
      <c r="K78" s="329">
        <f>IF([91]Source!BB2455&lt;&gt; 0, [91]Source!BB2455, 1)</f>
        <v>6.33</v>
      </c>
      <c r="L78" s="351">
        <f>[91]Source!Q2455-L87</f>
        <v>19.850000000000001</v>
      </c>
    </row>
    <row r="79" spans="1:27" ht="14.25" x14ac:dyDescent="0.2">
      <c r="A79" s="346"/>
      <c r="B79" s="346"/>
      <c r="C79" s="347"/>
      <c r="D79" s="347" t="s">
        <v>54</v>
      </c>
      <c r="E79" s="348"/>
      <c r="F79" s="329"/>
      <c r="G79" s="349">
        <f>[91]Source!AN2455</f>
        <v>0.03</v>
      </c>
      <c r="H79" s="350">
        <f>[91]Source!DE2455</f>
        <v>0</v>
      </c>
      <c r="I79" s="329">
        <f>[91]Source!AV2455</f>
        <v>1.0669999999999999</v>
      </c>
      <c r="J79" s="352">
        <f>ROUND((ROUND(([91]Source!AE2455*[91]Source!AV2455*[91]Source!I2455),2)),2)-J88</f>
        <v>0.12</v>
      </c>
      <c r="K79" s="329">
        <f>IF([91]Source!BS2455&lt;&gt; 0, [91]Source!BS2455, 1)</f>
        <v>24.23</v>
      </c>
      <c r="L79" s="352">
        <f>[91]Source!R2455-L88</f>
        <v>3.01</v>
      </c>
      <c r="W79" s="326">
        <f>J79</f>
        <v>0.12</v>
      </c>
    </row>
    <row r="80" spans="1:27" ht="14.25" x14ac:dyDescent="0.2">
      <c r="A80" s="346"/>
      <c r="B80" s="346"/>
      <c r="C80" s="347"/>
      <c r="D80" s="347" t="s">
        <v>55</v>
      </c>
      <c r="E80" s="348"/>
      <c r="F80" s="329"/>
      <c r="G80" s="349">
        <f>[91]Source!AL2455</f>
        <v>5.44</v>
      </c>
      <c r="H80" s="350">
        <f>[91]Source!DD2455</f>
        <v>0</v>
      </c>
      <c r="I80" s="329">
        <f>[91]Source!AW2455</f>
        <v>1.028</v>
      </c>
      <c r="J80" s="351">
        <f>ROUND((ROUND(([91]Source!AC2455*[91]Source!AW2455*[91]Source!I2455),2)),2)</f>
        <v>22.37</v>
      </c>
      <c r="K80" s="329">
        <f>IF([91]Source!BC2455&lt;&gt; 0, [91]Source!BC2455, 1)</f>
        <v>5.58</v>
      </c>
      <c r="L80" s="351">
        <f>[91]Source!P2455</f>
        <v>124.82</v>
      </c>
    </row>
    <row r="81" spans="1:27" ht="14.25" x14ac:dyDescent="0.2">
      <c r="A81" s="346"/>
      <c r="B81" s="346"/>
      <c r="C81" s="347"/>
      <c r="D81" s="347" t="s">
        <v>56</v>
      </c>
      <c r="E81" s="348" t="s">
        <v>57</v>
      </c>
      <c r="F81" s="329">
        <f>[91]Source!DN2455</f>
        <v>79</v>
      </c>
      <c r="G81" s="349"/>
      <c r="H81" s="350"/>
      <c r="I81" s="329"/>
      <c r="J81" s="351">
        <f>SUM(Q76:Q80)</f>
        <v>220.62</v>
      </c>
      <c r="K81" s="329">
        <f>[91]Source!BZ2455</f>
        <v>68</v>
      </c>
      <c r="L81" s="351">
        <f>SUM(R76:R80)</f>
        <v>4601.2</v>
      </c>
    </row>
    <row r="82" spans="1:27" ht="14.25" x14ac:dyDescent="0.2">
      <c r="A82" s="346"/>
      <c r="B82" s="346"/>
      <c r="C82" s="347"/>
      <c r="D82" s="347" t="s">
        <v>58</v>
      </c>
      <c r="E82" s="348" t="s">
        <v>57</v>
      </c>
      <c r="F82" s="329">
        <f>[91]Source!DO2455</f>
        <v>70</v>
      </c>
      <c r="G82" s="349"/>
      <c r="H82" s="350"/>
      <c r="I82" s="329"/>
      <c r="J82" s="351">
        <f>SUM(S76:S81)</f>
        <v>195.48</v>
      </c>
      <c r="K82" s="329">
        <f>[91]Source!CA2455</f>
        <v>43</v>
      </c>
      <c r="L82" s="351">
        <f>SUM(T76:T81)</f>
        <v>2909.58</v>
      </c>
    </row>
    <row r="83" spans="1:27" ht="14.25" x14ac:dyDescent="0.2">
      <c r="A83" s="346"/>
      <c r="B83" s="346"/>
      <c r="C83" s="347"/>
      <c r="D83" s="347" t="s">
        <v>59</v>
      </c>
      <c r="E83" s="348" t="s">
        <v>57</v>
      </c>
      <c r="F83" s="329">
        <f>175</f>
        <v>175</v>
      </c>
      <c r="G83" s="349"/>
      <c r="H83" s="350"/>
      <c r="I83" s="329"/>
      <c r="J83" s="351">
        <f>SUM(U76:U82)-J89</f>
        <v>0.21</v>
      </c>
      <c r="K83" s="329">
        <f>157</f>
        <v>157</v>
      </c>
      <c r="L83" s="351">
        <f>SUM(V76:V82)-L89</f>
        <v>4.72</v>
      </c>
    </row>
    <row r="84" spans="1:27" ht="14.25" x14ac:dyDescent="0.2">
      <c r="A84" s="346"/>
      <c r="B84" s="346"/>
      <c r="C84" s="347"/>
      <c r="D84" s="347" t="s">
        <v>60</v>
      </c>
      <c r="E84" s="348" t="s">
        <v>61</v>
      </c>
      <c r="F84" s="329">
        <f>[91]Source!AQ2455</f>
        <v>3.37</v>
      </c>
      <c r="G84" s="349"/>
      <c r="H84" s="350">
        <f>[91]Source!DI2455</f>
        <v>0</v>
      </c>
      <c r="I84" s="329">
        <f>[91]Source!AV2455</f>
        <v>1.0669999999999999</v>
      </c>
      <c r="J84" s="351">
        <f>[91]Source!U2455</f>
        <v>14.38</v>
      </c>
      <c r="K84" s="329"/>
      <c r="L84" s="351"/>
    </row>
    <row r="85" spans="1:27" ht="15" x14ac:dyDescent="0.25">
      <c r="I85" s="641">
        <f>J77+J78+J80+J81+J82+J83</f>
        <v>721.06</v>
      </c>
      <c r="J85" s="641"/>
      <c r="K85" s="641">
        <f>L77+L78+L80+L81+L82+L83</f>
        <v>14426.64</v>
      </c>
      <c r="L85" s="641"/>
      <c r="O85" s="353">
        <f>J77+J78+J80+J81+J82+J83</f>
        <v>721.06</v>
      </c>
      <c r="P85" s="353">
        <f>L77+L78+L80+L81+L82+L83</f>
        <v>14426.64</v>
      </c>
      <c r="X85" s="326">
        <f>IF([91]Source!BI2455&lt;=1,J77+J78+J80+J81+J82+J83-0, 0)</f>
        <v>0</v>
      </c>
      <c r="Y85" s="326">
        <f>IF([91]Source!BI2455=2,J77+J78+J80+J81+J82+J83-0, 0)</f>
        <v>721.06</v>
      </c>
      <c r="Z85" s="326">
        <f>IF([91]Source!BI2455=3,J77+J78+J80+J81+J82+J83-0, 0)</f>
        <v>0</v>
      </c>
      <c r="AA85" s="326">
        <f>IF([91]Source!BI2455=4,J77+J78+J80+J81+J82+J83,0)</f>
        <v>0</v>
      </c>
    </row>
    <row r="86" spans="1:27" ht="28.5" x14ac:dyDescent="0.2">
      <c r="A86" s="354"/>
      <c r="B86" s="354"/>
      <c r="C86" s="355"/>
      <c r="D86" s="355" t="s">
        <v>62</v>
      </c>
      <c r="E86" s="348"/>
      <c r="F86" s="356"/>
      <c r="G86" s="357"/>
      <c r="H86" s="348"/>
      <c r="I86" s="356"/>
      <c r="J86" s="352"/>
      <c r="K86" s="356"/>
      <c r="L86" s="352"/>
    </row>
    <row r="87" spans="1:27" ht="14.25" x14ac:dyDescent="0.2">
      <c r="A87" s="354"/>
      <c r="B87" s="354"/>
      <c r="C87" s="355"/>
      <c r="D87" s="355" t="s">
        <v>53</v>
      </c>
      <c r="E87" s="348"/>
      <c r="F87" s="356"/>
      <c r="G87" s="357">
        <f t="shared" ref="G87:L87" si="1">G88</f>
        <v>0.03</v>
      </c>
      <c r="H87" s="358" t="str">
        <f t="shared" si="1"/>
        <v>)*(1.67-1)</v>
      </c>
      <c r="I87" s="356">
        <f t="shared" si="1"/>
        <v>1.0669999999999999</v>
      </c>
      <c r="J87" s="352">
        <f t="shared" si="1"/>
        <v>0.09</v>
      </c>
      <c r="K87" s="356">
        <f t="shared" si="1"/>
        <v>24.23</v>
      </c>
      <c r="L87" s="352">
        <f t="shared" si="1"/>
        <v>2.08</v>
      </c>
    </row>
    <row r="88" spans="1:27" ht="14.25" x14ac:dyDescent="0.2">
      <c r="A88" s="354"/>
      <c r="B88" s="354"/>
      <c r="C88" s="355"/>
      <c r="D88" s="355" t="s">
        <v>54</v>
      </c>
      <c r="E88" s="348"/>
      <c r="F88" s="356"/>
      <c r="G88" s="357">
        <f>[91]Source!AN2455</f>
        <v>0.03</v>
      </c>
      <c r="H88" s="358" t="s">
        <v>63</v>
      </c>
      <c r="I88" s="356">
        <f>[91]Source!AV2455</f>
        <v>1.0669999999999999</v>
      </c>
      <c r="J88" s="352">
        <f>ROUND(F76*G88*I88*(1.67-1), 2)</f>
        <v>0.09</v>
      </c>
      <c r="K88" s="356">
        <f>IF([91]Source!BS2455&lt;&gt; 0, [91]Source!BS2455, 1)</f>
        <v>24.23</v>
      </c>
      <c r="L88" s="352">
        <f>ROUND(F76*G88*I88*(1.67-1)*K88, 2)</f>
        <v>2.08</v>
      </c>
      <c r="W88" s="326">
        <f>J88</f>
        <v>0.09</v>
      </c>
    </row>
    <row r="89" spans="1:27" ht="14.25" x14ac:dyDescent="0.2">
      <c r="A89" s="354"/>
      <c r="B89" s="354"/>
      <c r="C89" s="355"/>
      <c r="D89" s="355" t="s">
        <v>59</v>
      </c>
      <c r="E89" s="348" t="s">
        <v>57</v>
      </c>
      <c r="F89" s="356">
        <f>175</f>
        <v>175</v>
      </c>
      <c r="G89" s="357"/>
      <c r="H89" s="348"/>
      <c r="I89" s="356"/>
      <c r="J89" s="352">
        <f>ROUND(J88*(F89/100), 2)</f>
        <v>0.16</v>
      </c>
      <c r="K89" s="356">
        <f>157</f>
        <v>157</v>
      </c>
      <c r="L89" s="352">
        <f>ROUND(L88*(K89/100), 2)</f>
        <v>3.27</v>
      </c>
    </row>
    <row r="90" spans="1:27" ht="15" x14ac:dyDescent="0.25">
      <c r="I90" s="641">
        <f>J89+J88</f>
        <v>0.25</v>
      </c>
      <c r="J90" s="641"/>
      <c r="K90" s="641">
        <f>L89+L88</f>
        <v>5.35</v>
      </c>
      <c r="L90" s="641"/>
      <c r="O90" s="353">
        <f>I90</f>
        <v>0.25</v>
      </c>
      <c r="P90" s="353">
        <f>K90</f>
        <v>5.35</v>
      </c>
      <c r="X90" s="326">
        <f>IF([91]Source!BI2455&lt;=1,I90, 0)</f>
        <v>0</v>
      </c>
      <c r="Y90" s="326">
        <f>IF([91]Source!BI2455=2,I90, 0)</f>
        <v>0.25</v>
      </c>
      <c r="Z90" s="326">
        <f>IF([91]Source!BI2455=3,I90, 0)</f>
        <v>0</v>
      </c>
      <c r="AA90" s="326">
        <f>IF([91]Source!BI2455=4,I90, 0)</f>
        <v>0</v>
      </c>
    </row>
    <row r="92" spans="1:27" ht="15" x14ac:dyDescent="0.25">
      <c r="A92" s="359"/>
      <c r="B92" s="359"/>
      <c r="C92" s="360"/>
      <c r="D92" s="360" t="s">
        <v>64</v>
      </c>
      <c r="E92" s="361"/>
      <c r="F92" s="362"/>
      <c r="G92" s="363"/>
      <c r="H92" s="364"/>
      <c r="I92" s="641">
        <f>I85+I90</f>
        <v>721.31</v>
      </c>
      <c r="J92" s="641"/>
      <c r="K92" s="641">
        <f>K85+K90</f>
        <v>14431.99</v>
      </c>
      <c r="L92" s="641"/>
    </row>
    <row r="93" spans="1:27" ht="182.25" x14ac:dyDescent="0.2">
      <c r="A93" s="346">
        <v>4</v>
      </c>
      <c r="B93" s="346" t="str">
        <f>[91]Source!E2457</f>
        <v>335</v>
      </c>
      <c r="C93" s="347" t="str">
        <f>[91]Source!F2457</f>
        <v>МКЭ-33-1005/8-1 от 26.07.2018г.</v>
      </c>
      <c r="D93" s="347" t="s">
        <v>339</v>
      </c>
      <c r="E93" s="348" t="str">
        <f>[91]Source!H2457</f>
        <v>шт.</v>
      </c>
      <c r="F93" s="329">
        <f>[91]Source!I2457</f>
        <v>3</v>
      </c>
      <c r="G93" s="412">
        <f>J93/F93</f>
        <v>1689.78</v>
      </c>
      <c r="H93" s="410">
        <v>1.02</v>
      </c>
      <c r="I93" s="411">
        <v>1</v>
      </c>
      <c r="J93" s="412">
        <f>L93/K93</f>
        <v>5069.33</v>
      </c>
      <c r="K93" s="411">
        <v>5.58</v>
      </c>
      <c r="L93" s="412">
        <f>9244.07*H93*F93</f>
        <v>28286.85</v>
      </c>
      <c r="Q93" s="326">
        <f>ROUND(([91]Source!DN2457/100)*ROUND((ROUND(([91]Source!AF2457*[91]Source!AV2457*[91]Source!I2457),2)),2), 2)</f>
        <v>0</v>
      </c>
      <c r="R93" s="326">
        <f>[91]Source!X2457</f>
        <v>0</v>
      </c>
      <c r="S93" s="326">
        <f>ROUND(([91]Source!DO2457/100)*ROUND((ROUND(([91]Source!AF2457*[91]Source!AV2457*[91]Source!I2457),2)),2), 2)</f>
        <v>0</v>
      </c>
      <c r="T93" s="326">
        <f>[91]Source!Y2457</f>
        <v>0</v>
      </c>
      <c r="U93" s="326">
        <f>ROUND((175/100)*ROUND((ROUND(([91]Source!AE2457*[91]Source!AV2457*[91]Source!I2457),2)),2), 2)</f>
        <v>0</v>
      </c>
      <c r="V93" s="326">
        <f>ROUND((157/100)*ROUND(ROUND((ROUND(([91]Source!AE2457*[91]Source!AV2457*[91]Source!I2457),2)*[91]Source!BS2457),2), 2), 2)</f>
        <v>0</v>
      </c>
    </row>
    <row r="94" spans="1:27" ht="15" x14ac:dyDescent="0.25">
      <c r="A94" s="365"/>
      <c r="B94" s="365"/>
      <c r="C94" s="365"/>
      <c r="D94" s="365"/>
      <c r="E94" s="365"/>
      <c r="F94" s="365"/>
      <c r="G94" s="365"/>
      <c r="H94" s="365"/>
      <c r="I94" s="641">
        <f>J93</f>
        <v>5069.33</v>
      </c>
      <c r="J94" s="641"/>
      <c r="K94" s="641">
        <f>L93</f>
        <v>28286.85</v>
      </c>
      <c r="L94" s="641"/>
      <c r="O94" s="353">
        <f>J93</f>
        <v>5069.33</v>
      </c>
      <c r="P94" s="353">
        <f>L93</f>
        <v>28286.85</v>
      </c>
      <c r="X94" s="326">
        <f>IF([91]Source!BI2457&lt;=1,J93-0, 0)</f>
        <v>5069.33</v>
      </c>
      <c r="Y94" s="326">
        <f>IF([91]Source!BI2457=2,J93-0, 0)</f>
        <v>0</v>
      </c>
      <c r="Z94" s="326">
        <f>IF([91]Source!BI2457=3,J93-0, 0)</f>
        <v>0</v>
      </c>
      <c r="AA94" s="326">
        <f>IF([91]Source!BI2457=4,J93,0)</f>
        <v>0</v>
      </c>
    </row>
    <row r="95" spans="1:27" ht="168" x14ac:dyDescent="0.2">
      <c r="A95" s="346">
        <v>5</v>
      </c>
      <c r="B95" s="346" t="str">
        <f>[91]Source!E2459</f>
        <v>336</v>
      </c>
      <c r="C95" s="347" t="str">
        <f>[91]Source!F2459</f>
        <v>МКЭ-33-1005/8-1 от 26.07.2018г.</v>
      </c>
      <c r="D95" s="347" t="s">
        <v>340</v>
      </c>
      <c r="E95" s="348" t="str">
        <f>[91]Source!H2459</f>
        <v>шт.</v>
      </c>
      <c r="F95" s="329">
        <f>[91]Source!I2459</f>
        <v>1</v>
      </c>
      <c r="G95" s="412">
        <f>J95/F95</f>
        <v>2323.96</v>
      </c>
      <c r="H95" s="410">
        <v>1.02</v>
      </c>
      <c r="I95" s="411">
        <v>1</v>
      </c>
      <c r="J95" s="412">
        <f>L95/K95</f>
        <v>2323.96</v>
      </c>
      <c r="K95" s="411">
        <v>5.58</v>
      </c>
      <c r="L95" s="412">
        <f>12713.4*H95*F95</f>
        <v>12967.67</v>
      </c>
      <c r="Q95" s="326">
        <f>ROUND(([91]Source!DN2459/100)*ROUND((ROUND(([91]Source!AF2459*[91]Source!AV2459*[91]Source!I2459),2)),2), 2)</f>
        <v>0</v>
      </c>
      <c r="R95" s="326">
        <f>[91]Source!X2459</f>
        <v>0</v>
      </c>
      <c r="S95" s="326">
        <f>ROUND(([91]Source!DO2459/100)*ROUND((ROUND(([91]Source!AF2459*[91]Source!AV2459*[91]Source!I2459),2)),2), 2)</f>
        <v>0</v>
      </c>
      <c r="T95" s="326">
        <f>[91]Source!Y2459</f>
        <v>0</v>
      </c>
      <c r="U95" s="326">
        <f>ROUND((175/100)*ROUND((ROUND(([91]Source!AE2459*[91]Source!AV2459*[91]Source!I2459),2)),2), 2)</f>
        <v>0</v>
      </c>
      <c r="V95" s="326">
        <f>ROUND((157/100)*ROUND(ROUND((ROUND(([91]Source!AE2459*[91]Source!AV2459*[91]Source!I2459),2)*[91]Source!BS2459),2), 2), 2)</f>
        <v>0</v>
      </c>
    </row>
    <row r="96" spans="1:27" ht="15" x14ac:dyDescent="0.25">
      <c r="A96" s="365"/>
      <c r="B96" s="365"/>
      <c r="C96" s="365"/>
      <c r="D96" s="365"/>
      <c r="E96" s="365"/>
      <c r="F96" s="365"/>
      <c r="G96" s="365"/>
      <c r="H96" s="365"/>
      <c r="I96" s="641">
        <f>J95</f>
        <v>2323.96</v>
      </c>
      <c r="J96" s="641"/>
      <c r="K96" s="641">
        <f>L95</f>
        <v>12967.67</v>
      </c>
      <c r="L96" s="641"/>
      <c r="O96" s="353">
        <f>J95</f>
        <v>2323.96</v>
      </c>
      <c r="P96" s="353">
        <f>L95</f>
        <v>12967.67</v>
      </c>
      <c r="X96" s="326">
        <f>IF([91]Source!BI2459&lt;=1,J95-0, 0)</f>
        <v>2323.96</v>
      </c>
      <c r="Y96" s="326">
        <f>IF([91]Source!BI2459=2,J95-0, 0)</f>
        <v>0</v>
      </c>
      <c r="Z96" s="326">
        <f>IF([91]Source!BI2459=3,J95-0, 0)</f>
        <v>0</v>
      </c>
      <c r="AA96" s="326">
        <f>IF([91]Source!BI2459=4,J95,0)</f>
        <v>0</v>
      </c>
    </row>
    <row r="97" spans="1:27" ht="40.5" customHeight="1" x14ac:dyDescent="0.2">
      <c r="A97" s="346">
        <v>6</v>
      </c>
      <c r="B97" s="346" t="str">
        <f>[91]Source!E2461</f>
        <v>337</v>
      </c>
      <c r="C97" s="347" t="s">
        <v>341</v>
      </c>
      <c r="D97" s="347" t="s">
        <v>342</v>
      </c>
      <c r="E97" s="348" t="str">
        <f>[91]Source!H2461</f>
        <v>1 клапан</v>
      </c>
      <c r="F97" s="329">
        <f>[91]Source!I2461</f>
        <v>1</v>
      </c>
      <c r="G97" s="349"/>
      <c r="H97" s="350"/>
      <c r="I97" s="329"/>
      <c r="J97" s="351"/>
      <c r="K97" s="329"/>
      <c r="L97" s="351"/>
      <c r="Q97" s="326">
        <f>ROUND(([91]Source!DN2461/100)*ROUND((ROUND(([91]Source!AF2461*[91]Source!AV2461*[91]Source!I2461),2)),2), 2)</f>
        <v>55.15</v>
      </c>
      <c r="R97" s="326">
        <f>[91]Source!X2461</f>
        <v>1150.22</v>
      </c>
      <c r="S97" s="326">
        <f>ROUND(([91]Source!DO2461/100)*ROUND((ROUND(([91]Source!AF2461*[91]Source!AV2461*[91]Source!I2461),2)),2), 2)</f>
        <v>48.87</v>
      </c>
      <c r="T97" s="326">
        <f>[91]Source!Y2461</f>
        <v>727.35</v>
      </c>
      <c r="U97" s="326">
        <f>ROUND((175/100)*ROUND((ROUND(([91]Source!AE2461*[91]Source!AV2461*[91]Source!I2461),2)),2), 2)</f>
        <v>0.09</v>
      </c>
      <c r="V97" s="326">
        <f>ROUND((157/100)*ROUND(ROUND((ROUND(([91]Source!AE2461*[91]Source!AV2461*[91]Source!I2461),2)*[91]Source!BS2461),2), 2), 2)</f>
        <v>1.9</v>
      </c>
    </row>
    <row r="98" spans="1:27" ht="14.25" x14ac:dyDescent="0.2">
      <c r="A98" s="346"/>
      <c r="B98" s="346"/>
      <c r="C98" s="347"/>
      <c r="D98" s="347" t="s">
        <v>52</v>
      </c>
      <c r="E98" s="348"/>
      <c r="F98" s="329"/>
      <c r="G98" s="349">
        <f>[91]Source!AO2461</f>
        <v>39.18</v>
      </c>
      <c r="H98" s="350" t="str">
        <f>[91]Source!DG2461</f>
        <v>)*1,67</v>
      </c>
      <c r="I98" s="329">
        <f>[91]Source!AV2461</f>
        <v>1.0669999999999999</v>
      </c>
      <c r="J98" s="351">
        <f>ROUND((ROUND(([91]Source!AF2461*[91]Source!AV2461*[91]Source!I2461),2)),2)</f>
        <v>69.81</v>
      </c>
      <c r="K98" s="329">
        <f>IF([91]Source!BA2461&lt;&gt; 0, [91]Source!BA2461, 1)</f>
        <v>24.23</v>
      </c>
      <c r="L98" s="351">
        <f>[91]Source!S2461</f>
        <v>1691.5</v>
      </c>
      <c r="W98" s="326">
        <f>J98</f>
        <v>69.81</v>
      </c>
    </row>
    <row r="99" spans="1:27" ht="14.25" x14ac:dyDescent="0.2">
      <c r="A99" s="346"/>
      <c r="B99" s="346"/>
      <c r="C99" s="347"/>
      <c r="D99" s="347" t="s">
        <v>53</v>
      </c>
      <c r="E99" s="348"/>
      <c r="F99" s="329"/>
      <c r="G99" s="349">
        <f>[91]Source!AM2461</f>
        <v>0.73</v>
      </c>
      <c r="H99" s="350">
        <f>[91]Source!DE2461</f>
        <v>0</v>
      </c>
      <c r="I99" s="329">
        <f>[91]Source!AV2461</f>
        <v>1.0669999999999999</v>
      </c>
      <c r="J99" s="351">
        <f>(ROUND((ROUND((([91]Source!ET2461)*[91]Source!AV2461*[91]Source!I2461),2)),2)+ROUND((ROUND((([91]Source!AE2461-([91]Source!EU2461))*[91]Source!AV2461*[91]Source!I2461),2)),2))-J108</f>
        <v>0.78</v>
      </c>
      <c r="K99" s="329">
        <f>IF([91]Source!BB2461&lt;&gt; 0, [91]Source!BB2461, 1)</f>
        <v>6.33</v>
      </c>
      <c r="L99" s="351">
        <f>[91]Source!Q2461-L108</f>
        <v>4.9000000000000004</v>
      </c>
    </row>
    <row r="100" spans="1:27" ht="14.25" x14ac:dyDescent="0.2">
      <c r="A100" s="346"/>
      <c r="B100" s="346"/>
      <c r="C100" s="347"/>
      <c r="D100" s="347" t="s">
        <v>54</v>
      </c>
      <c r="E100" s="348"/>
      <c r="F100" s="329"/>
      <c r="G100" s="349">
        <f>[91]Source!AN2461</f>
        <v>0.03</v>
      </c>
      <c r="H100" s="350">
        <f>[91]Source!DE2461</f>
        <v>0</v>
      </c>
      <c r="I100" s="329">
        <f>[91]Source!AV2461</f>
        <v>1.0669999999999999</v>
      </c>
      <c r="J100" s="352">
        <f>ROUND((ROUND(([91]Source!AE2461*[91]Source!AV2461*[91]Source!I2461),2)),2)-J109</f>
        <v>0.03</v>
      </c>
      <c r="K100" s="329">
        <f>IF([91]Source!BS2461&lt;&gt; 0, [91]Source!BS2461, 1)</f>
        <v>24.23</v>
      </c>
      <c r="L100" s="352">
        <f>[91]Source!R2461-L109</f>
        <v>0.69</v>
      </c>
      <c r="W100" s="326">
        <f>J100</f>
        <v>0.03</v>
      </c>
    </row>
    <row r="101" spans="1:27" ht="14.25" x14ac:dyDescent="0.2">
      <c r="A101" s="346"/>
      <c r="B101" s="346"/>
      <c r="C101" s="347"/>
      <c r="D101" s="347" t="s">
        <v>55</v>
      </c>
      <c r="E101" s="348"/>
      <c r="F101" s="329"/>
      <c r="G101" s="349">
        <f>[91]Source!AL2461</f>
        <v>7.87</v>
      </c>
      <c r="H101" s="350">
        <f>[91]Source!DD2461</f>
        <v>0</v>
      </c>
      <c r="I101" s="329">
        <f>[91]Source!AW2461</f>
        <v>1.028</v>
      </c>
      <c r="J101" s="351">
        <f>ROUND((ROUND(([91]Source!AC2461*[91]Source!AW2461*[91]Source!I2461),2)),2)</f>
        <v>8.09</v>
      </c>
      <c r="K101" s="329">
        <f>IF([91]Source!BC2461&lt;&gt; 0, [91]Source!BC2461, 1)</f>
        <v>5.58</v>
      </c>
      <c r="L101" s="351">
        <f>[91]Source!P2461</f>
        <v>45.14</v>
      </c>
    </row>
    <row r="102" spans="1:27" ht="14.25" x14ac:dyDescent="0.2">
      <c r="A102" s="346"/>
      <c r="B102" s="346"/>
      <c r="C102" s="347"/>
      <c r="D102" s="347" t="s">
        <v>56</v>
      </c>
      <c r="E102" s="348" t="s">
        <v>57</v>
      </c>
      <c r="F102" s="329">
        <f>[91]Source!DN2461</f>
        <v>79</v>
      </c>
      <c r="G102" s="349"/>
      <c r="H102" s="350"/>
      <c r="I102" s="329"/>
      <c r="J102" s="351">
        <f>SUM(Q97:Q101)</f>
        <v>55.15</v>
      </c>
      <c r="K102" s="329">
        <f>[91]Source!BZ2461</f>
        <v>68</v>
      </c>
      <c r="L102" s="351">
        <f>SUM(R97:R101)</f>
        <v>1150.22</v>
      </c>
    </row>
    <row r="103" spans="1:27" ht="14.25" x14ac:dyDescent="0.2">
      <c r="A103" s="346"/>
      <c r="B103" s="346"/>
      <c r="C103" s="347"/>
      <c r="D103" s="347" t="s">
        <v>58</v>
      </c>
      <c r="E103" s="348" t="s">
        <v>57</v>
      </c>
      <c r="F103" s="329">
        <f>[91]Source!DO2461</f>
        <v>70</v>
      </c>
      <c r="G103" s="349"/>
      <c r="H103" s="350"/>
      <c r="I103" s="329"/>
      <c r="J103" s="351">
        <f>SUM(S97:S102)</f>
        <v>48.87</v>
      </c>
      <c r="K103" s="329">
        <f>[91]Source!CA2461</f>
        <v>43</v>
      </c>
      <c r="L103" s="351">
        <f>SUM(T97:T102)</f>
        <v>727.35</v>
      </c>
    </row>
    <row r="104" spans="1:27" ht="14.25" x14ac:dyDescent="0.2">
      <c r="A104" s="346"/>
      <c r="B104" s="346"/>
      <c r="C104" s="347"/>
      <c r="D104" s="347" t="s">
        <v>59</v>
      </c>
      <c r="E104" s="348" t="s">
        <v>57</v>
      </c>
      <c r="F104" s="329">
        <f>175</f>
        <v>175</v>
      </c>
      <c r="G104" s="349"/>
      <c r="H104" s="350"/>
      <c r="I104" s="329"/>
      <c r="J104" s="351">
        <f>SUM(U97:U103)-J110</f>
        <v>0.05</v>
      </c>
      <c r="K104" s="329">
        <f>157</f>
        <v>157</v>
      </c>
      <c r="L104" s="351">
        <f>SUM(V97:V103)-L110</f>
        <v>1.08</v>
      </c>
    </row>
    <row r="105" spans="1:27" ht="14.25" x14ac:dyDescent="0.2">
      <c r="A105" s="346"/>
      <c r="B105" s="346"/>
      <c r="C105" s="347"/>
      <c r="D105" s="347" t="s">
        <v>60</v>
      </c>
      <c r="E105" s="348" t="s">
        <v>61</v>
      </c>
      <c r="F105" s="329">
        <f>[91]Source!AQ2461</f>
        <v>3.37</v>
      </c>
      <c r="G105" s="349"/>
      <c r="H105" s="350">
        <f>[91]Source!DI2461</f>
        <v>0</v>
      </c>
      <c r="I105" s="329">
        <f>[91]Source!AV2461</f>
        <v>1.0669999999999999</v>
      </c>
      <c r="J105" s="351">
        <f>[91]Source!U2461</f>
        <v>3.6</v>
      </c>
      <c r="K105" s="329"/>
      <c r="L105" s="351"/>
    </row>
    <row r="106" spans="1:27" ht="15" x14ac:dyDescent="0.25">
      <c r="I106" s="641">
        <f>J98+J99+J101+J102+J103+J104</f>
        <v>182.75</v>
      </c>
      <c r="J106" s="641"/>
      <c r="K106" s="641">
        <f>L98+L99+L101+L102+L103+L104</f>
        <v>3620.19</v>
      </c>
      <c r="L106" s="641"/>
      <c r="O106" s="353">
        <f>J98+J99+J101+J102+J103+J104</f>
        <v>182.75</v>
      </c>
      <c r="P106" s="353">
        <f>L98+L99+L101+L102+L103+L104</f>
        <v>3620.19</v>
      </c>
      <c r="X106" s="326">
        <f>IF([91]Source!BI2461&lt;=1,J98+J99+J101+J102+J103+J104-0, 0)</f>
        <v>0</v>
      </c>
      <c r="Y106" s="326">
        <f>IF([91]Source!BI2461=2,J98+J99+J101+J102+J103+J104-0, 0)</f>
        <v>182.75</v>
      </c>
      <c r="Z106" s="326">
        <f>IF([91]Source!BI2461=3,J98+J99+J101+J102+J103+J104-0, 0)</f>
        <v>0</v>
      </c>
      <c r="AA106" s="326">
        <f>IF([91]Source!BI2461=4,J98+J99+J101+J102+J103+J104,0)</f>
        <v>0</v>
      </c>
    </row>
    <row r="107" spans="1:27" ht="28.5" x14ac:dyDescent="0.2">
      <c r="A107" s="354"/>
      <c r="B107" s="354"/>
      <c r="C107" s="355"/>
      <c r="D107" s="355" t="s">
        <v>62</v>
      </c>
      <c r="E107" s="348"/>
      <c r="F107" s="356"/>
      <c r="G107" s="357"/>
      <c r="H107" s="348"/>
      <c r="I107" s="356"/>
      <c r="J107" s="352"/>
      <c r="K107" s="356"/>
      <c r="L107" s="352"/>
    </row>
    <row r="108" spans="1:27" ht="14.25" x14ac:dyDescent="0.2">
      <c r="A108" s="354"/>
      <c r="B108" s="354"/>
      <c r="C108" s="355"/>
      <c r="D108" s="355" t="s">
        <v>53</v>
      </c>
      <c r="E108" s="348"/>
      <c r="F108" s="356"/>
      <c r="G108" s="357">
        <f t="shared" ref="G108:L108" si="2">G109</f>
        <v>0.03</v>
      </c>
      <c r="H108" s="358" t="str">
        <f t="shared" si="2"/>
        <v>)*(1.67-1)</v>
      </c>
      <c r="I108" s="356">
        <f t="shared" si="2"/>
        <v>1.0669999999999999</v>
      </c>
      <c r="J108" s="352">
        <f t="shared" si="2"/>
        <v>0.02</v>
      </c>
      <c r="K108" s="356">
        <f t="shared" si="2"/>
        <v>24.23</v>
      </c>
      <c r="L108" s="352">
        <f t="shared" si="2"/>
        <v>0.52</v>
      </c>
    </row>
    <row r="109" spans="1:27" ht="14.25" x14ac:dyDescent="0.2">
      <c r="A109" s="354"/>
      <c r="B109" s="354"/>
      <c r="C109" s="355"/>
      <c r="D109" s="355" t="s">
        <v>54</v>
      </c>
      <c r="E109" s="348"/>
      <c r="F109" s="356"/>
      <c r="G109" s="357">
        <f>[91]Source!AN2461</f>
        <v>0.03</v>
      </c>
      <c r="H109" s="358" t="s">
        <v>63</v>
      </c>
      <c r="I109" s="356">
        <f>[91]Source!AV2461</f>
        <v>1.0669999999999999</v>
      </c>
      <c r="J109" s="352">
        <f>ROUND(F97*G109*I109*(1.67-1), 2)</f>
        <v>0.02</v>
      </c>
      <c r="K109" s="356">
        <f>IF([91]Source!BS2461&lt;&gt; 0, [91]Source!BS2461, 1)</f>
        <v>24.23</v>
      </c>
      <c r="L109" s="352">
        <f>ROUND(F97*G109*I109*(1.67-1)*K109, 2)</f>
        <v>0.52</v>
      </c>
      <c r="W109" s="326">
        <f>J109</f>
        <v>0.02</v>
      </c>
    </row>
    <row r="110" spans="1:27" ht="14.25" x14ac:dyDescent="0.2">
      <c r="A110" s="354"/>
      <c r="B110" s="354"/>
      <c r="C110" s="355"/>
      <c r="D110" s="355" t="s">
        <v>59</v>
      </c>
      <c r="E110" s="348" t="s">
        <v>57</v>
      </c>
      <c r="F110" s="356">
        <f>175</f>
        <v>175</v>
      </c>
      <c r="G110" s="357"/>
      <c r="H110" s="348"/>
      <c r="I110" s="356"/>
      <c r="J110" s="352">
        <f>ROUND(J109*(F110/100), 2)</f>
        <v>0.04</v>
      </c>
      <c r="K110" s="356">
        <f>157</f>
        <v>157</v>
      </c>
      <c r="L110" s="352">
        <f>ROUND(L109*(K110/100), 2)</f>
        <v>0.82</v>
      </c>
    </row>
    <row r="111" spans="1:27" ht="15" x14ac:dyDescent="0.25">
      <c r="I111" s="641">
        <f>J110+J109</f>
        <v>0.06</v>
      </c>
      <c r="J111" s="641"/>
      <c r="K111" s="641">
        <f>L110+L109</f>
        <v>1.34</v>
      </c>
      <c r="L111" s="641"/>
      <c r="O111" s="353">
        <f>I111</f>
        <v>0.06</v>
      </c>
      <c r="P111" s="353">
        <f>K111</f>
        <v>1.34</v>
      </c>
      <c r="X111" s="326">
        <f>IF([91]Source!BI2461&lt;=1,I111, 0)</f>
        <v>0</v>
      </c>
      <c r="Y111" s="326">
        <f>IF([91]Source!BI2461=2,I111, 0)</f>
        <v>0.06</v>
      </c>
      <c r="Z111" s="326">
        <f>IF([91]Source!BI2461=3,I111, 0)</f>
        <v>0</v>
      </c>
      <c r="AA111" s="326">
        <f>IF([91]Source!BI2461=4,I111, 0)</f>
        <v>0</v>
      </c>
    </row>
    <row r="113" spans="1:27" ht="15" x14ac:dyDescent="0.25">
      <c r="A113" s="359"/>
      <c r="B113" s="359"/>
      <c r="C113" s="360"/>
      <c r="D113" s="360" t="s">
        <v>64</v>
      </c>
      <c r="E113" s="361"/>
      <c r="F113" s="362"/>
      <c r="G113" s="363"/>
      <c r="H113" s="364"/>
      <c r="I113" s="641">
        <f>I106+I111</f>
        <v>182.81</v>
      </c>
      <c r="J113" s="641"/>
      <c r="K113" s="641">
        <f>K106+K111</f>
        <v>3621.53</v>
      </c>
      <c r="L113" s="641"/>
    </row>
    <row r="114" spans="1:27" ht="168" x14ac:dyDescent="0.2">
      <c r="A114" s="346">
        <v>7</v>
      </c>
      <c r="B114" s="346" t="str">
        <f>[91]Source!E2463</f>
        <v>338</v>
      </c>
      <c r="C114" s="347" t="str">
        <f>[91]Source!F2463</f>
        <v>МКЭ-33-1005/8-1 от 26.07.2018г.</v>
      </c>
      <c r="D114" s="347" t="s">
        <v>343</v>
      </c>
      <c r="E114" s="348" t="str">
        <f>[91]Source!H2463</f>
        <v>шт.</v>
      </c>
      <c r="F114" s="329">
        <f>[91]Source!I2463</f>
        <v>1</v>
      </c>
      <c r="G114" s="412">
        <f>J114/F114</f>
        <v>2454.41</v>
      </c>
      <c r="H114" s="410">
        <v>1.02</v>
      </c>
      <c r="I114" s="411">
        <v>1</v>
      </c>
      <c r="J114" s="412">
        <f>L114/K114</f>
        <v>2454.41</v>
      </c>
      <c r="K114" s="411">
        <v>5.58</v>
      </c>
      <c r="L114" s="412">
        <f>13427.08*H114*F114</f>
        <v>13695.62</v>
      </c>
      <c r="Q114" s="326">
        <f>ROUND(([91]Source!DN2463/100)*ROUND((ROUND(([91]Source!AF2463*[91]Source!AV2463*[91]Source!I2463),2)),2), 2)</f>
        <v>0</v>
      </c>
      <c r="R114" s="326">
        <f>[91]Source!X2463</f>
        <v>0</v>
      </c>
      <c r="S114" s="326">
        <f>ROUND(([91]Source!DO2463/100)*ROUND((ROUND(([91]Source!AF2463*[91]Source!AV2463*[91]Source!I2463),2)),2), 2)</f>
        <v>0</v>
      </c>
      <c r="T114" s="326">
        <f>[91]Source!Y2463</f>
        <v>0</v>
      </c>
      <c r="U114" s="326">
        <f>ROUND((175/100)*ROUND((ROUND(([91]Source!AE2463*[91]Source!AV2463*[91]Source!I2463),2)),2), 2)</f>
        <v>0</v>
      </c>
      <c r="V114" s="326">
        <f>ROUND((157/100)*ROUND(ROUND((ROUND(([91]Source!AE2463*[91]Source!AV2463*[91]Source!I2463),2)*[91]Source!BS2463),2), 2), 2)</f>
        <v>0</v>
      </c>
    </row>
    <row r="115" spans="1:27" ht="15" x14ac:dyDescent="0.25">
      <c r="A115" s="365"/>
      <c r="B115" s="365"/>
      <c r="C115" s="365"/>
      <c r="D115" s="365"/>
      <c r="E115" s="365"/>
      <c r="F115" s="365"/>
      <c r="G115" s="365"/>
      <c r="H115" s="365"/>
      <c r="I115" s="641">
        <f>J114</f>
        <v>2454.41</v>
      </c>
      <c r="J115" s="641"/>
      <c r="K115" s="641">
        <f>L114</f>
        <v>13695.62</v>
      </c>
      <c r="L115" s="641"/>
      <c r="O115" s="353">
        <f>J114</f>
        <v>2454.41</v>
      </c>
      <c r="P115" s="353">
        <f>L114</f>
        <v>13695.62</v>
      </c>
      <c r="X115" s="326">
        <f>IF([91]Source!BI2463&lt;=1,J114-0, 0)</f>
        <v>2454.41</v>
      </c>
      <c r="Y115" s="326">
        <f>IF([91]Source!BI2463=2,J114-0, 0)</f>
        <v>0</v>
      </c>
      <c r="Z115" s="326">
        <f>IF([91]Source!BI2463=3,J114-0, 0)</f>
        <v>0</v>
      </c>
      <c r="AA115" s="326">
        <f>IF([91]Source!BI2463=4,J114,0)</f>
        <v>0</v>
      </c>
    </row>
    <row r="116" spans="1:27" ht="40.5" customHeight="1" x14ac:dyDescent="0.2">
      <c r="A116" s="346">
        <v>8</v>
      </c>
      <c r="B116" s="346" t="str">
        <f>[91]Source!E2465</f>
        <v>339</v>
      </c>
      <c r="C116" s="347" t="s">
        <v>344</v>
      </c>
      <c r="D116" s="347" t="s">
        <v>315</v>
      </c>
      <c r="E116" s="348" t="str">
        <f>[91]Source!H2465</f>
        <v>1 клапан</v>
      </c>
      <c r="F116" s="329">
        <f>[91]Source!I2465</f>
        <v>37</v>
      </c>
      <c r="G116" s="349"/>
      <c r="H116" s="350"/>
      <c r="I116" s="329"/>
      <c r="J116" s="351"/>
      <c r="K116" s="329"/>
      <c r="L116" s="351"/>
      <c r="Q116" s="326">
        <f>ROUND(([91]Source!DN2465/100)*ROUND((ROUND(([91]Source!AF2465*[91]Source!AV2465*[91]Source!I2465),2)),2), 2)</f>
        <v>4091.29</v>
      </c>
      <c r="R116" s="326">
        <f>[91]Source!X2465</f>
        <v>79305.52</v>
      </c>
      <c r="S116" s="326">
        <f>ROUND(([91]Source!DO2465/100)*ROUND((ROUND(([91]Source!AF2465*[91]Source!AV2465*[91]Source!I2465),2)),2), 2)</f>
        <v>3076.65</v>
      </c>
      <c r="T116" s="326">
        <f>[91]Source!Y2465</f>
        <v>35687.480000000003</v>
      </c>
      <c r="U116" s="326">
        <f>ROUND((175/100)*ROUND((ROUND(([91]Source!AE2465*[91]Source!AV2465*[91]Source!I2465),2)),2), 2)</f>
        <v>42.4</v>
      </c>
      <c r="V116" s="326">
        <f>ROUND((157/100)*ROUND(ROUND((ROUND(([91]Source!AE2465*[91]Source!AV2465*[91]Source!I2465),2)*[91]Source!BS2465),2), 2), 2)</f>
        <v>921.73</v>
      </c>
    </row>
    <row r="117" spans="1:27" ht="25.5" x14ac:dyDescent="0.2">
      <c r="D117" s="402" t="str">
        <f>"Объем: "&amp;[91]Source!I2465&amp;"=3+"&amp;"3+"&amp;"3+"&amp;"2+"&amp;"4+"&amp;"2+"&amp;"1+"&amp;"2+"&amp;"2+"&amp;"1+"&amp;"5+"&amp;"4+"&amp;"4+"&amp;"1"</f>
        <v>Объем: 37=3+3+3+2+4+2+1+2+2+1+5+4+4+1</v>
      </c>
    </row>
    <row r="118" spans="1:27" ht="14.25" x14ac:dyDescent="0.2">
      <c r="A118" s="346"/>
      <c r="B118" s="346"/>
      <c r="C118" s="347"/>
      <c r="D118" s="347" t="s">
        <v>52</v>
      </c>
      <c r="E118" s="348"/>
      <c r="F118" s="329"/>
      <c r="G118" s="349">
        <f>[91]Source!AO2465</f>
        <v>47.28</v>
      </c>
      <c r="H118" s="350" t="str">
        <f>[91]Source!DG2465</f>
        <v>)*1,05)*1,67</v>
      </c>
      <c r="I118" s="329">
        <f>[91]Source!AV2465</f>
        <v>1.0669999999999999</v>
      </c>
      <c r="J118" s="351">
        <f>ROUND((ROUND(([91]Source!AF2465*[91]Source!AV2465*[91]Source!I2465),2)),2)</f>
        <v>3273.03</v>
      </c>
      <c r="K118" s="329">
        <f>IF([91]Source!BA2465&lt;&gt; 0, [91]Source!BA2465, 1)</f>
        <v>24.23</v>
      </c>
      <c r="L118" s="351">
        <f>[91]Source!S2465</f>
        <v>79305.52</v>
      </c>
      <c r="W118" s="326">
        <f>J118</f>
        <v>3273.03</v>
      </c>
    </row>
    <row r="119" spans="1:27" ht="14.25" x14ac:dyDescent="0.2">
      <c r="A119" s="346"/>
      <c r="B119" s="346"/>
      <c r="C119" s="347"/>
      <c r="D119" s="347" t="s">
        <v>53</v>
      </c>
      <c r="E119" s="348"/>
      <c r="F119" s="329"/>
      <c r="G119" s="349">
        <f>[91]Source!AM2465</f>
        <v>1.49</v>
      </c>
      <c r="H119" s="350" t="str">
        <f>[91]Source!DE2465</f>
        <v>)*1,05</v>
      </c>
      <c r="I119" s="329">
        <f>[91]Source!AV2465</f>
        <v>1.0669999999999999</v>
      </c>
      <c r="J119" s="351">
        <f>(ROUND((ROUND(((([91]Source!ET2465*1.05))*[91]Source!AV2465*[91]Source!I2465),2)),2)+ROUND((ROUND((([91]Source!AE2465-(([91]Source!EU2465*1.05)))*[91]Source!AV2465*[91]Source!I2465),2)),2))-J128</f>
        <v>61.76</v>
      </c>
      <c r="K119" s="329">
        <f>IF([91]Source!BB2465&lt;&gt; 0, [91]Source!BB2465, 1)</f>
        <v>9.9499999999999993</v>
      </c>
      <c r="L119" s="351">
        <f>[91]Source!Q2465-L128</f>
        <v>614.5</v>
      </c>
    </row>
    <row r="120" spans="1:27" ht="14.25" x14ac:dyDescent="0.2">
      <c r="A120" s="346"/>
      <c r="B120" s="346"/>
      <c r="C120" s="347"/>
      <c r="D120" s="347" t="s">
        <v>54</v>
      </c>
      <c r="E120" s="348"/>
      <c r="F120" s="329"/>
      <c r="G120" s="349">
        <f>[91]Source!AN2465</f>
        <v>0.35</v>
      </c>
      <c r="H120" s="350" t="str">
        <f>[91]Source!DE2465</f>
        <v>)*1,05</v>
      </c>
      <c r="I120" s="329">
        <f>[91]Source!AV2465</f>
        <v>1.0669999999999999</v>
      </c>
      <c r="J120" s="352">
        <f>ROUND((ROUND(([91]Source!AE2465*[91]Source!AV2465*[91]Source!I2465),2)),2)-J129</f>
        <v>14.51</v>
      </c>
      <c r="K120" s="329">
        <f>IF([91]Source!BS2465&lt;&gt; 0, [91]Source!BS2465, 1)</f>
        <v>24.23</v>
      </c>
      <c r="L120" s="352">
        <f>[91]Source!R2465-L129</f>
        <v>351.56</v>
      </c>
      <c r="W120" s="326">
        <f>J120</f>
        <v>14.51</v>
      </c>
    </row>
    <row r="121" spans="1:27" ht="14.25" x14ac:dyDescent="0.2">
      <c r="A121" s="346"/>
      <c r="B121" s="346"/>
      <c r="C121" s="347"/>
      <c r="D121" s="347" t="s">
        <v>55</v>
      </c>
      <c r="E121" s="348"/>
      <c r="F121" s="329"/>
      <c r="G121" s="349">
        <f>[91]Source!AL2465</f>
        <v>15.67</v>
      </c>
      <c r="H121" s="350">
        <f>[91]Source!DD2465</f>
        <v>0</v>
      </c>
      <c r="I121" s="329">
        <f>[91]Source!AW2465</f>
        <v>1</v>
      </c>
      <c r="J121" s="351">
        <f>ROUND((ROUND(([91]Source!AC2465*[91]Source!AW2465*[91]Source!I2465),2)),2)</f>
        <v>579.79</v>
      </c>
      <c r="K121" s="329">
        <f>IF([91]Source!BC2465&lt;&gt; 0, [91]Source!BC2465, 1)</f>
        <v>8.25</v>
      </c>
      <c r="L121" s="351">
        <f>[91]Source!P2465</f>
        <v>4783.2700000000004</v>
      </c>
    </row>
    <row r="122" spans="1:27" ht="14.25" x14ac:dyDescent="0.2">
      <c r="A122" s="346"/>
      <c r="B122" s="346"/>
      <c r="C122" s="347"/>
      <c r="D122" s="347" t="s">
        <v>56</v>
      </c>
      <c r="E122" s="348" t="s">
        <v>57</v>
      </c>
      <c r="F122" s="329">
        <f>[91]Source!DN2465</f>
        <v>125</v>
      </c>
      <c r="G122" s="349"/>
      <c r="H122" s="350"/>
      <c r="I122" s="329"/>
      <c r="J122" s="351">
        <f>SUM(Q116:Q121)</f>
        <v>4091.29</v>
      </c>
      <c r="K122" s="329">
        <f>[91]Source!BZ2465</f>
        <v>100</v>
      </c>
      <c r="L122" s="351">
        <f>SUM(R116:R121)</f>
        <v>79305.52</v>
      </c>
    </row>
    <row r="123" spans="1:27" ht="14.25" x14ac:dyDescent="0.2">
      <c r="A123" s="346"/>
      <c r="B123" s="346"/>
      <c r="C123" s="347"/>
      <c r="D123" s="347" t="s">
        <v>58</v>
      </c>
      <c r="E123" s="348" t="s">
        <v>57</v>
      </c>
      <c r="F123" s="329">
        <f>[91]Source!DO2465</f>
        <v>94</v>
      </c>
      <c r="G123" s="349"/>
      <c r="H123" s="350"/>
      <c r="I123" s="329"/>
      <c r="J123" s="351">
        <f>SUM(S116:S122)</f>
        <v>3076.65</v>
      </c>
      <c r="K123" s="329">
        <f>[91]Source!CA2465</f>
        <v>45</v>
      </c>
      <c r="L123" s="351">
        <f>SUM(T116:T122)</f>
        <v>35687.480000000003</v>
      </c>
    </row>
    <row r="124" spans="1:27" ht="14.25" x14ac:dyDescent="0.2">
      <c r="A124" s="346"/>
      <c r="B124" s="346"/>
      <c r="C124" s="347"/>
      <c r="D124" s="347" t="s">
        <v>59</v>
      </c>
      <c r="E124" s="348" t="s">
        <v>57</v>
      </c>
      <c r="F124" s="329">
        <f>175</f>
        <v>175</v>
      </c>
      <c r="G124" s="349"/>
      <c r="H124" s="350"/>
      <c r="I124" s="329"/>
      <c r="J124" s="351">
        <f>SUM(U116:U123)-J130</f>
        <v>25.39</v>
      </c>
      <c r="K124" s="329">
        <f>157</f>
        <v>157</v>
      </c>
      <c r="L124" s="351">
        <f>SUM(V116:V123)-L130</f>
        <v>551.95000000000005</v>
      </c>
    </row>
    <row r="125" spans="1:27" ht="14.25" x14ac:dyDescent="0.2">
      <c r="A125" s="346"/>
      <c r="B125" s="346"/>
      <c r="C125" s="347"/>
      <c r="D125" s="347" t="s">
        <v>60</v>
      </c>
      <c r="E125" s="348" t="s">
        <v>61</v>
      </c>
      <c r="F125" s="329">
        <f>[91]Source!AQ2465</f>
        <v>4.0199999999999996</v>
      </c>
      <c r="G125" s="349"/>
      <c r="H125" s="350" t="str">
        <f>[91]Source!DI2465</f>
        <v>)*1,05</v>
      </c>
      <c r="I125" s="329">
        <f>[91]Source!AV2465</f>
        <v>1.0669999999999999</v>
      </c>
      <c r="J125" s="351">
        <f>[91]Source!U2465</f>
        <v>166.64</v>
      </c>
      <c r="K125" s="329"/>
      <c r="L125" s="351"/>
    </row>
    <row r="126" spans="1:27" ht="15" x14ac:dyDescent="0.25">
      <c r="I126" s="641">
        <f>J118+J119+J121+J122+J123+J124</f>
        <v>11107.91</v>
      </c>
      <c r="J126" s="641"/>
      <c r="K126" s="641">
        <f>L118+L119+L121+L122+L123+L124</f>
        <v>200248.24</v>
      </c>
      <c r="L126" s="641"/>
      <c r="O126" s="353">
        <f>J118+J119+J121+J122+J123+J124</f>
        <v>11107.91</v>
      </c>
      <c r="P126" s="353">
        <f>L118+L119+L121+L122+L123+L124</f>
        <v>200248.24</v>
      </c>
      <c r="X126" s="326">
        <f>IF([91]Source!BI2465&lt;=1,J118+J119+J121+J122+J123+J124-0, 0)</f>
        <v>11107.91</v>
      </c>
      <c r="Y126" s="326">
        <f>IF([91]Source!BI2465=2,J118+J119+J121+J122+J123+J124-0, 0)</f>
        <v>0</v>
      </c>
      <c r="Z126" s="326">
        <f>IF([91]Source!BI2465=3,J118+J119+J121+J122+J123+J124-0, 0)</f>
        <v>0</v>
      </c>
      <c r="AA126" s="326">
        <f>IF([91]Source!BI2465=4,J118+J119+J121+J122+J123+J124,0)</f>
        <v>0</v>
      </c>
    </row>
    <row r="127" spans="1:27" ht="28.5" x14ac:dyDescent="0.2">
      <c r="A127" s="354"/>
      <c r="B127" s="354"/>
      <c r="C127" s="355"/>
      <c r="D127" s="355" t="s">
        <v>62</v>
      </c>
      <c r="E127" s="348"/>
      <c r="F127" s="356"/>
      <c r="G127" s="357"/>
      <c r="H127" s="348"/>
      <c r="I127" s="356"/>
      <c r="J127" s="352"/>
      <c r="K127" s="356"/>
      <c r="L127" s="352"/>
    </row>
    <row r="128" spans="1:27" ht="14.25" x14ac:dyDescent="0.2">
      <c r="A128" s="354"/>
      <c r="B128" s="354"/>
      <c r="C128" s="355"/>
      <c r="D128" s="355" t="s">
        <v>53</v>
      </c>
      <c r="E128" s="348"/>
      <c r="F128" s="356"/>
      <c r="G128" s="357">
        <f t="shared" ref="G128:L128" si="3">G129</f>
        <v>0.35</v>
      </c>
      <c r="H128" s="358" t="str">
        <f t="shared" si="3"/>
        <v>)*(1.67-1)*1.05</v>
      </c>
      <c r="I128" s="356">
        <f t="shared" si="3"/>
        <v>1.0669999999999999</v>
      </c>
      <c r="J128" s="352">
        <f t="shared" si="3"/>
        <v>9.7200000000000006</v>
      </c>
      <c r="K128" s="356">
        <f t="shared" si="3"/>
        <v>24.23</v>
      </c>
      <c r="L128" s="352">
        <f t="shared" si="3"/>
        <v>235.53</v>
      </c>
    </row>
    <row r="129" spans="1:27" ht="14.25" x14ac:dyDescent="0.2">
      <c r="A129" s="354"/>
      <c r="B129" s="354"/>
      <c r="C129" s="355"/>
      <c r="D129" s="355" t="s">
        <v>54</v>
      </c>
      <c r="E129" s="348"/>
      <c r="F129" s="356"/>
      <c r="G129" s="357">
        <f>[91]Source!AN2465</f>
        <v>0.35</v>
      </c>
      <c r="H129" s="358" t="s">
        <v>316</v>
      </c>
      <c r="I129" s="356">
        <f>[91]Source!AV2465</f>
        <v>1.0669999999999999</v>
      </c>
      <c r="J129" s="352">
        <f>ROUND(F116*G129*I129*(1.67-1)*1.05, 2)</f>
        <v>9.7200000000000006</v>
      </c>
      <c r="K129" s="356">
        <f>IF([91]Source!BS2465&lt;&gt; 0, [91]Source!BS2465, 1)</f>
        <v>24.23</v>
      </c>
      <c r="L129" s="352">
        <f>ROUND(F116*G129*I129*(1.67-1)*1.05*K129, 2)</f>
        <v>235.53</v>
      </c>
      <c r="W129" s="326">
        <f>J129</f>
        <v>9.7200000000000006</v>
      </c>
    </row>
    <row r="130" spans="1:27" ht="14.25" x14ac:dyDescent="0.2">
      <c r="A130" s="354"/>
      <c r="B130" s="354"/>
      <c r="C130" s="355"/>
      <c r="D130" s="355" t="s">
        <v>59</v>
      </c>
      <c r="E130" s="348" t="s">
        <v>57</v>
      </c>
      <c r="F130" s="356">
        <f>175</f>
        <v>175</v>
      </c>
      <c r="G130" s="357"/>
      <c r="H130" s="348"/>
      <c r="I130" s="356"/>
      <c r="J130" s="352">
        <f>ROUND(J129*(F130/100), 2)</f>
        <v>17.010000000000002</v>
      </c>
      <c r="K130" s="356">
        <f>157</f>
        <v>157</v>
      </c>
      <c r="L130" s="352">
        <f>ROUND(L129*(K130/100), 2)</f>
        <v>369.78</v>
      </c>
    </row>
    <row r="131" spans="1:27" ht="15" x14ac:dyDescent="0.25">
      <c r="I131" s="641">
        <f>J130+J129</f>
        <v>26.73</v>
      </c>
      <c r="J131" s="641"/>
      <c r="K131" s="641">
        <f>L130+L129</f>
        <v>605.30999999999995</v>
      </c>
      <c r="L131" s="641"/>
      <c r="O131" s="353">
        <f>I131</f>
        <v>26.73</v>
      </c>
      <c r="P131" s="353">
        <f>K131</f>
        <v>605.30999999999995</v>
      </c>
      <c r="X131" s="326">
        <f>IF([91]Source!BI2465&lt;=1,I131, 0)</f>
        <v>26.73</v>
      </c>
      <c r="Y131" s="326">
        <f>IF([91]Source!BI2465=2,I131, 0)</f>
        <v>0</v>
      </c>
      <c r="Z131" s="326">
        <f>IF([91]Source!BI2465=3,I131, 0)</f>
        <v>0</v>
      </c>
      <c r="AA131" s="326">
        <f>IF([91]Source!BI2465=4,I131, 0)</f>
        <v>0</v>
      </c>
    </row>
    <row r="133" spans="1:27" ht="15" x14ac:dyDescent="0.25">
      <c r="A133" s="359"/>
      <c r="B133" s="359"/>
      <c r="C133" s="360"/>
      <c r="D133" s="360" t="s">
        <v>64</v>
      </c>
      <c r="E133" s="361"/>
      <c r="F133" s="362"/>
      <c r="G133" s="363"/>
      <c r="H133" s="364"/>
      <c r="I133" s="641">
        <f>I126+I131</f>
        <v>11134.64</v>
      </c>
      <c r="J133" s="641"/>
      <c r="K133" s="641">
        <f>K126+K131</f>
        <v>200853.55</v>
      </c>
      <c r="L133" s="641"/>
    </row>
    <row r="134" spans="1:27" ht="182.25" x14ac:dyDescent="0.2">
      <c r="A134" s="346">
        <v>9</v>
      </c>
      <c r="B134" s="346" t="str">
        <f>[91]Source!E2467</f>
        <v>340</v>
      </c>
      <c r="C134" s="347" t="str">
        <f>[91]Source!F2467</f>
        <v>МКЭ-33-1005/8-1 от 26.07.2018г.</v>
      </c>
      <c r="D134" s="347" t="s">
        <v>345</v>
      </c>
      <c r="E134" s="348" t="str">
        <f>[91]Source!H2467</f>
        <v>шт.</v>
      </c>
      <c r="F134" s="329">
        <f>[91]Source!I2467</f>
        <v>1</v>
      </c>
      <c r="G134" s="412">
        <f>J134/F134</f>
        <v>2525.16</v>
      </c>
      <c r="H134" s="410">
        <v>1.02</v>
      </c>
      <c r="I134" s="411">
        <v>1</v>
      </c>
      <c r="J134" s="412">
        <f>L134/K134</f>
        <v>2525.16</v>
      </c>
      <c r="K134" s="411">
        <v>5.58</v>
      </c>
      <c r="L134" s="412">
        <f>13814.13*H134*F134</f>
        <v>14090.41</v>
      </c>
      <c r="Q134" s="326">
        <f>ROUND(([91]Source!DN2467/100)*ROUND((ROUND(([91]Source!AF2467*[91]Source!AV2467*[91]Source!I2467),2)),2), 2)</f>
        <v>0</v>
      </c>
      <c r="R134" s="326">
        <f>[91]Source!X2467</f>
        <v>0</v>
      </c>
      <c r="S134" s="326">
        <f>ROUND(([91]Source!DO2467/100)*ROUND((ROUND(([91]Source!AF2467*[91]Source!AV2467*[91]Source!I2467),2)),2), 2)</f>
        <v>0</v>
      </c>
      <c r="T134" s="326">
        <f>[91]Source!Y2467</f>
        <v>0</v>
      </c>
      <c r="U134" s="326">
        <f>ROUND((175/100)*ROUND((ROUND(([91]Source!AE2467*[91]Source!AV2467*[91]Source!I2467),2)),2), 2)</f>
        <v>0</v>
      </c>
      <c r="V134" s="326">
        <f>ROUND((157/100)*ROUND(ROUND((ROUND(([91]Source!AE2467*[91]Source!AV2467*[91]Source!I2467),2)*[91]Source!BS2467),2), 2), 2)</f>
        <v>0</v>
      </c>
    </row>
    <row r="135" spans="1:27" ht="15" x14ac:dyDescent="0.25">
      <c r="A135" s="365"/>
      <c r="B135" s="365"/>
      <c r="C135" s="365"/>
      <c r="D135" s="365"/>
      <c r="E135" s="365"/>
      <c r="F135" s="365"/>
      <c r="G135" s="365"/>
      <c r="H135" s="365"/>
      <c r="I135" s="641">
        <f>J134</f>
        <v>2525.16</v>
      </c>
      <c r="J135" s="641"/>
      <c r="K135" s="641">
        <f>L134</f>
        <v>14090.41</v>
      </c>
      <c r="L135" s="641"/>
      <c r="O135" s="353">
        <f>J134</f>
        <v>2525.16</v>
      </c>
      <c r="P135" s="353">
        <f>L134</f>
        <v>14090.41</v>
      </c>
      <c r="X135" s="326">
        <f>IF([91]Source!BI2467&lt;=1,J134-0, 0)</f>
        <v>2525.16</v>
      </c>
      <c r="Y135" s="326">
        <f>IF([91]Source!BI2467=2,J134-0, 0)</f>
        <v>0</v>
      </c>
      <c r="Z135" s="326">
        <f>IF([91]Source!BI2467=3,J134-0, 0)</f>
        <v>0</v>
      </c>
      <c r="AA135" s="326">
        <f>IF([91]Source!BI2467=4,J134,0)</f>
        <v>0</v>
      </c>
    </row>
    <row r="136" spans="1:27" ht="168" x14ac:dyDescent="0.2">
      <c r="A136" s="346">
        <v>10</v>
      </c>
      <c r="B136" s="346" t="str">
        <f>[91]Source!E2469</f>
        <v>341</v>
      </c>
      <c r="C136" s="347" t="str">
        <f>[91]Source!F2469</f>
        <v>МКЭ-33-1005/8-1 от 26.07.2018г.</v>
      </c>
      <c r="D136" s="347" t="s">
        <v>346</v>
      </c>
      <c r="E136" s="348" t="str">
        <f>[91]Source!H2469</f>
        <v>шт.</v>
      </c>
      <c r="F136" s="329">
        <f>[91]Source!I2469</f>
        <v>6</v>
      </c>
      <c r="G136" s="412">
        <f>J136/F136</f>
        <v>2539.27</v>
      </c>
      <c r="H136" s="410">
        <v>1.02</v>
      </c>
      <c r="I136" s="411">
        <v>1</v>
      </c>
      <c r="J136" s="412">
        <f>L136/K136</f>
        <v>15235.64</v>
      </c>
      <c r="K136" s="411">
        <v>5.58</v>
      </c>
      <c r="L136" s="412">
        <f>13891.32*H136*F136</f>
        <v>85014.88</v>
      </c>
      <c r="Q136" s="326">
        <f>ROUND(([91]Source!DN2469/100)*ROUND((ROUND(([91]Source!AF2469*[91]Source!AV2469*[91]Source!I2469),2)),2), 2)</f>
        <v>0</v>
      </c>
      <c r="R136" s="326">
        <f>[91]Source!X2469</f>
        <v>0</v>
      </c>
      <c r="S136" s="326">
        <f>ROUND(([91]Source!DO2469/100)*ROUND((ROUND(([91]Source!AF2469*[91]Source!AV2469*[91]Source!I2469),2)),2), 2)</f>
        <v>0</v>
      </c>
      <c r="T136" s="326">
        <f>[91]Source!Y2469</f>
        <v>0</v>
      </c>
      <c r="U136" s="326">
        <f>ROUND((175/100)*ROUND((ROUND(([91]Source!AE2469*[91]Source!AV2469*[91]Source!I2469),2)),2), 2)</f>
        <v>0</v>
      </c>
      <c r="V136" s="326">
        <f>ROUND((157/100)*ROUND(ROUND((ROUND(([91]Source!AE2469*[91]Source!AV2469*[91]Source!I2469),2)*[91]Source!BS2469),2), 2), 2)</f>
        <v>0</v>
      </c>
    </row>
    <row r="137" spans="1:27" x14ac:dyDescent="0.2">
      <c r="D137" s="402" t="str">
        <f>"Объем: "&amp;[91]Source!I2469&amp;"=1+"&amp;"5"</f>
        <v>Объем: 6=1+5</v>
      </c>
    </row>
    <row r="138" spans="1:27" ht="15" x14ac:dyDescent="0.25">
      <c r="A138" s="365"/>
      <c r="B138" s="365"/>
      <c r="C138" s="365"/>
      <c r="D138" s="365"/>
      <c r="E138" s="365"/>
      <c r="F138" s="365"/>
      <c r="G138" s="365"/>
      <c r="H138" s="365"/>
      <c r="I138" s="641">
        <f>J136</f>
        <v>15235.64</v>
      </c>
      <c r="J138" s="641"/>
      <c r="K138" s="641">
        <f>L136</f>
        <v>85014.88</v>
      </c>
      <c r="L138" s="641"/>
      <c r="O138" s="353">
        <f>J136</f>
        <v>15235.64</v>
      </c>
      <c r="P138" s="353">
        <f>L136</f>
        <v>85014.88</v>
      </c>
      <c r="X138" s="326">
        <f>IF([91]Source!BI2469&lt;=1,J136-0, 0)</f>
        <v>15235.64</v>
      </c>
      <c r="Y138" s="326">
        <f>IF([91]Source!BI2469=2,J136-0, 0)</f>
        <v>0</v>
      </c>
      <c r="Z138" s="326">
        <f>IF([91]Source!BI2469=3,J136-0, 0)</f>
        <v>0</v>
      </c>
      <c r="AA138" s="326">
        <f>IF([91]Source!BI2469=4,J136,0)</f>
        <v>0</v>
      </c>
    </row>
    <row r="139" spans="1:27" ht="182.25" x14ac:dyDescent="0.2">
      <c r="A139" s="346">
        <v>11</v>
      </c>
      <c r="B139" s="346" t="str">
        <f>[91]Source!E2471</f>
        <v>342</v>
      </c>
      <c r="C139" s="347" t="str">
        <f>[91]Source!F2471</f>
        <v>МКЭ-33-1142/8-1 от 15.08.2018г.</v>
      </c>
      <c r="D139" s="347" t="s">
        <v>347</v>
      </c>
      <c r="E139" s="348" t="str">
        <f>[91]Source!H2471</f>
        <v>шт.</v>
      </c>
      <c r="F139" s="329">
        <f>[91]Source!I2471</f>
        <v>3</v>
      </c>
      <c r="G139" s="412">
        <f>J139/F139</f>
        <v>2637.02</v>
      </c>
      <c r="H139" s="410">
        <v>1.02</v>
      </c>
      <c r="I139" s="411">
        <v>1</v>
      </c>
      <c r="J139" s="412">
        <f>L139/K139</f>
        <v>7911.05</v>
      </c>
      <c r="K139" s="411">
        <v>5.58</v>
      </c>
      <c r="L139" s="412">
        <f>14426.03*H139*F139</f>
        <v>44143.65</v>
      </c>
      <c r="Q139" s="326">
        <f>ROUND(([91]Source!DN2471/100)*ROUND((ROUND(([91]Source!AF2471*[91]Source!AV2471*[91]Source!I2471),2)),2), 2)</f>
        <v>0</v>
      </c>
      <c r="R139" s="326">
        <f>[91]Source!X2471</f>
        <v>0</v>
      </c>
      <c r="S139" s="326">
        <f>ROUND(([91]Source!DO2471/100)*ROUND((ROUND(([91]Source!AF2471*[91]Source!AV2471*[91]Source!I2471),2)),2), 2)</f>
        <v>0</v>
      </c>
      <c r="T139" s="326">
        <f>[91]Source!Y2471</f>
        <v>0</v>
      </c>
      <c r="U139" s="326">
        <f>ROUND((175/100)*ROUND((ROUND(([91]Source!AE2471*[91]Source!AV2471*[91]Source!I2471),2)),2), 2)</f>
        <v>0</v>
      </c>
      <c r="V139" s="326">
        <f>ROUND((157/100)*ROUND(ROUND((ROUND(([91]Source!AE2471*[91]Source!AV2471*[91]Source!I2471),2)*[91]Source!BS2471),2), 2), 2)</f>
        <v>0</v>
      </c>
    </row>
    <row r="140" spans="1:27" x14ac:dyDescent="0.2">
      <c r="D140" s="402" t="str">
        <f>"Объем: "&amp;[91]Source!I2471&amp;"=1+"&amp;"2"</f>
        <v>Объем: 3=1+2</v>
      </c>
    </row>
    <row r="141" spans="1:27" ht="15" x14ac:dyDescent="0.25">
      <c r="A141" s="365"/>
      <c r="B141" s="365"/>
      <c r="C141" s="365"/>
      <c r="D141" s="365"/>
      <c r="E141" s="365"/>
      <c r="F141" s="365"/>
      <c r="G141" s="365"/>
      <c r="H141" s="365"/>
      <c r="I141" s="641">
        <f>J139</f>
        <v>7911.05</v>
      </c>
      <c r="J141" s="641"/>
      <c r="K141" s="641">
        <f>L139</f>
        <v>44143.65</v>
      </c>
      <c r="L141" s="641"/>
      <c r="O141" s="353">
        <f>J139</f>
        <v>7911.05</v>
      </c>
      <c r="P141" s="353">
        <f>L139</f>
        <v>44143.65</v>
      </c>
      <c r="X141" s="326">
        <f>IF([91]Source!BI2471&lt;=1,J139-0, 0)</f>
        <v>7911.05</v>
      </c>
      <c r="Y141" s="326">
        <f>IF([91]Source!BI2471=2,J139-0, 0)</f>
        <v>0</v>
      </c>
      <c r="Z141" s="326">
        <f>IF([91]Source!BI2471=3,J139-0, 0)</f>
        <v>0</v>
      </c>
      <c r="AA141" s="326">
        <f>IF([91]Source!BI2471=4,J139,0)</f>
        <v>0</v>
      </c>
    </row>
    <row r="142" spans="1:27" ht="182.25" x14ac:dyDescent="0.2">
      <c r="A142" s="346">
        <v>12</v>
      </c>
      <c r="B142" s="346" t="str">
        <f>[91]Source!E2473</f>
        <v>343</v>
      </c>
      <c r="C142" s="347" t="str">
        <f>[91]Source!F2473</f>
        <v>МКЭ-33-1005/8-1 от 26.07.2018г.</v>
      </c>
      <c r="D142" s="347" t="s">
        <v>348</v>
      </c>
      <c r="E142" s="348" t="str">
        <f>[91]Source!H2473</f>
        <v>шт.</v>
      </c>
      <c r="F142" s="329">
        <f>[91]Source!I2473</f>
        <v>2</v>
      </c>
      <c r="G142" s="412">
        <f>J142/F142</f>
        <v>2553.38</v>
      </c>
      <c r="H142" s="410">
        <v>1.02</v>
      </c>
      <c r="I142" s="411">
        <v>1</v>
      </c>
      <c r="J142" s="412">
        <f>L142/K142</f>
        <v>5106.76</v>
      </c>
      <c r="K142" s="411">
        <v>5.58</v>
      </c>
      <c r="L142" s="412">
        <f>13968.5*H142*F142</f>
        <v>28495.74</v>
      </c>
      <c r="Q142" s="326">
        <f>ROUND(([91]Source!DN2473/100)*ROUND((ROUND(([91]Source!AF2473*[91]Source!AV2473*[91]Source!I2473),2)),2), 2)</f>
        <v>0</v>
      </c>
      <c r="R142" s="326">
        <f>[91]Source!X2473</f>
        <v>0</v>
      </c>
      <c r="S142" s="326">
        <f>ROUND(([91]Source!DO2473/100)*ROUND((ROUND(([91]Source!AF2473*[91]Source!AV2473*[91]Source!I2473),2)),2), 2)</f>
        <v>0</v>
      </c>
      <c r="T142" s="326">
        <f>[91]Source!Y2473</f>
        <v>0</v>
      </c>
      <c r="U142" s="326">
        <f>ROUND((175/100)*ROUND((ROUND(([91]Source!AE2473*[91]Source!AV2473*[91]Source!I2473),2)),2), 2)</f>
        <v>0</v>
      </c>
      <c r="V142" s="326">
        <f>ROUND((157/100)*ROUND(ROUND((ROUND(([91]Source!AE2473*[91]Source!AV2473*[91]Source!I2473),2)*[91]Source!BS2473),2), 2), 2)</f>
        <v>0</v>
      </c>
    </row>
    <row r="143" spans="1:27" ht="15" x14ac:dyDescent="0.25">
      <c r="A143" s="365"/>
      <c r="B143" s="365"/>
      <c r="C143" s="365"/>
      <c r="D143" s="365"/>
      <c r="E143" s="365"/>
      <c r="F143" s="365"/>
      <c r="G143" s="365"/>
      <c r="H143" s="365"/>
      <c r="I143" s="641">
        <f>J142</f>
        <v>5106.76</v>
      </c>
      <c r="J143" s="641"/>
      <c r="K143" s="641">
        <f>L142</f>
        <v>28495.74</v>
      </c>
      <c r="L143" s="641"/>
      <c r="O143" s="353">
        <f>J142</f>
        <v>5106.76</v>
      </c>
      <c r="P143" s="353">
        <f>L142</f>
        <v>28495.74</v>
      </c>
      <c r="X143" s="326">
        <f>IF([91]Source!BI2473&lt;=1,J142-0, 0)</f>
        <v>5106.76</v>
      </c>
      <c r="Y143" s="326">
        <f>IF([91]Source!BI2473=2,J142-0, 0)</f>
        <v>0</v>
      </c>
      <c r="Z143" s="326">
        <f>IF([91]Source!BI2473=3,J142-0, 0)</f>
        <v>0</v>
      </c>
      <c r="AA143" s="326">
        <f>IF([91]Source!BI2473=4,J142,0)</f>
        <v>0</v>
      </c>
    </row>
    <row r="144" spans="1:27" ht="168" x14ac:dyDescent="0.2">
      <c r="A144" s="346">
        <v>13</v>
      </c>
      <c r="B144" s="346" t="str">
        <f>[91]Source!E2475</f>
        <v>344</v>
      </c>
      <c r="C144" s="347" t="str">
        <f>[91]Source!F2475</f>
        <v>МКЭ-33-1005/8-1 от 26.07.2018г.</v>
      </c>
      <c r="D144" s="347" t="s">
        <v>349</v>
      </c>
      <c r="E144" s="348" t="str">
        <f>[91]Source!H2475</f>
        <v>шт.</v>
      </c>
      <c r="F144" s="329">
        <f>[91]Source!I2475</f>
        <v>2</v>
      </c>
      <c r="G144" s="412">
        <f>J144/F144</f>
        <v>2653.79</v>
      </c>
      <c r="H144" s="410">
        <v>1.02</v>
      </c>
      <c r="I144" s="411">
        <v>1</v>
      </c>
      <c r="J144" s="412">
        <f>L144/K144</f>
        <v>5307.57</v>
      </c>
      <c r="K144" s="411">
        <v>5.58</v>
      </c>
      <c r="L144" s="412">
        <f>14517.77*H144*F144</f>
        <v>29616.25</v>
      </c>
      <c r="Q144" s="326">
        <f>ROUND(([91]Source!DN2475/100)*ROUND((ROUND(([91]Source!AF2475*[91]Source!AV2475*[91]Source!I2475),2)),2), 2)</f>
        <v>0</v>
      </c>
      <c r="R144" s="326">
        <f>[91]Source!X2475</f>
        <v>0</v>
      </c>
      <c r="S144" s="326">
        <f>ROUND(([91]Source!DO2475/100)*ROUND((ROUND(([91]Source!AF2475*[91]Source!AV2475*[91]Source!I2475),2)),2), 2)</f>
        <v>0</v>
      </c>
      <c r="T144" s="326">
        <f>[91]Source!Y2475</f>
        <v>0</v>
      </c>
      <c r="U144" s="326">
        <f>ROUND((175/100)*ROUND((ROUND(([91]Source!AE2475*[91]Source!AV2475*[91]Source!I2475),2)),2), 2)</f>
        <v>0</v>
      </c>
      <c r="V144" s="326">
        <f>ROUND((157/100)*ROUND(ROUND((ROUND(([91]Source!AE2475*[91]Source!AV2475*[91]Source!I2475),2)*[91]Source!BS2475),2), 2), 2)</f>
        <v>0</v>
      </c>
    </row>
    <row r="145" spans="1:27" ht="15" x14ac:dyDescent="0.25">
      <c r="A145" s="365"/>
      <c r="B145" s="365"/>
      <c r="C145" s="365"/>
      <c r="D145" s="365"/>
      <c r="E145" s="365"/>
      <c r="F145" s="365"/>
      <c r="G145" s="365"/>
      <c r="H145" s="365"/>
      <c r="I145" s="641">
        <f>J144</f>
        <v>5307.57</v>
      </c>
      <c r="J145" s="641"/>
      <c r="K145" s="641">
        <f>L144</f>
        <v>29616.25</v>
      </c>
      <c r="L145" s="641"/>
      <c r="O145" s="353">
        <f>J144</f>
        <v>5307.57</v>
      </c>
      <c r="P145" s="353">
        <f>L144</f>
        <v>29616.25</v>
      </c>
      <c r="X145" s="326">
        <f>IF([91]Source!BI2475&lt;=1,J144-0, 0)</f>
        <v>5307.57</v>
      </c>
      <c r="Y145" s="326">
        <f>IF([91]Source!BI2475=2,J144-0, 0)</f>
        <v>0</v>
      </c>
      <c r="Z145" s="326">
        <f>IF([91]Source!BI2475=3,J144-0, 0)</f>
        <v>0</v>
      </c>
      <c r="AA145" s="326">
        <f>IF([91]Source!BI2475=4,J144,0)</f>
        <v>0</v>
      </c>
    </row>
    <row r="146" spans="1:27" ht="253.5" x14ac:dyDescent="0.2">
      <c r="A146" s="346">
        <v>14</v>
      </c>
      <c r="B146" s="346" t="str">
        <f>[91]Source!E2477</f>
        <v>345</v>
      </c>
      <c r="C146" s="347" t="str">
        <f>[91]Source!F2477</f>
        <v>МКЭ-33-1714/7-1 от 14.09.2017г.</v>
      </c>
      <c r="D146" s="347" t="s">
        <v>350</v>
      </c>
      <c r="E146" s="348" t="str">
        <f>[91]Source!H2477</f>
        <v>шт.</v>
      </c>
      <c r="F146" s="329">
        <f>[91]Source!I2477</f>
        <v>1</v>
      </c>
      <c r="G146" s="412">
        <f>J146/F146</f>
        <v>2625.25</v>
      </c>
      <c r="H146" s="410">
        <v>1.02</v>
      </c>
      <c r="I146" s="411">
        <v>1</v>
      </c>
      <c r="J146" s="412">
        <f>L146/K146</f>
        <v>2625.25</v>
      </c>
      <c r="K146" s="411">
        <v>5.58</v>
      </c>
      <c r="L146" s="412">
        <f>14361.64*H146*F146</f>
        <v>14648.87</v>
      </c>
      <c r="Q146" s="326">
        <f>ROUND(([91]Source!DN2477/100)*ROUND((ROUND(([91]Source!AF2477*[91]Source!AV2477*[91]Source!I2477),2)),2), 2)</f>
        <v>0</v>
      </c>
      <c r="R146" s="326">
        <f>[91]Source!X2477</f>
        <v>0</v>
      </c>
      <c r="S146" s="326">
        <f>ROUND(([91]Source!DO2477/100)*ROUND((ROUND(([91]Source!AF2477*[91]Source!AV2477*[91]Source!I2477),2)),2), 2)</f>
        <v>0</v>
      </c>
      <c r="T146" s="326">
        <f>[91]Source!Y2477</f>
        <v>0</v>
      </c>
      <c r="U146" s="326">
        <f>ROUND((175/100)*ROUND((ROUND(([91]Source!AE2477*[91]Source!AV2477*[91]Source!I2477),2)),2), 2)</f>
        <v>0</v>
      </c>
      <c r="V146" s="326">
        <f>ROUND((157/100)*ROUND(ROUND((ROUND(([91]Source!AE2477*[91]Source!AV2477*[91]Source!I2477),2)*[91]Source!BS2477),2), 2), 2)</f>
        <v>0</v>
      </c>
    </row>
    <row r="147" spans="1:27" ht="15" x14ac:dyDescent="0.25">
      <c r="A147" s="365"/>
      <c r="B147" s="365"/>
      <c r="C147" s="365"/>
      <c r="D147" s="365"/>
      <c r="E147" s="365"/>
      <c r="F147" s="365"/>
      <c r="G147" s="365"/>
      <c r="H147" s="365"/>
      <c r="I147" s="641">
        <f>J146</f>
        <v>2625.25</v>
      </c>
      <c r="J147" s="641"/>
      <c r="K147" s="641">
        <f>L146</f>
        <v>14648.87</v>
      </c>
      <c r="L147" s="641"/>
      <c r="O147" s="353">
        <f>J146</f>
        <v>2625.25</v>
      </c>
      <c r="P147" s="353">
        <f>L146</f>
        <v>14648.87</v>
      </c>
      <c r="X147" s="326">
        <f>IF([91]Source!BI2477&lt;=1,J146-0, 0)</f>
        <v>2625.25</v>
      </c>
      <c r="Y147" s="326">
        <f>IF([91]Source!BI2477=2,J146-0, 0)</f>
        <v>0</v>
      </c>
      <c r="Z147" s="326">
        <f>IF([91]Source!BI2477=3,J146-0, 0)</f>
        <v>0</v>
      </c>
      <c r="AA147" s="326">
        <f>IF([91]Source!BI2477=4,J146,0)</f>
        <v>0</v>
      </c>
    </row>
    <row r="148" spans="1:27" ht="239.25" x14ac:dyDescent="0.2">
      <c r="A148" s="346">
        <v>15</v>
      </c>
      <c r="B148" s="346" t="str">
        <f>[91]Source!E2479</f>
        <v>346</v>
      </c>
      <c r="C148" s="347" t="str">
        <f>[91]Source!F2479</f>
        <v>МКЭ-33-2341/7-1 от 28.12.2017г.</v>
      </c>
      <c r="D148" s="347" t="s">
        <v>351</v>
      </c>
      <c r="E148" s="348" t="str">
        <f>[91]Source!H2479</f>
        <v>шт.</v>
      </c>
      <c r="F148" s="329">
        <f>[91]Source!I2479</f>
        <v>3</v>
      </c>
      <c r="G148" s="412">
        <v>2607.35</v>
      </c>
      <c r="H148" s="410">
        <v>1.02</v>
      </c>
      <c r="I148" s="411">
        <v>1</v>
      </c>
      <c r="J148" s="412">
        <v>7822.04</v>
      </c>
      <c r="K148" s="411">
        <v>5.58</v>
      </c>
      <c r="L148" s="412">
        <v>43647.01</v>
      </c>
      <c r="Q148" s="326">
        <f>ROUND(([91]Source!DN2479/100)*ROUND((ROUND(([91]Source!AF2479*[91]Source!AV2479*[91]Source!I2479),2)),2), 2)</f>
        <v>0</v>
      </c>
      <c r="R148" s="326">
        <f>[91]Source!X2479</f>
        <v>0</v>
      </c>
      <c r="S148" s="326">
        <f>ROUND(([91]Source!DO2479/100)*ROUND((ROUND(([91]Source!AF2479*[91]Source!AV2479*[91]Source!I2479),2)),2), 2)</f>
        <v>0</v>
      </c>
      <c r="T148" s="326">
        <f>[91]Source!Y2479</f>
        <v>0</v>
      </c>
      <c r="U148" s="326">
        <f>ROUND((175/100)*ROUND((ROUND(([91]Source!AE2479*[91]Source!AV2479*[91]Source!I2479),2)),2), 2)</f>
        <v>0</v>
      </c>
      <c r="V148" s="326">
        <f>ROUND((157/100)*ROUND(ROUND((ROUND(([91]Source!AE2479*[91]Source!AV2479*[91]Source!I2479),2)*[91]Source!BS2479),2), 2), 2)</f>
        <v>0</v>
      </c>
    </row>
    <row r="149" spans="1:27" x14ac:dyDescent="0.2">
      <c r="D149" s="402" t="str">
        <f>"Объем: "&amp;[91]Source!I2479&amp;"=3+"&amp;"4"</f>
        <v>Объем: 3=3+4</v>
      </c>
    </row>
    <row r="150" spans="1:27" ht="15" x14ac:dyDescent="0.25">
      <c r="A150" s="365"/>
      <c r="B150" s="365"/>
      <c r="C150" s="365"/>
      <c r="D150" s="365"/>
      <c r="E150" s="365"/>
      <c r="F150" s="365"/>
      <c r="G150" s="365"/>
      <c r="H150" s="365"/>
      <c r="I150" s="641">
        <f>J148</f>
        <v>7822.04</v>
      </c>
      <c r="J150" s="641"/>
      <c r="K150" s="641">
        <f>L148</f>
        <v>43647.01</v>
      </c>
      <c r="L150" s="641"/>
      <c r="O150" s="353">
        <f>J148</f>
        <v>7822.04</v>
      </c>
      <c r="P150" s="353">
        <f>L148</f>
        <v>43647.01</v>
      </c>
      <c r="X150" s="326">
        <f>IF([91]Source!BI2479&lt;=1,J148-0, 0)</f>
        <v>7822.04</v>
      </c>
      <c r="Y150" s="326">
        <f>IF([91]Source!BI2479=2,J148-0, 0)</f>
        <v>0</v>
      </c>
      <c r="Z150" s="326">
        <f>IF([91]Source!BI2479=3,J148-0, 0)</f>
        <v>0</v>
      </c>
      <c r="AA150" s="326">
        <f>IF([91]Source!BI2479=4,J148,0)</f>
        <v>0</v>
      </c>
    </row>
    <row r="151" spans="1:27" ht="125.25" x14ac:dyDescent="0.2">
      <c r="A151" s="346">
        <v>16</v>
      </c>
      <c r="B151" s="346" t="str">
        <f>[91]Source!E2481</f>
        <v>347</v>
      </c>
      <c r="C151" s="347" t="str">
        <f>[91]Source!F2481</f>
        <v>МКЭ-28-2762/6-7  20.04.2017</v>
      </c>
      <c r="D151" s="347" t="s">
        <v>352</v>
      </c>
      <c r="E151" s="348" t="str">
        <f>[91]Source!H2481</f>
        <v>шт.</v>
      </c>
      <c r="F151" s="329">
        <f>[91]Source!I2481</f>
        <v>1</v>
      </c>
      <c r="G151" s="412">
        <f>J151/F151</f>
        <v>2489.2800000000002</v>
      </c>
      <c r="H151" s="410">
        <v>1.02</v>
      </c>
      <c r="I151" s="411">
        <v>1</v>
      </c>
      <c r="J151" s="412">
        <f>L151/K151</f>
        <v>2489.2800000000002</v>
      </c>
      <c r="K151" s="411">
        <v>5.58</v>
      </c>
      <c r="L151" s="412">
        <f>13617.8*H151*F151</f>
        <v>13890.16</v>
      </c>
      <c r="Q151" s="326">
        <f>ROUND(([91]Source!DN2481/100)*ROUND((ROUND(([91]Source!AF2481*[91]Source!AV2481*[91]Source!I2481),2)),2), 2)</f>
        <v>0</v>
      </c>
      <c r="R151" s="326">
        <f>[91]Source!X2481</f>
        <v>0</v>
      </c>
      <c r="S151" s="326">
        <f>ROUND(([91]Source!DO2481/100)*ROUND((ROUND(([91]Source!AF2481*[91]Source!AV2481*[91]Source!I2481),2)),2), 2)</f>
        <v>0</v>
      </c>
      <c r="T151" s="326">
        <f>[91]Source!Y2481</f>
        <v>0</v>
      </c>
      <c r="U151" s="326">
        <f>ROUND((175/100)*ROUND((ROUND(([91]Source!AE2481*[91]Source!AV2481*[91]Source!I2481),2)),2), 2)</f>
        <v>0</v>
      </c>
      <c r="V151" s="326">
        <f>ROUND((157/100)*ROUND(ROUND((ROUND(([91]Source!AE2481*[91]Source!AV2481*[91]Source!I2481),2)*[91]Source!BS2481),2), 2), 2)</f>
        <v>0</v>
      </c>
    </row>
    <row r="152" spans="1:27" ht="15" x14ac:dyDescent="0.25">
      <c r="A152" s="365"/>
      <c r="B152" s="365"/>
      <c r="C152" s="365"/>
      <c r="D152" s="365"/>
      <c r="E152" s="365"/>
      <c r="F152" s="365"/>
      <c r="G152" s="365"/>
      <c r="H152" s="365"/>
      <c r="I152" s="641">
        <f>J151</f>
        <v>2489.2800000000002</v>
      </c>
      <c r="J152" s="641"/>
      <c r="K152" s="641">
        <f>L151</f>
        <v>13890.16</v>
      </c>
      <c r="L152" s="641"/>
      <c r="O152" s="353">
        <f>J151</f>
        <v>2489.2800000000002</v>
      </c>
      <c r="P152" s="353">
        <f>L151</f>
        <v>13890.16</v>
      </c>
      <c r="X152" s="326">
        <f>IF([91]Source!BI2481&lt;=1,J151-0, 0)</f>
        <v>2489.2800000000002</v>
      </c>
      <c r="Y152" s="326">
        <f>IF([91]Source!BI2481=2,J151-0, 0)</f>
        <v>0</v>
      </c>
      <c r="Z152" s="326">
        <f>IF([91]Source!BI2481=3,J151-0, 0)</f>
        <v>0</v>
      </c>
      <c r="AA152" s="326">
        <f>IF([91]Source!BI2481=4,J151,0)</f>
        <v>0</v>
      </c>
    </row>
    <row r="153" spans="1:27" ht="168" x14ac:dyDescent="0.2">
      <c r="A153" s="346">
        <v>17</v>
      </c>
      <c r="B153" s="346" t="str">
        <f>[91]Source!E2483</f>
        <v>348</v>
      </c>
      <c r="C153" s="347" t="str">
        <f>[91]Source!F2483</f>
        <v>МКЭ-33-1005/8-1 от 26.07.2018г.</v>
      </c>
      <c r="D153" s="347" t="s">
        <v>353</v>
      </c>
      <c r="E153" s="348" t="str">
        <f>[91]Source!H2483</f>
        <v>шт.</v>
      </c>
      <c r="F153" s="329">
        <f>[91]Source!I2483</f>
        <v>4</v>
      </c>
      <c r="G153" s="412">
        <f>J153/F153</f>
        <v>2696.12</v>
      </c>
      <c r="H153" s="410">
        <v>1.02</v>
      </c>
      <c r="I153" s="411">
        <v>1</v>
      </c>
      <c r="J153" s="412">
        <f>L153/K153</f>
        <v>10784.46</v>
      </c>
      <c r="K153" s="411">
        <v>5.58</v>
      </c>
      <c r="L153" s="412">
        <f>14749.33*H153*F153</f>
        <v>60177.27</v>
      </c>
      <c r="Q153" s="326">
        <f>ROUND(([91]Source!DN2483/100)*ROUND((ROUND(([91]Source!AF2483*[91]Source!AV2483*[91]Source!I2483),2)),2), 2)</f>
        <v>0</v>
      </c>
      <c r="R153" s="326">
        <f>[91]Source!X2483</f>
        <v>0</v>
      </c>
      <c r="S153" s="326">
        <f>ROUND(([91]Source!DO2483/100)*ROUND((ROUND(([91]Source!AF2483*[91]Source!AV2483*[91]Source!I2483),2)),2), 2)</f>
        <v>0</v>
      </c>
      <c r="T153" s="326">
        <f>[91]Source!Y2483</f>
        <v>0</v>
      </c>
      <c r="U153" s="326">
        <f>ROUND((175/100)*ROUND((ROUND(([91]Source!AE2483*[91]Source!AV2483*[91]Source!I2483),2)),2), 2)</f>
        <v>0</v>
      </c>
      <c r="V153" s="326">
        <f>ROUND((157/100)*ROUND(ROUND((ROUND(([91]Source!AE2483*[91]Source!AV2483*[91]Source!I2483),2)*[91]Source!BS2483),2), 2), 2)</f>
        <v>0</v>
      </c>
    </row>
    <row r="154" spans="1:27" ht="15" x14ac:dyDescent="0.25">
      <c r="A154" s="365"/>
      <c r="B154" s="365"/>
      <c r="C154" s="365"/>
      <c r="D154" s="365"/>
      <c r="E154" s="365"/>
      <c r="F154" s="365"/>
      <c r="G154" s="365"/>
      <c r="H154" s="365"/>
      <c r="I154" s="641">
        <f>J153</f>
        <v>10784.46</v>
      </c>
      <c r="J154" s="641"/>
      <c r="K154" s="641">
        <f>L153</f>
        <v>60177.27</v>
      </c>
      <c r="L154" s="641"/>
      <c r="O154" s="353">
        <f>J153</f>
        <v>10784.46</v>
      </c>
      <c r="P154" s="353">
        <f>L153</f>
        <v>60177.27</v>
      </c>
      <c r="X154" s="326">
        <f>IF([91]Source!BI2483&lt;=1,J153-0, 0)</f>
        <v>10784.46</v>
      </c>
      <c r="Y154" s="326">
        <f>IF([91]Source!BI2483=2,J153-0, 0)</f>
        <v>0</v>
      </c>
      <c r="Z154" s="326">
        <f>IF([91]Source!BI2483=3,J153-0, 0)</f>
        <v>0</v>
      </c>
      <c r="AA154" s="326">
        <f>IF([91]Source!BI2483=4,J153,0)</f>
        <v>0</v>
      </c>
    </row>
    <row r="155" spans="1:27" ht="168" x14ac:dyDescent="0.2">
      <c r="A155" s="346">
        <v>18</v>
      </c>
      <c r="B155" s="346" t="str">
        <f>[91]Source!E2487</f>
        <v>350</v>
      </c>
      <c r="C155" s="347" t="str">
        <f>[91]Source!F2487</f>
        <v>МКЭ-33-1005/8-1 от 26.07.2018г.</v>
      </c>
      <c r="D155" s="347" t="s">
        <v>354</v>
      </c>
      <c r="E155" s="348" t="str">
        <f>[91]Source!H2487</f>
        <v>шт.</v>
      </c>
      <c r="F155" s="329">
        <f>[91]Source!I2487</f>
        <v>6</v>
      </c>
      <c r="G155" s="412">
        <f>J155/F155</f>
        <v>2696.11</v>
      </c>
      <c r="H155" s="410">
        <v>1.02</v>
      </c>
      <c r="I155" s="411">
        <v>1</v>
      </c>
      <c r="J155" s="412">
        <f>L155/K155</f>
        <v>16176.68</v>
      </c>
      <c r="K155" s="411">
        <v>5.58</v>
      </c>
      <c r="L155" s="412">
        <f>14749.33*H155*F155</f>
        <v>90265.9</v>
      </c>
      <c r="Q155" s="326">
        <f>ROUND(([91]Source!DN2487/100)*ROUND((ROUND(([91]Source!AF2487*[91]Source!AV2487*[91]Source!I2487),2)),2), 2)</f>
        <v>0</v>
      </c>
      <c r="R155" s="326">
        <f>[91]Source!X2487</f>
        <v>0</v>
      </c>
      <c r="S155" s="326">
        <f>ROUND(([91]Source!DO2487/100)*ROUND((ROUND(([91]Source!AF2487*[91]Source!AV2487*[91]Source!I2487),2)),2), 2)</f>
        <v>0</v>
      </c>
      <c r="T155" s="326">
        <f>[91]Source!Y2487</f>
        <v>0</v>
      </c>
      <c r="U155" s="326">
        <f>ROUND((175/100)*ROUND((ROUND(([91]Source!AE2487*[91]Source!AV2487*[91]Source!I2487),2)),2), 2)</f>
        <v>0</v>
      </c>
      <c r="V155" s="326">
        <f>ROUND((157/100)*ROUND(ROUND((ROUND(([91]Source!AE2487*[91]Source!AV2487*[91]Source!I2487),2)*[91]Source!BS2487),2), 2), 2)</f>
        <v>0</v>
      </c>
    </row>
    <row r="156" spans="1:27" x14ac:dyDescent="0.2">
      <c r="D156" s="402" t="str">
        <f>"Объем: "&amp;[91]Source!I2487&amp;"=2+"&amp;"2+"&amp;"2"</f>
        <v>Объем: 6=2+2+2</v>
      </c>
    </row>
    <row r="157" spans="1:27" ht="15" x14ac:dyDescent="0.25">
      <c r="A157" s="365"/>
      <c r="B157" s="365"/>
      <c r="C157" s="365"/>
      <c r="D157" s="365"/>
      <c r="E157" s="365"/>
      <c r="F157" s="365"/>
      <c r="G157" s="365"/>
      <c r="H157" s="365"/>
      <c r="I157" s="641">
        <f>J155</f>
        <v>16176.68</v>
      </c>
      <c r="J157" s="641"/>
      <c r="K157" s="641">
        <f>L155</f>
        <v>90265.9</v>
      </c>
      <c r="L157" s="641"/>
      <c r="O157" s="353">
        <f>J155</f>
        <v>16176.68</v>
      </c>
      <c r="P157" s="353">
        <f>L155</f>
        <v>90265.9</v>
      </c>
      <c r="X157" s="326">
        <f>IF([91]Source!BI2487&lt;=1,J155-0, 0)</f>
        <v>16176.68</v>
      </c>
      <c r="Y157" s="326">
        <f>IF([91]Source!BI2487=2,J155-0, 0)</f>
        <v>0</v>
      </c>
      <c r="Z157" s="326">
        <f>IF([91]Source!BI2487=3,J155-0, 0)</f>
        <v>0</v>
      </c>
      <c r="AA157" s="326">
        <f>IF([91]Source!BI2487=4,J155,0)</f>
        <v>0</v>
      </c>
    </row>
    <row r="158" spans="1:27" ht="168" x14ac:dyDescent="0.2">
      <c r="A158" s="346">
        <v>19</v>
      </c>
      <c r="B158" s="346" t="str">
        <f>[91]Source!E2495</f>
        <v>354</v>
      </c>
      <c r="C158" s="347" t="str">
        <f>[91]Source!F2495</f>
        <v>МКЭ-33-1005/8-1 от 26.07.2018г.</v>
      </c>
      <c r="D158" s="347" t="s">
        <v>355</v>
      </c>
      <c r="E158" s="348" t="str">
        <f>[91]Source!H2495</f>
        <v>шт.</v>
      </c>
      <c r="F158" s="329">
        <f>[91]Source!I2495</f>
        <v>1</v>
      </c>
      <c r="G158" s="412">
        <f>J158/F158</f>
        <v>2749.89</v>
      </c>
      <c r="H158" s="410">
        <v>1.02</v>
      </c>
      <c r="I158" s="411">
        <v>1</v>
      </c>
      <c r="J158" s="412">
        <f>L158/K158</f>
        <v>2749.89</v>
      </c>
      <c r="K158" s="411">
        <v>5.58</v>
      </c>
      <c r="L158" s="412">
        <f>15043.53*H158*F158</f>
        <v>15344.4</v>
      </c>
      <c r="Q158" s="326">
        <f>ROUND(([91]Source!DN2495/100)*ROUND((ROUND(([91]Source!AF2495*[91]Source!AV2495*[91]Source!I2495),2)),2), 2)</f>
        <v>0</v>
      </c>
      <c r="R158" s="326">
        <f>[91]Source!X2495</f>
        <v>0</v>
      </c>
      <c r="S158" s="326">
        <f>ROUND(([91]Source!DO2495/100)*ROUND((ROUND(([91]Source!AF2495*[91]Source!AV2495*[91]Source!I2495),2)),2), 2)</f>
        <v>0</v>
      </c>
      <c r="T158" s="326">
        <f>[91]Source!Y2495</f>
        <v>0</v>
      </c>
      <c r="U158" s="326">
        <f>ROUND((175/100)*ROUND((ROUND(([91]Source!AE2495*[91]Source!AV2495*[91]Source!I2495),2)),2), 2)</f>
        <v>0</v>
      </c>
      <c r="V158" s="326">
        <f>ROUND((157/100)*ROUND(ROUND((ROUND(([91]Source!AE2495*[91]Source!AV2495*[91]Source!I2495),2)*[91]Source!BS2495),2), 2), 2)</f>
        <v>0</v>
      </c>
    </row>
    <row r="159" spans="1:27" ht="15" x14ac:dyDescent="0.25">
      <c r="A159" s="365"/>
      <c r="B159" s="365"/>
      <c r="C159" s="365"/>
      <c r="D159" s="365"/>
      <c r="E159" s="365"/>
      <c r="F159" s="365"/>
      <c r="G159" s="365"/>
      <c r="H159" s="365"/>
      <c r="I159" s="641">
        <f>J158</f>
        <v>2749.89</v>
      </c>
      <c r="J159" s="641"/>
      <c r="K159" s="641">
        <f>L158</f>
        <v>15344.4</v>
      </c>
      <c r="L159" s="641"/>
      <c r="O159" s="353">
        <f>J158</f>
        <v>2749.89</v>
      </c>
      <c r="P159" s="353">
        <f>L158</f>
        <v>15344.4</v>
      </c>
      <c r="X159" s="326">
        <f>IF([91]Source!BI2495&lt;=1,J158-0, 0)</f>
        <v>2749.89</v>
      </c>
      <c r="Y159" s="326">
        <f>IF([91]Source!BI2495=2,J158-0, 0)</f>
        <v>0</v>
      </c>
      <c r="Z159" s="326">
        <f>IF([91]Source!BI2495=3,J158-0, 0)</f>
        <v>0</v>
      </c>
      <c r="AA159" s="326">
        <f>IF([91]Source!BI2495=4,J158,0)</f>
        <v>0</v>
      </c>
    </row>
    <row r="160" spans="1:27" ht="125.25" x14ac:dyDescent="0.2">
      <c r="A160" s="346">
        <v>20</v>
      </c>
      <c r="B160" s="346" t="str">
        <f>[91]Source!E2497</f>
        <v>355</v>
      </c>
      <c r="C160" s="347" t="str">
        <f>[91]Source!F2497</f>
        <v>МКЭ-28-2762/6-7 от 20.04.2017г.</v>
      </c>
      <c r="D160" s="347" t="s">
        <v>356</v>
      </c>
      <c r="E160" s="348" t="str">
        <f>[91]Source!H2497</f>
        <v>шт.</v>
      </c>
      <c r="F160" s="329">
        <f>[91]Source!I2497</f>
        <v>4</v>
      </c>
      <c r="G160" s="412">
        <f>J160/F160</f>
        <v>2559.5100000000002</v>
      </c>
      <c r="H160" s="410">
        <v>1.02</v>
      </c>
      <c r="I160" s="411">
        <v>1</v>
      </c>
      <c r="J160" s="412">
        <f>L160/K160</f>
        <v>10238.02</v>
      </c>
      <c r="K160" s="411">
        <v>5.58</v>
      </c>
      <c r="L160" s="412">
        <f>14002*H160*F160</f>
        <v>57128.160000000003</v>
      </c>
      <c r="Q160" s="326">
        <f>ROUND(([91]Source!DN2497/100)*ROUND((ROUND(([91]Source!AF2497*[91]Source!AV2497*[91]Source!I2497),2)),2), 2)</f>
        <v>0</v>
      </c>
      <c r="R160" s="326">
        <f>[91]Source!X2497</f>
        <v>0</v>
      </c>
      <c r="S160" s="326">
        <f>ROUND(([91]Source!DO2497/100)*ROUND((ROUND(([91]Source!AF2497*[91]Source!AV2497*[91]Source!I2497),2)),2), 2)</f>
        <v>0</v>
      </c>
      <c r="T160" s="326">
        <f>[91]Source!Y2497</f>
        <v>0</v>
      </c>
      <c r="U160" s="326">
        <f>ROUND((175/100)*ROUND((ROUND(([91]Source!AE2497*[91]Source!AV2497*[91]Source!I2497),2)),2), 2)</f>
        <v>0</v>
      </c>
      <c r="V160" s="326">
        <f>ROUND((157/100)*ROUND(ROUND((ROUND(([91]Source!AE2497*[91]Source!AV2497*[91]Source!I2497),2)*[91]Source!BS2497),2), 2), 2)</f>
        <v>0</v>
      </c>
    </row>
    <row r="161" spans="1:27" ht="15" x14ac:dyDescent="0.25">
      <c r="A161" s="365"/>
      <c r="B161" s="365"/>
      <c r="C161" s="365"/>
      <c r="D161" s="365"/>
      <c r="E161" s="365"/>
      <c r="F161" s="365"/>
      <c r="G161" s="365"/>
      <c r="H161" s="365"/>
      <c r="I161" s="641">
        <f>J160</f>
        <v>10238.02</v>
      </c>
      <c r="J161" s="641"/>
      <c r="K161" s="641">
        <f>L160</f>
        <v>57128.160000000003</v>
      </c>
      <c r="L161" s="641"/>
      <c r="O161" s="353">
        <f>J160</f>
        <v>10238.02</v>
      </c>
      <c r="P161" s="353">
        <f>L160</f>
        <v>57128.160000000003</v>
      </c>
      <c r="X161" s="326">
        <f>IF([91]Source!BI2497&lt;=1,J160-0, 0)</f>
        <v>10238.02</v>
      </c>
      <c r="Y161" s="326">
        <f>IF([91]Source!BI2497=2,J160-0, 0)</f>
        <v>0</v>
      </c>
      <c r="Z161" s="326">
        <f>IF([91]Source!BI2497=3,J160-0, 0)</f>
        <v>0</v>
      </c>
      <c r="AA161" s="326">
        <f>IF([91]Source!BI2497=4,J160,0)</f>
        <v>0</v>
      </c>
    </row>
    <row r="162" spans="1:27" ht="168" x14ac:dyDescent="0.2">
      <c r="A162" s="346">
        <v>21</v>
      </c>
      <c r="B162" s="346" t="str">
        <f>[91]Source!E2505</f>
        <v>359</v>
      </c>
      <c r="C162" s="347" t="str">
        <f>[91]Source!F2505</f>
        <v>МКЭ-33-1005/8-1  26.07.2018</v>
      </c>
      <c r="D162" s="347" t="s">
        <v>357</v>
      </c>
      <c r="E162" s="348" t="str">
        <f>[91]Source!H2505</f>
        <v>шт.</v>
      </c>
      <c r="F162" s="329">
        <f>[91]Source!I2505</f>
        <v>2</v>
      </c>
      <c r="G162" s="412">
        <f>J162/F162</f>
        <v>2761.14</v>
      </c>
      <c r="H162" s="410">
        <v>1.02</v>
      </c>
      <c r="I162" s="411">
        <v>1</v>
      </c>
      <c r="J162" s="412">
        <f>L162/K162</f>
        <v>5522.28</v>
      </c>
      <c r="K162" s="411">
        <v>5.58</v>
      </c>
      <c r="L162" s="412">
        <f>15105.05*H162*F162</f>
        <v>30814.3</v>
      </c>
      <c r="Q162" s="326">
        <f>ROUND(([91]Source!DN2505/100)*ROUND((ROUND(([91]Source!AF2505*[91]Source!AV2505*[91]Source!I2505),2)),2), 2)</f>
        <v>0</v>
      </c>
      <c r="R162" s="326">
        <f>[91]Source!X2505</f>
        <v>0</v>
      </c>
      <c r="S162" s="326">
        <f>ROUND(([91]Source!DO2505/100)*ROUND((ROUND(([91]Source!AF2505*[91]Source!AV2505*[91]Source!I2505),2)),2), 2)</f>
        <v>0</v>
      </c>
      <c r="T162" s="326">
        <f>[91]Source!Y2505</f>
        <v>0</v>
      </c>
      <c r="U162" s="326">
        <f>ROUND((175/100)*ROUND((ROUND(([91]Source!AE2505*[91]Source!AV2505*[91]Source!I2505),2)),2), 2)</f>
        <v>0</v>
      </c>
      <c r="V162" s="326">
        <f>ROUND((157/100)*ROUND(ROUND((ROUND(([91]Source!AE2505*[91]Source!AV2505*[91]Source!I2505),2)*[91]Source!BS2505),2), 2), 2)</f>
        <v>0</v>
      </c>
    </row>
    <row r="163" spans="1:27" ht="15" x14ac:dyDescent="0.25">
      <c r="A163" s="365"/>
      <c r="B163" s="365"/>
      <c r="C163" s="365"/>
      <c r="D163" s="365"/>
      <c r="E163" s="365"/>
      <c r="F163" s="365"/>
      <c r="G163" s="365"/>
      <c r="H163" s="365"/>
      <c r="I163" s="641">
        <f>J162</f>
        <v>5522.28</v>
      </c>
      <c r="J163" s="641"/>
      <c r="K163" s="641">
        <f>L162</f>
        <v>30814.3</v>
      </c>
      <c r="L163" s="641"/>
      <c r="O163" s="353">
        <f>J162</f>
        <v>5522.28</v>
      </c>
      <c r="P163" s="353">
        <f>L162</f>
        <v>30814.3</v>
      </c>
      <c r="X163" s="326">
        <f>IF([91]Source!BI2505&lt;=1,J162-0, 0)</f>
        <v>5522.28</v>
      </c>
      <c r="Y163" s="326">
        <f>IF([91]Source!BI2505=2,J162-0, 0)</f>
        <v>0</v>
      </c>
      <c r="Z163" s="326">
        <f>IF([91]Source!BI2505=3,J162-0, 0)</f>
        <v>0</v>
      </c>
      <c r="AA163" s="326">
        <f>IF([91]Source!BI2505=4,J162,0)</f>
        <v>0</v>
      </c>
    </row>
    <row r="164" spans="1:27" ht="116.25" x14ac:dyDescent="0.2">
      <c r="A164" s="346">
        <v>22</v>
      </c>
      <c r="B164" s="346" t="str">
        <f>[91]Source!E2555</f>
        <v>384</v>
      </c>
      <c r="C164" s="347" t="s">
        <v>344</v>
      </c>
      <c r="D164" s="347" t="s">
        <v>315</v>
      </c>
      <c r="E164" s="348" t="str">
        <f>[91]Source!H2555</f>
        <v>1 клапан</v>
      </c>
      <c r="F164" s="329">
        <f>[91]Source!I2555</f>
        <v>13</v>
      </c>
      <c r="G164" s="349"/>
      <c r="H164" s="350"/>
      <c r="I164" s="329"/>
      <c r="J164" s="351"/>
      <c r="K164" s="329"/>
      <c r="L164" s="351"/>
      <c r="Q164" s="326">
        <f>ROUND(([91]Source!DN2555/100)*ROUND((ROUND(([91]Source!AF2555*[91]Source!AV2555*[91]Source!I2555),2)),2), 2)</f>
        <v>1437.48</v>
      </c>
      <c r="R164" s="326">
        <f>[91]Source!X2555</f>
        <v>27864.02</v>
      </c>
      <c r="S164" s="326">
        <f>ROUND(([91]Source!DO2555/100)*ROUND((ROUND(([91]Source!AF2555*[91]Source!AV2555*[91]Source!I2555),2)),2), 2)</f>
        <v>1080.98</v>
      </c>
      <c r="T164" s="326">
        <f>[91]Source!Y2555</f>
        <v>12538.81</v>
      </c>
      <c r="U164" s="326">
        <f>ROUND((175/100)*ROUND((ROUND(([91]Source!AE2555*[91]Source!AV2555*[91]Source!I2555),2)),2), 2)</f>
        <v>14.89</v>
      </c>
      <c r="V164" s="326">
        <f>ROUND((157/100)*ROUND(ROUND((ROUND(([91]Source!AE2555*[91]Source!AV2555*[91]Source!I2555),2)*[91]Source!BS2555),2), 2), 2)</f>
        <v>323.73</v>
      </c>
    </row>
    <row r="165" spans="1:27" x14ac:dyDescent="0.2">
      <c r="D165" s="402" t="str">
        <f>"Объем: "&amp;[91]Source!I2555&amp;"=8+"&amp;"5"</f>
        <v>Объем: 13=8+5</v>
      </c>
    </row>
    <row r="166" spans="1:27" ht="14.25" x14ac:dyDescent="0.2">
      <c r="A166" s="346"/>
      <c r="B166" s="346"/>
      <c r="C166" s="347"/>
      <c r="D166" s="347" t="s">
        <v>52</v>
      </c>
      <c r="E166" s="348"/>
      <c r="F166" s="329"/>
      <c r="G166" s="349">
        <f>[91]Source!AO2555</f>
        <v>47.28</v>
      </c>
      <c r="H166" s="350" t="str">
        <f>[91]Source!DG2555</f>
        <v>)*1,05)*1,67</v>
      </c>
      <c r="I166" s="329">
        <f>[91]Source!AV2555</f>
        <v>1.0669999999999999</v>
      </c>
      <c r="J166" s="351">
        <f>ROUND((ROUND(([91]Source!AF2555*[91]Source!AV2555*[91]Source!I2555),2)),2)</f>
        <v>1149.98</v>
      </c>
      <c r="K166" s="329">
        <f>IF([91]Source!BA2555&lt;&gt; 0, [91]Source!BA2555, 1)</f>
        <v>24.23</v>
      </c>
      <c r="L166" s="351">
        <f>[91]Source!S2555</f>
        <v>27864.02</v>
      </c>
      <c r="W166" s="326">
        <f>J166</f>
        <v>1149.98</v>
      </c>
    </row>
    <row r="167" spans="1:27" ht="14.25" x14ac:dyDescent="0.2">
      <c r="A167" s="346"/>
      <c r="B167" s="346"/>
      <c r="C167" s="347"/>
      <c r="D167" s="347" t="s">
        <v>53</v>
      </c>
      <c r="E167" s="348"/>
      <c r="F167" s="329"/>
      <c r="G167" s="349">
        <f>[91]Source!AM2555</f>
        <v>1.49</v>
      </c>
      <c r="H167" s="350" t="str">
        <f>[91]Source!DE2555</f>
        <v>)*1,05</v>
      </c>
      <c r="I167" s="329">
        <f>[91]Source!AV2555</f>
        <v>1.0669999999999999</v>
      </c>
      <c r="J167" s="351">
        <f>(ROUND((ROUND(((([91]Source!ET2555*1.05))*[91]Source!AV2555*[91]Source!I2555),2)),2)+ROUND((ROUND((([91]Source!AE2555-(([91]Source!EU2555*1.05)))*[91]Source!AV2555*[91]Source!I2555),2)),2))-J180</f>
        <v>21.7</v>
      </c>
      <c r="K167" s="329">
        <f>IF([91]Source!BB2555&lt;&gt; 0, [91]Source!BB2555, 1)</f>
        <v>9.9499999999999993</v>
      </c>
      <c r="L167" s="351">
        <f>[91]Source!Q2555-L180</f>
        <v>216.04</v>
      </c>
    </row>
    <row r="168" spans="1:27" ht="14.25" x14ac:dyDescent="0.2">
      <c r="A168" s="346"/>
      <c r="B168" s="346"/>
      <c r="C168" s="347"/>
      <c r="D168" s="347" t="s">
        <v>54</v>
      </c>
      <c r="E168" s="348"/>
      <c r="F168" s="329"/>
      <c r="G168" s="349">
        <f>[91]Source!AN2555</f>
        <v>0.35</v>
      </c>
      <c r="H168" s="350" t="str">
        <f>[91]Source!DE2555</f>
        <v>)*1,05</v>
      </c>
      <c r="I168" s="329">
        <f>[91]Source!AV2555</f>
        <v>1.0669999999999999</v>
      </c>
      <c r="J168" s="352">
        <f>ROUND((ROUND(([91]Source!AE2555*[91]Source!AV2555*[91]Source!I2555),2)),2)-J181</f>
        <v>5.09</v>
      </c>
      <c r="K168" s="329">
        <f>IF([91]Source!BS2555&lt;&gt; 0, [91]Source!BS2555, 1)</f>
        <v>24.23</v>
      </c>
      <c r="L168" s="352">
        <f>[91]Source!R2555-L181</f>
        <v>123.45</v>
      </c>
      <c r="W168" s="326">
        <f>J168</f>
        <v>5.09</v>
      </c>
    </row>
    <row r="169" spans="1:27" ht="14.25" x14ac:dyDescent="0.2">
      <c r="A169" s="346"/>
      <c r="B169" s="346"/>
      <c r="C169" s="347"/>
      <c r="D169" s="347" t="s">
        <v>55</v>
      </c>
      <c r="E169" s="348"/>
      <c r="F169" s="329"/>
      <c r="G169" s="349">
        <f>[91]Source!AL2555</f>
        <v>15.67</v>
      </c>
      <c r="H169" s="350">
        <f>[91]Source!DD2555</f>
        <v>0</v>
      </c>
      <c r="I169" s="329">
        <f>[91]Source!AW2555</f>
        <v>1</v>
      </c>
      <c r="J169" s="351">
        <f>ROUND((ROUND(([91]Source!AC2555*[91]Source!AW2555*[91]Source!I2555),2)),2)</f>
        <v>203.71</v>
      </c>
      <c r="K169" s="329">
        <f>IF([91]Source!BC2555&lt;&gt; 0, [91]Source!BC2555, 1)</f>
        <v>8.25</v>
      </c>
      <c r="L169" s="351">
        <f>[91]Source!P2555</f>
        <v>1680.61</v>
      </c>
    </row>
    <row r="170" spans="1:27" ht="210.75" x14ac:dyDescent="0.2">
      <c r="A170" s="346">
        <v>23</v>
      </c>
      <c r="B170" s="346" t="str">
        <f>[91]Source!E2557</f>
        <v>384,1</v>
      </c>
      <c r="C170" s="347" t="str">
        <f>[91]Source!F2557</f>
        <v>МКЭ-28-1466/6-1  14.06.2016</v>
      </c>
      <c r="D170" s="347" t="s">
        <v>358</v>
      </c>
      <c r="E170" s="348" t="str">
        <f>[91]Source!H2557</f>
        <v>шт.</v>
      </c>
      <c r="F170" s="329">
        <f>[91]Source!I2557</f>
        <v>2</v>
      </c>
      <c r="G170" s="412">
        <f>J170/F170</f>
        <v>5160.09</v>
      </c>
      <c r="H170" s="410">
        <v>1.02</v>
      </c>
      <c r="I170" s="411">
        <v>1</v>
      </c>
      <c r="J170" s="412">
        <f>L170/K170</f>
        <v>10320.18</v>
      </c>
      <c r="K170" s="411">
        <v>5.58</v>
      </c>
      <c r="L170" s="412">
        <f>28228.73*H170*F170</f>
        <v>57586.61</v>
      </c>
      <c r="Q170" s="326">
        <f>ROUND(([91]Source!DN2557/100)*ROUND((ROUND(([91]Source!AF2557*[91]Source!AV2557*[91]Source!I2557),2)),2), 2)</f>
        <v>0</v>
      </c>
      <c r="R170" s="326">
        <f>[91]Source!X2557</f>
        <v>0</v>
      </c>
      <c r="S170" s="326">
        <f>ROUND(([91]Source!DO2557/100)*ROUND((ROUND(([91]Source!AF2557*[91]Source!AV2557*[91]Source!I2557),2)),2), 2)</f>
        <v>0</v>
      </c>
      <c r="T170" s="326">
        <f>[91]Source!Y2557</f>
        <v>0</v>
      </c>
      <c r="U170" s="326">
        <f>ROUND((175/100)*ROUND((ROUND(([91]Source!AE2557*[91]Source!AV2557*[91]Source!I2557),2)),2), 2)</f>
        <v>0</v>
      </c>
      <c r="V170" s="326">
        <f>ROUND((157/100)*ROUND(ROUND((ROUND(([91]Source!AE2557*[91]Source!AV2557*[91]Source!I2557),2)*[91]Source!BS2557),2), 2), 2)</f>
        <v>0</v>
      </c>
      <c r="X170" s="326">
        <f>IF([91]Source!BI2557&lt;=1,J170, 0)</f>
        <v>10320.18</v>
      </c>
      <c r="Y170" s="326">
        <f>IF([91]Source!BI2557=2,J170, 0)</f>
        <v>0</v>
      </c>
      <c r="Z170" s="326">
        <f>IF([91]Source!BI2557=3,J170, 0)</f>
        <v>0</v>
      </c>
      <c r="AA170" s="326">
        <f>IF([91]Source!BI2557=4,J170, 0)</f>
        <v>0</v>
      </c>
    </row>
    <row r="171" spans="1:27" ht="182.25" x14ac:dyDescent="0.2">
      <c r="A171" s="346">
        <v>24</v>
      </c>
      <c r="B171" s="346" t="str">
        <f>[91]Source!E2559</f>
        <v>384,2</v>
      </c>
      <c r="C171" s="347" t="str">
        <f>[91]Source!F2559</f>
        <v>МКЭ-28-1896/5-1  18.01.2016</v>
      </c>
      <c r="D171" s="347" t="s">
        <v>359</v>
      </c>
      <c r="E171" s="348" t="str">
        <f>[91]Source!H2559</f>
        <v>шт.</v>
      </c>
      <c r="F171" s="329">
        <f>[91]Source!I2559</f>
        <v>1</v>
      </c>
      <c r="G171" s="412">
        <f>J171/F171</f>
        <v>5581.92</v>
      </c>
      <c r="H171" s="410">
        <v>1.02</v>
      </c>
      <c r="I171" s="411">
        <v>1</v>
      </c>
      <c r="J171" s="412">
        <f>L171/K171</f>
        <v>5581.92</v>
      </c>
      <c r="K171" s="411">
        <v>5.58</v>
      </c>
      <c r="L171" s="412">
        <f>30536.4*H171*F171</f>
        <v>31147.13</v>
      </c>
      <c r="Q171" s="326">
        <f>ROUND(([91]Source!DN2559/100)*ROUND((ROUND(([91]Source!AF2559*[91]Source!AV2559*[91]Source!I2559),2)),2), 2)</f>
        <v>0</v>
      </c>
      <c r="R171" s="326">
        <f>[91]Source!X2559</f>
        <v>0</v>
      </c>
      <c r="S171" s="326">
        <f>ROUND(([91]Source!DO2559/100)*ROUND((ROUND(([91]Source!AF2559*[91]Source!AV2559*[91]Source!I2559),2)),2), 2)</f>
        <v>0</v>
      </c>
      <c r="T171" s="326">
        <f>[91]Source!Y2559</f>
        <v>0</v>
      </c>
      <c r="U171" s="326">
        <f>ROUND((175/100)*ROUND((ROUND(([91]Source!AE2559*[91]Source!AV2559*[91]Source!I2559),2)),2), 2)</f>
        <v>0</v>
      </c>
      <c r="V171" s="326">
        <f>ROUND((157/100)*ROUND(ROUND((ROUND(([91]Source!AE2559*[91]Source!AV2559*[91]Source!I2559),2)*[91]Source!BS2559),2), 2), 2)</f>
        <v>0</v>
      </c>
      <c r="X171" s="326">
        <f>IF([91]Source!BI2559&lt;=1,J171, 0)</f>
        <v>5581.92</v>
      </c>
      <c r="Y171" s="326">
        <f>IF([91]Source!BI2559=2,J171, 0)</f>
        <v>0</v>
      </c>
      <c r="Z171" s="326">
        <f>IF([91]Source!BI2559=3,J171, 0)</f>
        <v>0</v>
      </c>
      <c r="AA171" s="326">
        <f>IF([91]Source!BI2559=4,J171, 0)</f>
        <v>0</v>
      </c>
    </row>
    <row r="172" spans="1:27" ht="196.5" x14ac:dyDescent="0.2">
      <c r="A172" s="346">
        <v>25</v>
      </c>
      <c r="B172" s="346" t="str">
        <f>[91]Source!E2561</f>
        <v>384,3</v>
      </c>
      <c r="C172" s="347" t="str">
        <f>[91]Source!F2561</f>
        <v>МКЭ-28-1205/6-7  26.10.2016</v>
      </c>
      <c r="D172" s="347" t="s">
        <v>360</v>
      </c>
      <c r="E172" s="348" t="str">
        <f>[91]Source!H2561</f>
        <v>шт.</v>
      </c>
      <c r="F172" s="329">
        <f>[91]Source!I2561</f>
        <v>2</v>
      </c>
      <c r="G172" s="412">
        <f>J172/F172</f>
        <v>5674.12</v>
      </c>
      <c r="H172" s="410">
        <v>1.02</v>
      </c>
      <c r="I172" s="411">
        <v>1</v>
      </c>
      <c r="J172" s="412">
        <f>L172/K172</f>
        <v>11348.23</v>
      </c>
      <c r="K172" s="411">
        <v>5.58</v>
      </c>
      <c r="L172" s="412">
        <f>31040.75*H172*F172</f>
        <v>63323.13</v>
      </c>
      <c r="Q172" s="326">
        <f>ROUND(([91]Source!DN2561/100)*ROUND((ROUND(([91]Source!AF2561*[91]Source!AV2561*[91]Source!I2561),2)),2), 2)</f>
        <v>0</v>
      </c>
      <c r="R172" s="326">
        <f>[91]Source!X2561</f>
        <v>0</v>
      </c>
      <c r="S172" s="326">
        <f>ROUND(([91]Source!DO2561/100)*ROUND((ROUND(([91]Source!AF2561*[91]Source!AV2561*[91]Source!I2561),2)),2), 2)</f>
        <v>0</v>
      </c>
      <c r="T172" s="326">
        <f>[91]Source!Y2561</f>
        <v>0</v>
      </c>
      <c r="U172" s="326">
        <f>ROUND((175/100)*ROUND((ROUND(([91]Source!AE2561*[91]Source!AV2561*[91]Source!I2561),2)),2), 2)</f>
        <v>0</v>
      </c>
      <c r="V172" s="326">
        <f>ROUND((157/100)*ROUND(ROUND((ROUND(([91]Source!AE2561*[91]Source!AV2561*[91]Source!I2561),2)*[91]Source!BS2561),2), 2), 2)</f>
        <v>0</v>
      </c>
      <c r="X172" s="326">
        <f>IF([91]Source!BI2561&lt;=1,J172, 0)</f>
        <v>11348.23</v>
      </c>
      <c r="Y172" s="326">
        <f>IF([91]Source!BI2561=2,J172, 0)</f>
        <v>0</v>
      </c>
      <c r="Z172" s="326">
        <f>IF([91]Source!BI2561=3,J172, 0)</f>
        <v>0</v>
      </c>
      <c r="AA172" s="326">
        <f>IF([91]Source!BI2561=4,J172, 0)</f>
        <v>0</v>
      </c>
    </row>
    <row r="173" spans="1:27" ht="196.5" x14ac:dyDescent="0.2">
      <c r="A173" s="346">
        <v>26</v>
      </c>
      <c r="B173" s="346" t="str">
        <f>[91]Source!E2563</f>
        <v>384,4</v>
      </c>
      <c r="C173" s="347" t="str">
        <f>[91]Source!F2563</f>
        <v>МКЭ-28-498/6-1  17.02.2016</v>
      </c>
      <c r="D173" s="347" t="s">
        <v>361</v>
      </c>
      <c r="E173" s="348" t="str">
        <f>[91]Source!H2563</f>
        <v>шт.</v>
      </c>
      <c r="F173" s="329">
        <f>[91]Source!I2563</f>
        <v>1</v>
      </c>
      <c r="G173" s="413">
        <v>4694.87</v>
      </c>
      <c r="H173" s="414">
        <v>1.02</v>
      </c>
      <c r="I173" s="415">
        <v>1</v>
      </c>
      <c r="J173" s="413">
        <v>4694.87</v>
      </c>
      <c r="K173" s="415">
        <v>5.58</v>
      </c>
      <c r="L173" s="413">
        <v>26197.37</v>
      </c>
      <c r="Q173" s="326">
        <f>ROUND(([91]Source!DN2563/100)*ROUND((ROUND(([91]Source!AF2563*[91]Source!AV2563*[91]Source!I2563),2)),2), 2)</f>
        <v>0</v>
      </c>
      <c r="R173" s="326">
        <f>[91]Source!X2563</f>
        <v>0</v>
      </c>
      <c r="S173" s="326">
        <f>ROUND(([91]Source!DO2563/100)*ROUND((ROUND(([91]Source!AF2563*[91]Source!AV2563*[91]Source!I2563),2)),2), 2)</f>
        <v>0</v>
      </c>
      <c r="T173" s="326">
        <f>[91]Source!Y2563</f>
        <v>0</v>
      </c>
      <c r="U173" s="326">
        <f>ROUND((175/100)*ROUND((ROUND(([91]Source!AE2563*[91]Source!AV2563*[91]Source!I2563),2)),2), 2)</f>
        <v>0</v>
      </c>
      <c r="V173" s="326">
        <f>ROUND((157/100)*ROUND(ROUND((ROUND(([91]Source!AE2563*[91]Source!AV2563*[91]Source!I2563),2)*[91]Source!BS2563),2), 2), 2)</f>
        <v>0</v>
      </c>
      <c r="X173" s="326">
        <f>IF([91]Source!BI2563&lt;=1,J173, 0)</f>
        <v>4694.87</v>
      </c>
      <c r="Y173" s="326">
        <f>IF([91]Source!BI2563=2,J173, 0)</f>
        <v>0</v>
      </c>
      <c r="Z173" s="326">
        <f>IF([91]Source!BI2563=3,J173, 0)</f>
        <v>0</v>
      </c>
      <c r="AA173" s="326">
        <f>IF([91]Source!BI2563=4,J173, 0)</f>
        <v>0</v>
      </c>
    </row>
    <row r="174" spans="1:27" ht="14.25" x14ac:dyDescent="0.2">
      <c r="A174" s="346"/>
      <c r="B174" s="346"/>
      <c r="C174" s="347"/>
      <c r="D174" s="347" t="s">
        <v>56</v>
      </c>
      <c r="E174" s="348" t="s">
        <v>57</v>
      </c>
      <c r="F174" s="329">
        <f>[91]Source!DN2555</f>
        <v>125</v>
      </c>
      <c r="G174" s="349"/>
      <c r="H174" s="350"/>
      <c r="I174" s="329"/>
      <c r="J174" s="351">
        <f>SUM(Q164:Q173)</f>
        <v>1437.48</v>
      </c>
      <c r="K174" s="329">
        <f>[91]Source!BZ2555</f>
        <v>100</v>
      </c>
      <c r="L174" s="351">
        <f>SUM(R164:R173)</f>
        <v>27864.02</v>
      </c>
    </row>
    <row r="175" spans="1:27" ht="14.25" x14ac:dyDescent="0.2">
      <c r="A175" s="346"/>
      <c r="B175" s="346"/>
      <c r="C175" s="347"/>
      <c r="D175" s="347" t="s">
        <v>58</v>
      </c>
      <c r="E175" s="348" t="s">
        <v>57</v>
      </c>
      <c r="F175" s="329">
        <f>[91]Source!DO2555</f>
        <v>94</v>
      </c>
      <c r="G175" s="349"/>
      <c r="H175" s="350"/>
      <c r="I175" s="329"/>
      <c r="J175" s="351">
        <f>SUM(S164:S174)</f>
        <v>1080.98</v>
      </c>
      <c r="K175" s="329">
        <f>[91]Source!CA2555</f>
        <v>45</v>
      </c>
      <c r="L175" s="351">
        <f>SUM(T164:T174)</f>
        <v>12538.81</v>
      </c>
    </row>
    <row r="176" spans="1:27" ht="14.25" x14ac:dyDescent="0.2">
      <c r="A176" s="346"/>
      <c r="B176" s="346"/>
      <c r="C176" s="347"/>
      <c r="D176" s="347" t="s">
        <v>59</v>
      </c>
      <c r="E176" s="348" t="s">
        <v>57</v>
      </c>
      <c r="F176" s="329">
        <f>175</f>
        <v>175</v>
      </c>
      <c r="G176" s="349"/>
      <c r="H176" s="350"/>
      <c r="I176" s="329"/>
      <c r="J176" s="351">
        <f>SUM(U164:U175)-J182</f>
        <v>8.9</v>
      </c>
      <c r="K176" s="329">
        <f>157</f>
        <v>157</v>
      </c>
      <c r="L176" s="351">
        <f>SUM(V164:V175)-L182</f>
        <v>193.81</v>
      </c>
    </row>
    <row r="177" spans="1:27" ht="14.25" x14ac:dyDescent="0.2">
      <c r="A177" s="346"/>
      <c r="B177" s="346"/>
      <c r="C177" s="347"/>
      <c r="D177" s="347" t="s">
        <v>60</v>
      </c>
      <c r="E177" s="348" t="s">
        <v>61</v>
      </c>
      <c r="F177" s="329">
        <f>[91]Source!AQ2555</f>
        <v>4.0199999999999996</v>
      </c>
      <c r="G177" s="349"/>
      <c r="H177" s="350" t="str">
        <f>[91]Source!DI2555</f>
        <v>)*1,05</v>
      </c>
      <c r="I177" s="329">
        <f>[91]Source!AV2555</f>
        <v>1.0669999999999999</v>
      </c>
      <c r="J177" s="351">
        <f>[91]Source!U2555</f>
        <v>58.55</v>
      </c>
      <c r="K177" s="329"/>
      <c r="L177" s="351"/>
    </row>
    <row r="178" spans="1:27" ht="15" x14ac:dyDescent="0.25">
      <c r="I178" s="641">
        <f>J166+J167+J169+J174+J175+J176+SUM(J170:J173)</f>
        <v>35847.949999999997</v>
      </c>
      <c r="J178" s="641"/>
      <c r="K178" s="641">
        <f>L166+L167+L169+L174+L175+L176+SUM(L170:L173)</f>
        <v>248611.55</v>
      </c>
      <c r="L178" s="641"/>
      <c r="O178" s="353">
        <f>J166+J167+J169+J174+J175+J176+SUM(J170:J173)</f>
        <v>35847.949999999997</v>
      </c>
      <c r="P178" s="353">
        <f>L166+L167+L169+L174+L175+L176+SUM(L170:L173)</f>
        <v>248611.55</v>
      </c>
      <c r="X178" s="326">
        <f>IF([91]Source!BI2555&lt;=1,J166+J167+J169+J174+J175+J176-0, 0)</f>
        <v>3902.75</v>
      </c>
      <c r="Y178" s="326">
        <f>IF([91]Source!BI2555=2,J166+J167+J169+J174+J175+J176-0, 0)</f>
        <v>0</v>
      </c>
      <c r="Z178" s="326">
        <f>IF([91]Source!BI2555=3,J166+J167+J169+J174+J175+J176-0, 0)</f>
        <v>0</v>
      </c>
      <c r="AA178" s="326">
        <f>IF([91]Source!BI2555=4,J166+J167+J169+J174+J175+J176,0)</f>
        <v>0</v>
      </c>
    </row>
    <row r="179" spans="1:27" ht="28.5" x14ac:dyDescent="0.2">
      <c r="A179" s="354"/>
      <c r="B179" s="354"/>
      <c r="C179" s="355"/>
      <c r="D179" s="355" t="s">
        <v>62</v>
      </c>
      <c r="E179" s="348"/>
      <c r="F179" s="356"/>
      <c r="G179" s="357"/>
      <c r="H179" s="348"/>
      <c r="I179" s="356"/>
      <c r="J179" s="352"/>
      <c r="K179" s="356"/>
      <c r="L179" s="352"/>
    </row>
    <row r="180" spans="1:27" ht="14.25" x14ac:dyDescent="0.2">
      <c r="A180" s="354"/>
      <c r="B180" s="354"/>
      <c r="C180" s="355"/>
      <c r="D180" s="355" t="s">
        <v>53</v>
      </c>
      <c r="E180" s="348"/>
      <c r="F180" s="356"/>
      <c r="G180" s="357">
        <f t="shared" ref="G180:L180" si="4">G181</f>
        <v>0.35</v>
      </c>
      <c r="H180" s="358" t="str">
        <f t="shared" si="4"/>
        <v>)*(1.67-1)*1.05</v>
      </c>
      <c r="I180" s="356">
        <f t="shared" si="4"/>
        <v>1.0669999999999999</v>
      </c>
      <c r="J180" s="352">
        <f t="shared" si="4"/>
        <v>3.42</v>
      </c>
      <c r="K180" s="356">
        <f t="shared" si="4"/>
        <v>24.23</v>
      </c>
      <c r="L180" s="352">
        <f t="shared" si="4"/>
        <v>82.75</v>
      </c>
    </row>
    <row r="181" spans="1:27" ht="14.25" x14ac:dyDescent="0.2">
      <c r="A181" s="354"/>
      <c r="B181" s="354"/>
      <c r="C181" s="355"/>
      <c r="D181" s="355" t="s">
        <v>54</v>
      </c>
      <c r="E181" s="348"/>
      <c r="F181" s="356"/>
      <c r="G181" s="357">
        <f>[91]Source!AN2555</f>
        <v>0.35</v>
      </c>
      <c r="H181" s="358" t="s">
        <v>316</v>
      </c>
      <c r="I181" s="356">
        <f>[91]Source!AV2555</f>
        <v>1.0669999999999999</v>
      </c>
      <c r="J181" s="352">
        <f>ROUND(F164*G181*I181*(1.67-1)*1.05, 2)</f>
        <v>3.42</v>
      </c>
      <c r="K181" s="356">
        <f>IF([91]Source!BS2555&lt;&gt; 0, [91]Source!BS2555, 1)</f>
        <v>24.23</v>
      </c>
      <c r="L181" s="352">
        <f>ROUND(F164*G181*I181*(1.67-1)*1.05*K181, 2)</f>
        <v>82.75</v>
      </c>
      <c r="W181" s="326">
        <f>J181</f>
        <v>3.42</v>
      </c>
    </row>
    <row r="182" spans="1:27" ht="14.25" x14ac:dyDescent="0.2">
      <c r="A182" s="354"/>
      <c r="B182" s="354"/>
      <c r="C182" s="355"/>
      <c r="D182" s="355" t="s">
        <v>59</v>
      </c>
      <c r="E182" s="348" t="s">
        <v>57</v>
      </c>
      <c r="F182" s="356">
        <f>175</f>
        <v>175</v>
      </c>
      <c r="G182" s="357"/>
      <c r="H182" s="348"/>
      <c r="I182" s="356"/>
      <c r="J182" s="352">
        <f>ROUND(J181*(F182/100), 2)</f>
        <v>5.99</v>
      </c>
      <c r="K182" s="356">
        <f>157</f>
        <v>157</v>
      </c>
      <c r="L182" s="352">
        <f>ROUND(L181*(K182/100), 2)</f>
        <v>129.91999999999999</v>
      </c>
    </row>
    <row r="183" spans="1:27" ht="15" x14ac:dyDescent="0.25">
      <c r="I183" s="641">
        <f>J182+J181</f>
        <v>9.41</v>
      </c>
      <c r="J183" s="641"/>
      <c r="K183" s="641">
        <f>L182+L181</f>
        <v>212.67</v>
      </c>
      <c r="L183" s="641"/>
      <c r="O183" s="353">
        <f>I183</f>
        <v>9.41</v>
      </c>
      <c r="P183" s="353">
        <f>K183</f>
        <v>212.67</v>
      </c>
      <c r="X183" s="326">
        <f>IF([91]Source!BI2555&lt;=1,I183, 0)</f>
        <v>9.41</v>
      </c>
      <c r="Y183" s="326">
        <f>IF([91]Source!BI2555=2,I183, 0)</f>
        <v>0</v>
      </c>
      <c r="Z183" s="326">
        <f>IF([91]Source!BI2555=3,I183, 0)</f>
        <v>0</v>
      </c>
      <c r="AA183" s="326">
        <f>IF([91]Source!BI2555=4,I183, 0)</f>
        <v>0</v>
      </c>
    </row>
    <row r="185" spans="1:27" ht="15" x14ac:dyDescent="0.25">
      <c r="A185" s="359"/>
      <c r="B185" s="359"/>
      <c r="C185" s="360"/>
      <c r="D185" s="360" t="s">
        <v>64</v>
      </c>
      <c r="E185" s="361"/>
      <c r="F185" s="362"/>
      <c r="G185" s="363"/>
      <c r="H185" s="364"/>
      <c r="I185" s="641">
        <f>I178+I183</f>
        <v>35857.360000000001</v>
      </c>
      <c r="J185" s="641"/>
      <c r="K185" s="641">
        <f>K178+K183</f>
        <v>248824.22</v>
      </c>
      <c r="L185" s="641"/>
    </row>
    <row r="186" spans="1:27" ht="210.75" x14ac:dyDescent="0.2">
      <c r="A186" s="346">
        <v>27</v>
      </c>
      <c r="B186" s="346" t="str">
        <f>[91]Source!E2565</f>
        <v>385</v>
      </c>
      <c r="C186" s="347" t="str">
        <f>[91]Source!F2565</f>
        <v>МКЭ-28-2270/6-3  07.11.2016</v>
      </c>
      <c r="D186" s="347" t="s">
        <v>362</v>
      </c>
      <c r="E186" s="348" t="str">
        <f>[91]Source!H2565</f>
        <v>шт.</v>
      </c>
      <c r="F186" s="329">
        <f>[91]Source!I2565</f>
        <v>6</v>
      </c>
      <c r="G186" s="412">
        <f>J186/F186</f>
        <v>5243.81</v>
      </c>
      <c r="H186" s="410">
        <v>1.02</v>
      </c>
      <c r="I186" s="411">
        <v>1</v>
      </c>
      <c r="J186" s="412">
        <f>L186/K186</f>
        <v>31462.83</v>
      </c>
      <c r="K186" s="411">
        <v>5.58</v>
      </c>
      <c r="L186" s="412">
        <f>28686.7*H186*F186</f>
        <v>175562.6</v>
      </c>
      <c r="Q186" s="326">
        <f>ROUND(([91]Source!DN2565/100)*ROUND((ROUND(([91]Source!AF2565*[91]Source!AV2565*[91]Source!I2565),2)),2), 2)</f>
        <v>0</v>
      </c>
      <c r="R186" s="326">
        <f>[91]Source!X2565</f>
        <v>0</v>
      </c>
      <c r="S186" s="326">
        <f>ROUND(([91]Source!DO2565/100)*ROUND((ROUND(([91]Source!AF2565*[91]Source!AV2565*[91]Source!I2565),2)),2), 2)</f>
        <v>0</v>
      </c>
      <c r="T186" s="326">
        <f>[91]Source!Y2565</f>
        <v>0</v>
      </c>
      <c r="U186" s="326">
        <f>ROUND((175/100)*ROUND((ROUND(([91]Source!AE2565*[91]Source!AV2565*[91]Source!I2565),2)),2), 2)</f>
        <v>0</v>
      </c>
      <c r="V186" s="326">
        <f>ROUND((157/100)*ROUND(ROUND((ROUND(([91]Source!AE2565*[91]Source!AV2565*[91]Source!I2565),2)*[91]Source!BS2565),2), 2), 2)</f>
        <v>0</v>
      </c>
    </row>
    <row r="187" spans="1:27" ht="15" x14ac:dyDescent="0.25">
      <c r="A187" s="365"/>
      <c r="B187" s="365"/>
      <c r="C187" s="365"/>
      <c r="D187" s="365"/>
      <c r="E187" s="365"/>
      <c r="F187" s="365"/>
      <c r="G187" s="365"/>
      <c r="H187" s="365"/>
      <c r="I187" s="641">
        <f>J186</f>
        <v>31462.83</v>
      </c>
      <c r="J187" s="641"/>
      <c r="K187" s="641">
        <f>L186</f>
        <v>175562.6</v>
      </c>
      <c r="L187" s="641"/>
      <c r="O187" s="353">
        <f>J186</f>
        <v>31462.83</v>
      </c>
      <c r="P187" s="353">
        <f>L186</f>
        <v>175562.6</v>
      </c>
      <c r="X187" s="326">
        <f>IF([91]Source!BI2565&lt;=1,J186-0, 0)</f>
        <v>31462.83</v>
      </c>
      <c r="Y187" s="326">
        <f>IF([91]Source!BI2565=2,J186-0, 0)</f>
        <v>0</v>
      </c>
      <c r="Z187" s="326">
        <f>IF([91]Source!BI2565=3,J186-0, 0)</f>
        <v>0</v>
      </c>
      <c r="AA187" s="326">
        <f>IF([91]Source!BI2565=4,J186,0)</f>
        <v>0</v>
      </c>
    </row>
    <row r="188" spans="1:27" ht="139.5" x14ac:dyDescent="0.2">
      <c r="A188" s="346">
        <v>28</v>
      </c>
      <c r="B188" s="346" t="str">
        <f>[91]Source!E2567</f>
        <v>386</v>
      </c>
      <c r="C188" s="347" t="str">
        <f>[91]Source!F2567</f>
        <v>МКЭ-28-2762/6-7  20.04.2017</v>
      </c>
      <c r="D188" s="347" t="s">
        <v>363</v>
      </c>
      <c r="E188" s="348" t="str">
        <f>[91]Source!H2567</f>
        <v>шт.</v>
      </c>
      <c r="F188" s="329">
        <f>[91]Source!I2567</f>
        <v>1</v>
      </c>
      <c r="G188" s="412">
        <f>J188/F188</f>
        <v>5224.26</v>
      </c>
      <c r="H188" s="410">
        <v>1.02</v>
      </c>
      <c r="I188" s="411">
        <v>1</v>
      </c>
      <c r="J188" s="412">
        <f>L188/K188</f>
        <v>5224.26</v>
      </c>
      <c r="K188" s="411">
        <v>5.58</v>
      </c>
      <c r="L188" s="412">
        <f>28579.79*H188*F188</f>
        <v>29151.39</v>
      </c>
      <c r="Q188" s="326">
        <f>ROUND(([91]Source!DN2567/100)*ROUND((ROUND(([91]Source!AF2567*[91]Source!AV2567*[91]Source!I2567),2)),2), 2)</f>
        <v>0</v>
      </c>
      <c r="R188" s="326">
        <f>[91]Source!X2567</f>
        <v>0</v>
      </c>
      <c r="S188" s="326">
        <f>ROUND(([91]Source!DO2567/100)*ROUND((ROUND(([91]Source!AF2567*[91]Source!AV2567*[91]Source!I2567),2)),2), 2)</f>
        <v>0</v>
      </c>
      <c r="T188" s="326">
        <f>[91]Source!Y2567</f>
        <v>0</v>
      </c>
      <c r="U188" s="326">
        <f>ROUND((175/100)*ROUND((ROUND(([91]Source!AE2567*[91]Source!AV2567*[91]Source!I2567),2)),2), 2)</f>
        <v>0</v>
      </c>
      <c r="V188" s="326">
        <f>ROUND((157/100)*ROUND(ROUND((ROUND(([91]Source!AE2567*[91]Source!AV2567*[91]Source!I2567),2)*[91]Source!BS2567),2), 2), 2)</f>
        <v>0</v>
      </c>
    </row>
    <row r="189" spans="1:27" ht="15" x14ac:dyDescent="0.25">
      <c r="A189" s="365"/>
      <c r="B189" s="365"/>
      <c r="C189" s="365"/>
      <c r="D189" s="365"/>
      <c r="E189" s="365"/>
      <c r="F189" s="365"/>
      <c r="G189" s="365"/>
      <c r="H189" s="365"/>
      <c r="I189" s="641">
        <f>J188</f>
        <v>5224.26</v>
      </c>
      <c r="J189" s="641"/>
      <c r="K189" s="641">
        <f>L188</f>
        <v>29151.39</v>
      </c>
      <c r="L189" s="641"/>
      <c r="O189" s="353">
        <f>J188</f>
        <v>5224.26</v>
      </c>
      <c r="P189" s="353">
        <f>L188</f>
        <v>29151.39</v>
      </c>
      <c r="X189" s="326">
        <f>IF([91]Source!BI2567&lt;=1,J188-0, 0)</f>
        <v>5224.26</v>
      </c>
      <c r="Y189" s="326">
        <f>IF([91]Source!BI2567=2,J188-0, 0)</f>
        <v>0</v>
      </c>
      <c r="Z189" s="326">
        <f>IF([91]Source!BI2567=3,J188-0, 0)</f>
        <v>0</v>
      </c>
      <c r="AA189" s="326">
        <f>IF([91]Source!BI2567=4,J188,0)</f>
        <v>0</v>
      </c>
    </row>
    <row r="190" spans="1:27" ht="116.25" x14ac:dyDescent="0.2">
      <c r="A190" s="346">
        <v>29</v>
      </c>
      <c r="B190" s="346" t="str">
        <f>[91]Source!E2579</f>
        <v>392</v>
      </c>
      <c r="C190" s="347" t="s">
        <v>344</v>
      </c>
      <c r="D190" s="347" t="s">
        <v>315</v>
      </c>
      <c r="E190" s="348" t="str">
        <f>[91]Source!H2579</f>
        <v>1 клапан</v>
      </c>
      <c r="F190" s="329">
        <f>[91]Source!I2579</f>
        <v>1</v>
      </c>
      <c r="G190" s="349"/>
      <c r="H190" s="350"/>
      <c r="I190" s="329"/>
      <c r="J190" s="351"/>
      <c r="K190" s="329"/>
      <c r="L190" s="351"/>
      <c r="Q190" s="326">
        <f>ROUND(([91]Source!DN2579/100)*ROUND((ROUND(([91]Source!AF2579*[91]Source!AV2579*[91]Source!I2579),2)),2), 2)</f>
        <v>110.58</v>
      </c>
      <c r="R190" s="326">
        <f>[91]Source!X2579</f>
        <v>2143.39</v>
      </c>
      <c r="S190" s="326">
        <f>ROUND(([91]Source!DO2579/100)*ROUND((ROUND(([91]Source!AF2579*[91]Source!AV2579*[91]Source!I2579),2)),2), 2)</f>
        <v>83.15</v>
      </c>
      <c r="T190" s="326">
        <f>[91]Source!Y2579</f>
        <v>964.53</v>
      </c>
      <c r="U190" s="326">
        <f>ROUND((175/100)*ROUND((ROUND(([91]Source!AE2579*[91]Source!AV2579*[91]Source!I2579),2)),2), 2)</f>
        <v>1.1399999999999999</v>
      </c>
      <c r="V190" s="326">
        <f>ROUND((157/100)*ROUND(ROUND((ROUND(([91]Source!AE2579*[91]Source!AV2579*[91]Source!I2579),2)*[91]Source!BS2579),2), 2), 2)</f>
        <v>24.73</v>
      </c>
    </row>
    <row r="191" spans="1:27" ht="14.25" x14ac:dyDescent="0.2">
      <c r="A191" s="346"/>
      <c r="B191" s="346"/>
      <c r="C191" s="347"/>
      <c r="D191" s="347" t="s">
        <v>52</v>
      </c>
      <c r="E191" s="348"/>
      <c r="F191" s="329"/>
      <c r="G191" s="349">
        <f>[91]Source!AO2579</f>
        <v>47.28</v>
      </c>
      <c r="H191" s="350" t="str">
        <f>[91]Source!DG2579</f>
        <v>)*1,05)*1,67</v>
      </c>
      <c r="I191" s="329">
        <f>[91]Source!AV2579</f>
        <v>1.0669999999999999</v>
      </c>
      <c r="J191" s="351">
        <f>ROUND((ROUND(([91]Source!AF2579*[91]Source!AV2579*[91]Source!I2579),2)),2)</f>
        <v>88.46</v>
      </c>
      <c r="K191" s="329">
        <f>IF([91]Source!BA2579&lt;&gt; 0, [91]Source!BA2579, 1)</f>
        <v>24.23</v>
      </c>
      <c r="L191" s="351">
        <f>[91]Source!S2579</f>
        <v>2143.39</v>
      </c>
      <c r="W191" s="326">
        <f>J191</f>
        <v>88.46</v>
      </c>
    </row>
    <row r="192" spans="1:27" ht="14.25" x14ac:dyDescent="0.2">
      <c r="A192" s="346"/>
      <c r="B192" s="346"/>
      <c r="C192" s="347"/>
      <c r="D192" s="347" t="s">
        <v>53</v>
      </c>
      <c r="E192" s="348"/>
      <c r="F192" s="329"/>
      <c r="G192" s="349">
        <f>[91]Source!AM2579</f>
        <v>1.49</v>
      </c>
      <c r="H192" s="350" t="str">
        <f>[91]Source!DE2579</f>
        <v>)*1,05</v>
      </c>
      <c r="I192" s="329">
        <f>[91]Source!AV2579</f>
        <v>1.0669999999999999</v>
      </c>
      <c r="J192" s="351">
        <f>(ROUND((ROUND(((([91]Source!ET2579*1.05))*[91]Source!AV2579*[91]Source!I2579),2)),2)+ROUND((ROUND((([91]Source!AE2579-(([91]Source!EU2579*1.05)))*[91]Source!AV2579*[91]Source!I2579),2)),2))-J201</f>
        <v>1.67</v>
      </c>
      <c r="K192" s="329">
        <f>IF([91]Source!BB2579&lt;&gt; 0, [91]Source!BB2579, 1)</f>
        <v>9.9499999999999993</v>
      </c>
      <c r="L192" s="351">
        <f>[91]Source!Q2579-L201</f>
        <v>16.55</v>
      </c>
    </row>
    <row r="193" spans="1:27" ht="14.25" x14ac:dyDescent="0.2">
      <c r="A193" s="346"/>
      <c r="B193" s="346"/>
      <c r="C193" s="347"/>
      <c r="D193" s="347" t="s">
        <v>54</v>
      </c>
      <c r="E193" s="348"/>
      <c r="F193" s="329"/>
      <c r="G193" s="349">
        <f>[91]Source!AN2579</f>
        <v>0.35</v>
      </c>
      <c r="H193" s="350" t="str">
        <f>[91]Source!DE2579</f>
        <v>)*1,05</v>
      </c>
      <c r="I193" s="329">
        <f>[91]Source!AV2579</f>
        <v>1.0669999999999999</v>
      </c>
      <c r="J193" s="352">
        <f>ROUND((ROUND(([91]Source!AE2579*[91]Source!AV2579*[91]Source!I2579),2)),2)-J202</f>
        <v>0.39</v>
      </c>
      <c r="K193" s="329">
        <f>IF([91]Source!BS2579&lt;&gt; 0, [91]Source!BS2579, 1)</f>
        <v>24.23</v>
      </c>
      <c r="L193" s="352">
        <f>[91]Source!R2579-L202</f>
        <v>9.3800000000000008</v>
      </c>
      <c r="W193" s="326">
        <f>J193</f>
        <v>0.39</v>
      </c>
    </row>
    <row r="194" spans="1:27" ht="14.25" x14ac:dyDescent="0.2">
      <c r="A194" s="346"/>
      <c r="B194" s="346"/>
      <c r="C194" s="347"/>
      <c r="D194" s="347" t="s">
        <v>55</v>
      </c>
      <c r="E194" s="348"/>
      <c r="F194" s="329"/>
      <c r="G194" s="349">
        <f>[91]Source!AL2579</f>
        <v>15.67</v>
      </c>
      <c r="H194" s="350">
        <f>[91]Source!DD2579</f>
        <v>0</v>
      </c>
      <c r="I194" s="329">
        <f>[91]Source!AW2579</f>
        <v>1</v>
      </c>
      <c r="J194" s="351">
        <f>ROUND((ROUND(([91]Source!AC2579*[91]Source!AW2579*[91]Source!I2579),2)),2)</f>
        <v>15.67</v>
      </c>
      <c r="K194" s="329">
        <f>IF([91]Source!BC2579&lt;&gt; 0, [91]Source!BC2579, 1)</f>
        <v>8.25</v>
      </c>
      <c r="L194" s="351">
        <f>[91]Source!P2579</f>
        <v>129.28</v>
      </c>
    </row>
    <row r="195" spans="1:27" ht="14.25" x14ac:dyDescent="0.2">
      <c r="A195" s="346"/>
      <c r="B195" s="346"/>
      <c r="C195" s="347"/>
      <c r="D195" s="347" t="s">
        <v>56</v>
      </c>
      <c r="E195" s="348" t="s">
        <v>57</v>
      </c>
      <c r="F195" s="329">
        <f>[91]Source!DN2579</f>
        <v>125</v>
      </c>
      <c r="G195" s="349"/>
      <c r="H195" s="350"/>
      <c r="I195" s="329"/>
      <c r="J195" s="351">
        <f>SUM(Q190:Q194)</f>
        <v>110.58</v>
      </c>
      <c r="K195" s="329">
        <f>[91]Source!BZ2579</f>
        <v>100</v>
      </c>
      <c r="L195" s="351">
        <f>SUM(R190:R194)</f>
        <v>2143.39</v>
      </c>
    </row>
    <row r="196" spans="1:27" ht="14.25" x14ac:dyDescent="0.2">
      <c r="A196" s="346"/>
      <c r="B196" s="346"/>
      <c r="C196" s="347"/>
      <c r="D196" s="347" t="s">
        <v>58</v>
      </c>
      <c r="E196" s="348" t="s">
        <v>57</v>
      </c>
      <c r="F196" s="329">
        <f>[91]Source!DO2579</f>
        <v>94</v>
      </c>
      <c r="G196" s="349"/>
      <c r="H196" s="350"/>
      <c r="I196" s="329"/>
      <c r="J196" s="351">
        <f>SUM(S190:S195)</f>
        <v>83.15</v>
      </c>
      <c r="K196" s="329">
        <f>[91]Source!CA2579</f>
        <v>45</v>
      </c>
      <c r="L196" s="351">
        <f>SUM(T190:T195)</f>
        <v>964.53</v>
      </c>
    </row>
    <row r="197" spans="1:27" ht="14.25" x14ac:dyDescent="0.2">
      <c r="A197" s="346"/>
      <c r="B197" s="346"/>
      <c r="C197" s="347"/>
      <c r="D197" s="347" t="s">
        <v>59</v>
      </c>
      <c r="E197" s="348" t="s">
        <v>57</v>
      </c>
      <c r="F197" s="329">
        <f>175</f>
        <v>175</v>
      </c>
      <c r="G197" s="349"/>
      <c r="H197" s="350"/>
      <c r="I197" s="329"/>
      <c r="J197" s="351">
        <f>SUM(U190:U196)-J203</f>
        <v>0.68</v>
      </c>
      <c r="K197" s="329">
        <f>157</f>
        <v>157</v>
      </c>
      <c r="L197" s="351">
        <f>SUM(V190:V196)-L203</f>
        <v>14.73</v>
      </c>
    </row>
    <row r="198" spans="1:27" ht="14.25" x14ac:dyDescent="0.2">
      <c r="A198" s="346"/>
      <c r="B198" s="346"/>
      <c r="C198" s="347"/>
      <c r="D198" s="347" t="s">
        <v>60</v>
      </c>
      <c r="E198" s="348" t="s">
        <v>61</v>
      </c>
      <c r="F198" s="329">
        <f>[91]Source!AQ2579</f>
        <v>4.0199999999999996</v>
      </c>
      <c r="G198" s="349"/>
      <c r="H198" s="350" t="str">
        <f>[91]Source!DI2579</f>
        <v>)*1,05</v>
      </c>
      <c r="I198" s="329">
        <f>[91]Source!AV2579</f>
        <v>1.0669999999999999</v>
      </c>
      <c r="J198" s="351">
        <f>[91]Source!U2579</f>
        <v>4.5</v>
      </c>
      <c r="K198" s="329"/>
      <c r="L198" s="351"/>
    </row>
    <row r="199" spans="1:27" ht="15" x14ac:dyDescent="0.25">
      <c r="I199" s="641">
        <f>J191+J192+J194+J195+J196+J197</f>
        <v>300.20999999999998</v>
      </c>
      <c r="J199" s="641"/>
      <c r="K199" s="641">
        <f>L191+L192+L194+L195+L196+L197</f>
        <v>5411.87</v>
      </c>
      <c r="L199" s="641"/>
      <c r="O199" s="353">
        <f>J191+J192+J194+J195+J196+J197</f>
        <v>300.20999999999998</v>
      </c>
      <c r="P199" s="353">
        <f>L191+L192+L194+L195+L196+L197</f>
        <v>5411.87</v>
      </c>
      <c r="X199" s="326">
        <f>IF([91]Source!BI2579&lt;=1,J191+J192+J194+J195+J196+J197-0, 0)</f>
        <v>300.20999999999998</v>
      </c>
      <c r="Y199" s="326">
        <f>IF([91]Source!BI2579=2,J191+J192+J194+J195+J196+J197-0, 0)</f>
        <v>0</v>
      </c>
      <c r="Z199" s="326">
        <f>IF([91]Source!BI2579=3,J191+J192+J194+J195+J196+J197-0, 0)</f>
        <v>0</v>
      </c>
      <c r="AA199" s="326">
        <f>IF([91]Source!BI2579=4,J191+J192+J194+J195+J196+J197,0)</f>
        <v>0</v>
      </c>
    </row>
    <row r="200" spans="1:27" ht="28.5" x14ac:dyDescent="0.2">
      <c r="A200" s="354"/>
      <c r="B200" s="354"/>
      <c r="C200" s="355"/>
      <c r="D200" s="355" t="s">
        <v>62</v>
      </c>
      <c r="E200" s="348"/>
      <c r="F200" s="356"/>
      <c r="G200" s="357"/>
      <c r="H200" s="348"/>
      <c r="I200" s="356"/>
      <c r="J200" s="352"/>
      <c r="K200" s="356"/>
      <c r="L200" s="352"/>
    </row>
    <row r="201" spans="1:27" ht="14.25" x14ac:dyDescent="0.2">
      <c r="A201" s="354"/>
      <c r="B201" s="354"/>
      <c r="C201" s="355"/>
      <c r="D201" s="355" t="s">
        <v>53</v>
      </c>
      <c r="E201" s="348"/>
      <c r="F201" s="356"/>
      <c r="G201" s="357">
        <f t="shared" ref="G201:L201" si="5">G202</f>
        <v>0.35</v>
      </c>
      <c r="H201" s="358" t="str">
        <f t="shared" si="5"/>
        <v>)*(1.67-1)*1.05</v>
      </c>
      <c r="I201" s="356">
        <f t="shared" si="5"/>
        <v>1.0669999999999999</v>
      </c>
      <c r="J201" s="352">
        <f t="shared" si="5"/>
        <v>0.26</v>
      </c>
      <c r="K201" s="356">
        <f t="shared" si="5"/>
        <v>24.23</v>
      </c>
      <c r="L201" s="352">
        <f t="shared" si="5"/>
        <v>6.37</v>
      </c>
    </row>
    <row r="202" spans="1:27" ht="14.25" x14ac:dyDescent="0.2">
      <c r="A202" s="354"/>
      <c r="B202" s="354"/>
      <c r="C202" s="355"/>
      <c r="D202" s="355" t="s">
        <v>54</v>
      </c>
      <c r="E202" s="348"/>
      <c r="F202" s="356"/>
      <c r="G202" s="357">
        <f>[91]Source!AN2579</f>
        <v>0.35</v>
      </c>
      <c r="H202" s="358" t="s">
        <v>316</v>
      </c>
      <c r="I202" s="356">
        <f>[91]Source!AV2579</f>
        <v>1.0669999999999999</v>
      </c>
      <c r="J202" s="352">
        <f>ROUND(F190*G202*I202*(1.67-1)*1.05, 2)</f>
        <v>0.26</v>
      </c>
      <c r="K202" s="356">
        <f>IF([91]Source!BS2579&lt;&gt; 0, [91]Source!BS2579, 1)</f>
        <v>24.23</v>
      </c>
      <c r="L202" s="352">
        <f>ROUND(F190*G202*I202*(1.67-1)*1.05*K202, 2)</f>
        <v>6.37</v>
      </c>
      <c r="W202" s="326">
        <f>J202</f>
        <v>0.26</v>
      </c>
    </row>
    <row r="203" spans="1:27" ht="14.25" x14ac:dyDescent="0.2">
      <c r="A203" s="354"/>
      <c r="B203" s="354"/>
      <c r="C203" s="355"/>
      <c r="D203" s="355" t="s">
        <v>59</v>
      </c>
      <c r="E203" s="348" t="s">
        <v>57</v>
      </c>
      <c r="F203" s="356">
        <f>175</f>
        <v>175</v>
      </c>
      <c r="G203" s="357"/>
      <c r="H203" s="348"/>
      <c r="I203" s="356"/>
      <c r="J203" s="352">
        <f>ROUND(J202*(F203/100), 2)</f>
        <v>0.46</v>
      </c>
      <c r="K203" s="356">
        <f>157</f>
        <v>157</v>
      </c>
      <c r="L203" s="352">
        <f>ROUND(L202*(K203/100), 2)</f>
        <v>10</v>
      </c>
    </row>
    <row r="204" spans="1:27" ht="15" x14ac:dyDescent="0.25">
      <c r="I204" s="641">
        <f>J203+J202</f>
        <v>0.72</v>
      </c>
      <c r="J204" s="641"/>
      <c r="K204" s="641">
        <f>L203+L202</f>
        <v>16.37</v>
      </c>
      <c r="L204" s="641"/>
      <c r="O204" s="353">
        <f>I204</f>
        <v>0.72</v>
      </c>
      <c r="P204" s="353">
        <f>K204</f>
        <v>16.37</v>
      </c>
      <c r="X204" s="326">
        <f>IF([91]Source!BI2579&lt;=1,I204, 0)</f>
        <v>0.72</v>
      </c>
      <c r="Y204" s="326">
        <f>IF([91]Source!BI2579=2,I204, 0)</f>
        <v>0</v>
      </c>
      <c r="Z204" s="326">
        <f>IF([91]Source!BI2579=3,I204, 0)</f>
        <v>0</v>
      </c>
      <c r="AA204" s="326">
        <f>IF([91]Source!BI2579=4,I204, 0)</f>
        <v>0</v>
      </c>
    </row>
    <row r="206" spans="1:27" ht="15" x14ac:dyDescent="0.25">
      <c r="A206" s="359"/>
      <c r="B206" s="359"/>
      <c r="C206" s="360"/>
      <c r="D206" s="360" t="s">
        <v>64</v>
      </c>
      <c r="E206" s="361"/>
      <c r="F206" s="362"/>
      <c r="G206" s="363"/>
      <c r="H206" s="364"/>
      <c r="I206" s="641">
        <f>I199+I204</f>
        <v>300.93</v>
      </c>
      <c r="J206" s="641"/>
      <c r="K206" s="641">
        <f>K199+K204</f>
        <v>5428.24</v>
      </c>
      <c r="L206" s="641"/>
    </row>
    <row r="207" spans="1:27" ht="168" x14ac:dyDescent="0.2">
      <c r="A207" s="346">
        <v>30</v>
      </c>
      <c r="B207" s="346" t="str">
        <f>[91]Source!E2581</f>
        <v>393</v>
      </c>
      <c r="C207" s="347" t="str">
        <f>[91]Source!F2581</f>
        <v>МКЭ-33-1232/9-1  27.06.2019</v>
      </c>
      <c r="D207" s="347" t="s">
        <v>364</v>
      </c>
      <c r="E207" s="348" t="str">
        <f>[91]Source!H2581</f>
        <v>шт.</v>
      </c>
      <c r="F207" s="329">
        <f>[91]Source!I2581</f>
        <v>1</v>
      </c>
      <c r="G207" s="413">
        <v>5556.16</v>
      </c>
      <c r="H207" s="414">
        <v>1.02</v>
      </c>
      <c r="I207" s="415">
        <v>1</v>
      </c>
      <c r="J207" s="413">
        <v>5556.16</v>
      </c>
      <c r="K207" s="415">
        <v>5.58</v>
      </c>
      <c r="L207" s="413">
        <v>31003.35</v>
      </c>
      <c r="Q207" s="326">
        <f>ROUND(([91]Source!DN2581/100)*ROUND((ROUND(([91]Source!AF2581*[91]Source!AV2581*[91]Source!I2581),2)),2), 2)</f>
        <v>0</v>
      </c>
      <c r="R207" s="326">
        <f>[91]Source!X2581</f>
        <v>0</v>
      </c>
      <c r="S207" s="326">
        <f>ROUND(([91]Source!DO2581/100)*ROUND((ROUND(([91]Source!AF2581*[91]Source!AV2581*[91]Source!I2581),2)),2), 2)</f>
        <v>0</v>
      </c>
      <c r="T207" s="326">
        <f>[91]Source!Y2581</f>
        <v>0</v>
      </c>
      <c r="U207" s="326">
        <f>ROUND((175/100)*ROUND((ROUND(([91]Source!AE2581*[91]Source!AV2581*[91]Source!I2581),2)),2), 2)</f>
        <v>0</v>
      </c>
      <c r="V207" s="326">
        <f>ROUND((157/100)*ROUND(ROUND((ROUND(([91]Source!AE2581*[91]Source!AV2581*[91]Source!I2581),2)*[91]Source!BS2581),2), 2), 2)</f>
        <v>0</v>
      </c>
    </row>
    <row r="208" spans="1:27" ht="15" x14ac:dyDescent="0.25">
      <c r="A208" s="365"/>
      <c r="B208" s="365"/>
      <c r="C208" s="365"/>
      <c r="D208" s="365"/>
      <c r="E208" s="365"/>
      <c r="F208" s="365"/>
      <c r="G208" s="365"/>
      <c r="H208" s="365"/>
      <c r="I208" s="641">
        <f>J207</f>
        <v>5556.16</v>
      </c>
      <c r="J208" s="641"/>
      <c r="K208" s="641">
        <f>L207</f>
        <v>31003.35</v>
      </c>
      <c r="L208" s="641"/>
      <c r="O208" s="353">
        <f>J207</f>
        <v>5556.16</v>
      </c>
      <c r="P208" s="353">
        <f>L207</f>
        <v>31003.35</v>
      </c>
      <c r="X208" s="326">
        <f>IF([91]Source!BI2581&lt;=1,J207-0, 0)</f>
        <v>5556.16</v>
      </c>
      <c r="Y208" s="326">
        <f>IF([91]Source!BI2581=2,J207-0, 0)</f>
        <v>0</v>
      </c>
      <c r="Z208" s="326">
        <f>IF([91]Source!BI2581=3,J207-0, 0)</f>
        <v>0</v>
      </c>
      <c r="AA208" s="326">
        <f>IF([91]Source!BI2581=4,J207,0)</f>
        <v>0</v>
      </c>
    </row>
    <row r="209" spans="1:27" ht="79.5" customHeight="1" x14ac:dyDescent="0.2">
      <c r="A209" s="346">
        <v>31</v>
      </c>
      <c r="B209" s="346" t="str">
        <f>[91]Source!E2653</f>
        <v>428</v>
      </c>
      <c r="C209" s="347" t="s">
        <v>365</v>
      </c>
      <c r="D209" s="347" t="s">
        <v>81</v>
      </c>
      <c r="E209" s="348" t="str">
        <f>[91]Source!H2653</f>
        <v>шт.</v>
      </c>
      <c r="F209" s="329">
        <f>[91]Source!I2653</f>
        <v>2</v>
      </c>
      <c r="G209" s="349">
        <f>[91]Source!AL2653</f>
        <v>654.78</v>
      </c>
      <c r="H209" s="350">
        <f>[91]Source!DD2653</f>
        <v>0</v>
      </c>
      <c r="I209" s="329">
        <f>[91]Source!AW2653</f>
        <v>1</v>
      </c>
      <c r="J209" s="351">
        <f>ROUND((ROUND(([91]Source!AC2653*[91]Source!AW2653*[91]Source!I2653),2)),2)</f>
        <v>1309.56</v>
      </c>
      <c r="K209" s="329">
        <f>IF([91]Source!BC2653&lt;&gt; 0, [91]Source!BC2653, 1)</f>
        <v>2.44</v>
      </c>
      <c r="L209" s="351">
        <f>[91]Source!P2653</f>
        <v>3195.33</v>
      </c>
      <c r="Q209" s="326">
        <f>ROUND(([91]Source!DN2653/100)*ROUND((ROUND(([91]Source!AF2653*[91]Source!AV2653*[91]Source!I2653),2)),2), 2)</f>
        <v>0</v>
      </c>
      <c r="R209" s="326">
        <f>[91]Source!X2653</f>
        <v>0</v>
      </c>
      <c r="S209" s="326">
        <f>ROUND(([91]Source!DO2653/100)*ROUND((ROUND(([91]Source!AF2653*[91]Source!AV2653*[91]Source!I2653),2)),2), 2)</f>
        <v>0</v>
      </c>
      <c r="T209" s="326">
        <f>[91]Source!Y2653</f>
        <v>0</v>
      </c>
      <c r="U209" s="326">
        <f>ROUND((175/100)*ROUND((ROUND(([91]Source!AE2653*[91]Source!AV2653*[91]Source!I2653),2)),2), 2)</f>
        <v>0</v>
      </c>
      <c r="V209" s="326">
        <f>ROUND((157/100)*ROUND(ROUND((ROUND(([91]Source!AE2653*[91]Source!AV2653*[91]Source!I2653),2)*[91]Source!BS2653),2), 2), 2)</f>
        <v>0</v>
      </c>
    </row>
    <row r="210" spans="1:27" ht="15" x14ac:dyDescent="0.25">
      <c r="A210" s="365"/>
      <c r="B210" s="365"/>
      <c r="C210" s="365"/>
      <c r="D210" s="365"/>
      <c r="E210" s="365"/>
      <c r="F210" s="365"/>
      <c r="G210" s="365"/>
      <c r="H210" s="365"/>
      <c r="I210" s="641">
        <f>J209</f>
        <v>1309.56</v>
      </c>
      <c r="J210" s="641"/>
      <c r="K210" s="641">
        <f>L209</f>
        <v>3195.33</v>
      </c>
      <c r="L210" s="641"/>
      <c r="O210" s="353">
        <f>J209</f>
        <v>1309.56</v>
      </c>
      <c r="P210" s="353">
        <f>L209</f>
        <v>3195.33</v>
      </c>
      <c r="X210" s="326">
        <f>IF([91]Source!BI2653&lt;=1,J209-0, 0)</f>
        <v>1309.56</v>
      </c>
      <c r="Y210" s="326">
        <f>IF([91]Source!BI2653=2,J209-0, 0)</f>
        <v>0</v>
      </c>
      <c r="Z210" s="326">
        <f>IF([91]Source!BI2653=3,J209-0, 0)</f>
        <v>0</v>
      </c>
      <c r="AA210" s="326">
        <f>IF([91]Source!BI2653=4,J209,0)</f>
        <v>0</v>
      </c>
    </row>
    <row r="211" spans="1:27" ht="53.25" customHeight="1" x14ac:dyDescent="0.2">
      <c r="A211" s="346">
        <v>32</v>
      </c>
      <c r="B211" s="346" t="str">
        <f>[91]Source!E2659</f>
        <v>431</v>
      </c>
      <c r="C211" s="347" t="s">
        <v>366</v>
      </c>
      <c r="D211" s="347" t="s">
        <v>82</v>
      </c>
      <c r="E211" s="348" t="str">
        <f>[91]Source!H2659</f>
        <v>100 м2 поверхности воздуховодов</v>
      </c>
      <c r="F211" s="329">
        <f>[91]Source!I2659</f>
        <v>8.0000000000000002E-3</v>
      </c>
      <c r="G211" s="349"/>
      <c r="H211" s="350"/>
      <c r="I211" s="329"/>
      <c r="J211" s="351"/>
      <c r="K211" s="329"/>
      <c r="L211" s="351"/>
      <c r="Q211" s="326">
        <f>ROUND(([91]Source!DN2659/100)*ROUND((ROUND(([91]Source!AF2659*[91]Source!AV2659*[91]Source!I2659),2)),2), 2)</f>
        <v>31.06</v>
      </c>
      <c r="R211" s="326">
        <f>[91]Source!X2659</f>
        <v>602.12</v>
      </c>
      <c r="S211" s="326">
        <f>ROUND(([91]Source!DO2659/100)*ROUND((ROUND(([91]Source!AF2659*[91]Source!AV2659*[91]Source!I2659),2)),2), 2)</f>
        <v>23.36</v>
      </c>
      <c r="T211" s="326">
        <f>[91]Source!Y2659</f>
        <v>270.95</v>
      </c>
      <c r="U211" s="326">
        <f>ROUND((175/100)*ROUND((ROUND(([91]Source!AE2659*[91]Source!AV2659*[91]Source!I2659),2)),2), 2)</f>
        <v>0.49</v>
      </c>
      <c r="V211" s="326">
        <f>ROUND((157/100)*ROUND(ROUND((ROUND(([91]Source!AE2659*[91]Source!AV2659*[91]Source!I2659),2)*[91]Source!BS2659),2), 2), 2)</f>
        <v>10.64</v>
      </c>
    </row>
    <row r="212" spans="1:27" x14ac:dyDescent="0.2">
      <c r="D212" s="402" t="str">
        <f>"Объем: "&amp;[91]Source!I2659&amp;"=(0,8)/"&amp;"100"</f>
        <v>Объем: 0,008=(0,8)/100</v>
      </c>
    </row>
    <row r="213" spans="1:27" ht="14.25" x14ac:dyDescent="0.2">
      <c r="A213" s="346"/>
      <c r="B213" s="346"/>
      <c r="C213" s="347"/>
      <c r="D213" s="347" t="s">
        <v>52</v>
      </c>
      <c r="E213" s="348"/>
      <c r="F213" s="329"/>
      <c r="G213" s="349">
        <f>[91]Source!AO2659</f>
        <v>1743.28</v>
      </c>
      <c r="H213" s="350" t="str">
        <f>[91]Source!DG2659</f>
        <v>)*1,67</v>
      </c>
      <c r="I213" s="329">
        <f>[91]Source!AV2659</f>
        <v>1.0669999999999999</v>
      </c>
      <c r="J213" s="351">
        <f>ROUND((ROUND(([91]Source!AF2659*[91]Source!AV2659*[91]Source!I2659),2)),2)</f>
        <v>24.85</v>
      </c>
      <c r="K213" s="329">
        <f>IF([91]Source!BA2659&lt;&gt; 0, [91]Source!BA2659, 1)</f>
        <v>24.23</v>
      </c>
      <c r="L213" s="351">
        <f>[91]Source!S2659</f>
        <v>602.12</v>
      </c>
      <c r="W213" s="326">
        <f>J213</f>
        <v>24.85</v>
      </c>
    </row>
    <row r="214" spans="1:27" ht="14.25" x14ac:dyDescent="0.2">
      <c r="A214" s="346"/>
      <c r="B214" s="346"/>
      <c r="C214" s="347"/>
      <c r="D214" s="347" t="s">
        <v>53</v>
      </c>
      <c r="E214" s="348"/>
      <c r="F214" s="329"/>
      <c r="G214" s="349">
        <f>[91]Source!AM2659</f>
        <v>158.18</v>
      </c>
      <c r="H214" s="350">
        <f>[91]Source!DE2659</f>
        <v>0</v>
      </c>
      <c r="I214" s="329">
        <f>[91]Source!AV2659</f>
        <v>1.0669999999999999</v>
      </c>
      <c r="J214" s="351">
        <f>(ROUND((ROUND((([91]Source!ET2659)*[91]Source!AV2659*[91]Source!I2659),2)),2)+ROUND((ROUND((([91]Source!AE2659-([91]Source!EU2659))*[91]Source!AV2659*[91]Source!I2659),2)),2))-J224</f>
        <v>1.35</v>
      </c>
      <c r="K214" s="329">
        <f>IF([91]Source!BB2659&lt;&gt; 0, [91]Source!BB2659, 1)</f>
        <v>8.6</v>
      </c>
      <c r="L214" s="351">
        <f>[91]Source!Q2659-L224</f>
        <v>11.57</v>
      </c>
    </row>
    <row r="215" spans="1:27" ht="14.25" x14ac:dyDescent="0.2">
      <c r="A215" s="346"/>
      <c r="B215" s="346"/>
      <c r="C215" s="347"/>
      <c r="D215" s="347" t="s">
        <v>54</v>
      </c>
      <c r="E215" s="348"/>
      <c r="F215" s="329"/>
      <c r="G215" s="349">
        <f>[91]Source!AN2659</f>
        <v>19.579999999999998</v>
      </c>
      <c r="H215" s="350">
        <f>[91]Source!DE2659</f>
        <v>0</v>
      </c>
      <c r="I215" s="329">
        <f>[91]Source!AV2659</f>
        <v>1.0669999999999999</v>
      </c>
      <c r="J215" s="352">
        <f>ROUND((ROUND(([91]Source!AE2659*[91]Source!AV2659*[91]Source!I2659),2)),2)-J225</f>
        <v>0.17</v>
      </c>
      <c r="K215" s="329">
        <f>IF([91]Source!BS2659&lt;&gt; 0, [91]Source!BS2659, 1)</f>
        <v>24.23</v>
      </c>
      <c r="L215" s="352">
        <f>[91]Source!R2659-L225</f>
        <v>4.07</v>
      </c>
      <c r="W215" s="326">
        <f>J215</f>
        <v>0.17</v>
      </c>
    </row>
    <row r="216" spans="1:27" ht="14.25" x14ac:dyDescent="0.2">
      <c r="A216" s="346"/>
      <c r="B216" s="346"/>
      <c r="C216" s="347"/>
      <c r="D216" s="347" t="s">
        <v>55</v>
      </c>
      <c r="E216" s="348"/>
      <c r="F216" s="329"/>
      <c r="G216" s="349">
        <f>[91]Source!AL2659</f>
        <v>499.52</v>
      </c>
      <c r="H216" s="350">
        <f>[91]Source!DD2659</f>
        <v>0</v>
      </c>
      <c r="I216" s="329">
        <f>[91]Source!AW2659</f>
        <v>1</v>
      </c>
      <c r="J216" s="351">
        <f>ROUND((ROUND(([91]Source!AC2659*[91]Source!AW2659*[91]Source!I2659),2)),2)</f>
        <v>4</v>
      </c>
      <c r="K216" s="329">
        <f>IF([91]Source!BC2659&lt;&gt; 0, [91]Source!BC2659, 1)</f>
        <v>3.66</v>
      </c>
      <c r="L216" s="351">
        <f>[91]Source!P2659</f>
        <v>14.64</v>
      </c>
    </row>
    <row r="217" spans="1:27" ht="42.75" x14ac:dyDescent="0.2">
      <c r="A217" s="346">
        <v>33</v>
      </c>
      <c r="B217" s="346" t="str">
        <f>[91]Source!E2661</f>
        <v>431,1</v>
      </c>
      <c r="C217" s="347" t="str">
        <f>[91]Source!F2661</f>
        <v>1.19-3-5</v>
      </c>
      <c r="D217" s="347" t="s">
        <v>76</v>
      </c>
      <c r="E217" s="348" t="str">
        <f>[91]Source!H2661</f>
        <v>м2</v>
      </c>
      <c r="F217" s="329">
        <f>[91]Source!I2661</f>
        <v>0.8</v>
      </c>
      <c r="G217" s="349">
        <f>[91]Source!AK2661</f>
        <v>147.69999999999999</v>
      </c>
      <c r="H217" s="398" t="s">
        <v>74</v>
      </c>
      <c r="I217" s="329">
        <f>[91]Source!AW2661</f>
        <v>1</v>
      </c>
      <c r="J217" s="351">
        <f>ROUND((ROUND(([91]Source!AC2661*[91]Source!AW2661*[91]Source!I2661),2)),2)+(ROUND((ROUND((([91]Source!ET2661)*[91]Source!AV2661*[91]Source!I2661),2)),2)+ROUND((ROUND((([91]Source!AE2661-([91]Source!EU2661))*[91]Source!AV2661*[91]Source!I2661),2)),2))+ROUND((ROUND(([91]Source!AF2661*[91]Source!AV2661*[91]Source!I2661),2)),2)</f>
        <v>118.16</v>
      </c>
      <c r="K217" s="329">
        <f>IF([91]Source!BC2661&lt;&gt; 0, [91]Source!BC2661, 1)</f>
        <v>2.11</v>
      </c>
      <c r="L217" s="351">
        <f>[91]Source!O2661</f>
        <v>249.32</v>
      </c>
      <c r="Q217" s="326">
        <f>ROUND(([91]Source!DN2661/100)*ROUND((ROUND(([91]Source!AF2661*[91]Source!AV2661*[91]Source!I2661),2)),2), 2)</f>
        <v>0</v>
      </c>
      <c r="R217" s="326">
        <f>[91]Source!X2661</f>
        <v>0</v>
      </c>
      <c r="S217" s="326">
        <f>ROUND(([91]Source!DO2661/100)*ROUND((ROUND(([91]Source!AF2661*[91]Source!AV2661*[91]Source!I2661),2)),2), 2)</f>
        <v>0</v>
      </c>
      <c r="T217" s="326">
        <f>[91]Source!Y2661</f>
        <v>0</v>
      </c>
      <c r="U217" s="326">
        <f>ROUND((175/100)*ROUND((ROUND(([91]Source!AE2661*[91]Source!AV2661*[91]Source!I2661),2)),2), 2)</f>
        <v>0</v>
      </c>
      <c r="V217" s="326">
        <f>ROUND((157/100)*ROUND(ROUND((ROUND(([91]Source!AE2661*[91]Source!AV2661*[91]Source!I2661),2)*[91]Source!BS2661),2), 2), 2)</f>
        <v>0</v>
      </c>
      <c r="X217" s="326">
        <f>IF([91]Source!BI2661&lt;=1,J217, 0)</f>
        <v>118.16</v>
      </c>
      <c r="Y217" s="326">
        <f>IF([91]Source!BI2661=2,J217, 0)</f>
        <v>0</v>
      </c>
      <c r="Z217" s="326">
        <f>IF([91]Source!BI2661=3,J217, 0)</f>
        <v>0</v>
      </c>
      <c r="AA217" s="326">
        <f>IF([91]Source!BI2661=4,J217, 0)</f>
        <v>0</v>
      </c>
    </row>
    <row r="218" spans="1:27" ht="14.25" x14ac:dyDescent="0.2">
      <c r="A218" s="346"/>
      <c r="B218" s="346"/>
      <c r="C218" s="347"/>
      <c r="D218" s="347" t="s">
        <v>56</v>
      </c>
      <c r="E218" s="348" t="s">
        <v>57</v>
      </c>
      <c r="F218" s="329">
        <f>[91]Source!DN2659</f>
        <v>125</v>
      </c>
      <c r="G218" s="349"/>
      <c r="H218" s="350"/>
      <c r="I218" s="329"/>
      <c r="J218" s="351">
        <f>SUM(Q211:Q217)</f>
        <v>31.06</v>
      </c>
      <c r="K218" s="329">
        <f>[91]Source!BZ2659</f>
        <v>100</v>
      </c>
      <c r="L218" s="351">
        <f>SUM(R211:R217)</f>
        <v>602.12</v>
      </c>
    </row>
    <row r="219" spans="1:27" ht="14.25" x14ac:dyDescent="0.2">
      <c r="A219" s="346"/>
      <c r="B219" s="346"/>
      <c r="C219" s="347"/>
      <c r="D219" s="347" t="s">
        <v>58</v>
      </c>
      <c r="E219" s="348" t="s">
        <v>57</v>
      </c>
      <c r="F219" s="329">
        <f>[91]Source!DO2659</f>
        <v>94</v>
      </c>
      <c r="G219" s="349"/>
      <c r="H219" s="350"/>
      <c r="I219" s="329"/>
      <c r="J219" s="351">
        <f>SUM(S211:S218)</f>
        <v>23.36</v>
      </c>
      <c r="K219" s="329">
        <f>[91]Source!CA2659</f>
        <v>45</v>
      </c>
      <c r="L219" s="351">
        <f>SUM(T211:T218)</f>
        <v>270.95</v>
      </c>
    </row>
    <row r="220" spans="1:27" ht="14.25" x14ac:dyDescent="0.2">
      <c r="A220" s="346"/>
      <c r="B220" s="346"/>
      <c r="C220" s="347"/>
      <c r="D220" s="347" t="s">
        <v>59</v>
      </c>
      <c r="E220" s="348" t="s">
        <v>57</v>
      </c>
      <c r="F220" s="329">
        <f>175</f>
        <v>175</v>
      </c>
      <c r="G220" s="349"/>
      <c r="H220" s="350"/>
      <c r="I220" s="329"/>
      <c r="J220" s="351">
        <f>SUM(U211:U219)-J226</f>
        <v>0.3</v>
      </c>
      <c r="K220" s="329">
        <f>157</f>
        <v>157</v>
      </c>
      <c r="L220" s="351">
        <f>SUM(V211:V219)-L226</f>
        <v>6.39</v>
      </c>
    </row>
    <row r="221" spans="1:27" ht="14.25" x14ac:dyDescent="0.2">
      <c r="A221" s="346"/>
      <c r="B221" s="346"/>
      <c r="C221" s="347"/>
      <c r="D221" s="347" t="s">
        <v>60</v>
      </c>
      <c r="E221" s="348" t="s">
        <v>61</v>
      </c>
      <c r="F221" s="329">
        <f>[91]Source!AQ2659</f>
        <v>154</v>
      </c>
      <c r="G221" s="349"/>
      <c r="H221" s="350">
        <f>[91]Source!DI2659</f>
        <v>0</v>
      </c>
      <c r="I221" s="329">
        <f>[91]Source!AV2659</f>
        <v>1.0669999999999999</v>
      </c>
      <c r="J221" s="351">
        <f>[91]Source!U2659</f>
        <v>1.31</v>
      </c>
      <c r="K221" s="329"/>
      <c r="L221" s="351"/>
    </row>
    <row r="222" spans="1:27" ht="15" x14ac:dyDescent="0.25">
      <c r="I222" s="641">
        <f>J213+J214+J216+J218+J219+J220+SUM(J217:J217)</f>
        <v>203.08</v>
      </c>
      <c r="J222" s="641"/>
      <c r="K222" s="641">
        <f>L213+L214+L216+L218+L219+L220+SUM(L217:L217)</f>
        <v>1757.11</v>
      </c>
      <c r="L222" s="641"/>
      <c r="O222" s="353">
        <f>J213+J214+J216+J218+J219+J220+SUM(J217:J217)</f>
        <v>203.08</v>
      </c>
      <c r="P222" s="353">
        <f>L213+L214+L216+L218+L219+L220+SUM(L217:L217)</f>
        <v>1757.11</v>
      </c>
      <c r="X222" s="326">
        <f>IF([91]Source!BI2659&lt;=1,J213+J214+J216+J218+J219+J220-0, 0)</f>
        <v>84.92</v>
      </c>
      <c r="Y222" s="326">
        <f>IF([91]Source!BI2659=2,J213+J214+J216+J218+J219+J220-0, 0)</f>
        <v>0</v>
      </c>
      <c r="Z222" s="326">
        <f>IF([91]Source!BI2659=3,J213+J214+J216+J218+J219+J220-0, 0)</f>
        <v>0</v>
      </c>
      <c r="AA222" s="326">
        <f>IF([91]Source!BI2659=4,J213+J214+J216+J218+J219+J220,0)</f>
        <v>0</v>
      </c>
    </row>
    <row r="223" spans="1:27" ht="28.5" x14ac:dyDescent="0.2">
      <c r="A223" s="354"/>
      <c r="B223" s="354"/>
      <c r="C223" s="355"/>
      <c r="D223" s="355" t="s">
        <v>62</v>
      </c>
      <c r="E223" s="348"/>
      <c r="F223" s="356"/>
      <c r="G223" s="357"/>
      <c r="H223" s="348"/>
      <c r="I223" s="356"/>
      <c r="J223" s="352"/>
      <c r="K223" s="356"/>
      <c r="L223" s="352"/>
    </row>
    <row r="224" spans="1:27" ht="14.25" x14ac:dyDescent="0.2">
      <c r="A224" s="354"/>
      <c r="B224" s="354"/>
      <c r="C224" s="355"/>
      <c r="D224" s="355" t="s">
        <v>53</v>
      </c>
      <c r="E224" s="348"/>
      <c r="F224" s="356"/>
      <c r="G224" s="357">
        <f t="shared" ref="G224:L224" si="6">G225</f>
        <v>19.579999999999998</v>
      </c>
      <c r="H224" s="358" t="str">
        <f t="shared" si="6"/>
        <v>)*(1.67-1)</v>
      </c>
      <c r="I224" s="356">
        <f t="shared" si="6"/>
        <v>1.0669999999999999</v>
      </c>
      <c r="J224" s="352">
        <f t="shared" si="6"/>
        <v>0.11</v>
      </c>
      <c r="K224" s="356">
        <f t="shared" si="6"/>
        <v>24.23</v>
      </c>
      <c r="L224" s="352">
        <f t="shared" si="6"/>
        <v>2.71</v>
      </c>
    </row>
    <row r="225" spans="1:27" ht="14.25" x14ac:dyDescent="0.2">
      <c r="A225" s="354"/>
      <c r="B225" s="354"/>
      <c r="C225" s="355"/>
      <c r="D225" s="355" t="s">
        <v>54</v>
      </c>
      <c r="E225" s="348"/>
      <c r="F225" s="356"/>
      <c r="G225" s="357">
        <f>[91]Source!AN2659</f>
        <v>19.579999999999998</v>
      </c>
      <c r="H225" s="358" t="s">
        <v>63</v>
      </c>
      <c r="I225" s="356">
        <f>[91]Source!AV2659</f>
        <v>1.0669999999999999</v>
      </c>
      <c r="J225" s="352">
        <f>ROUND(F211*G225*I225*(1.67-1), 2)</f>
        <v>0.11</v>
      </c>
      <c r="K225" s="356">
        <f>IF([91]Source!BS2659&lt;&gt; 0, [91]Source!BS2659, 1)</f>
        <v>24.23</v>
      </c>
      <c r="L225" s="352">
        <f>ROUND(F211*G225*I225*(1.67-1)*K225, 2)</f>
        <v>2.71</v>
      </c>
      <c r="W225" s="326">
        <f>J225</f>
        <v>0.11</v>
      </c>
    </row>
    <row r="226" spans="1:27" ht="14.25" x14ac:dyDescent="0.2">
      <c r="A226" s="354"/>
      <c r="B226" s="354"/>
      <c r="C226" s="355"/>
      <c r="D226" s="355" t="s">
        <v>59</v>
      </c>
      <c r="E226" s="348" t="s">
        <v>57</v>
      </c>
      <c r="F226" s="356">
        <f>175</f>
        <v>175</v>
      </c>
      <c r="G226" s="357"/>
      <c r="H226" s="348"/>
      <c r="I226" s="356"/>
      <c r="J226" s="352">
        <f>ROUND(J225*(F226/100), 2)</f>
        <v>0.19</v>
      </c>
      <c r="K226" s="356">
        <f>157</f>
        <v>157</v>
      </c>
      <c r="L226" s="352">
        <f>ROUND(L225*(K226/100), 2)</f>
        <v>4.25</v>
      </c>
    </row>
    <row r="227" spans="1:27" ht="15" x14ac:dyDescent="0.25">
      <c r="I227" s="641">
        <f>J226+J225</f>
        <v>0.3</v>
      </c>
      <c r="J227" s="641"/>
      <c r="K227" s="641">
        <f>L226+L225</f>
        <v>6.96</v>
      </c>
      <c r="L227" s="641"/>
      <c r="O227" s="353">
        <f>I227</f>
        <v>0.3</v>
      </c>
      <c r="P227" s="353">
        <f>K227</f>
        <v>6.96</v>
      </c>
      <c r="X227" s="326">
        <f>IF([91]Source!BI2659&lt;=1,I227, 0)</f>
        <v>0.3</v>
      </c>
      <c r="Y227" s="326">
        <f>IF([91]Source!BI2659=2,I227, 0)</f>
        <v>0</v>
      </c>
      <c r="Z227" s="326">
        <f>IF([91]Source!BI2659=3,I227, 0)</f>
        <v>0</v>
      </c>
      <c r="AA227" s="326">
        <f>IF([91]Source!BI2659=4,I227, 0)</f>
        <v>0</v>
      </c>
    </row>
    <row r="229" spans="1:27" ht="15" x14ac:dyDescent="0.25">
      <c r="A229" s="359"/>
      <c r="B229" s="359"/>
      <c r="C229" s="360"/>
      <c r="D229" s="360" t="s">
        <v>64</v>
      </c>
      <c r="E229" s="361"/>
      <c r="F229" s="362"/>
      <c r="G229" s="363"/>
      <c r="H229" s="364"/>
      <c r="I229" s="641">
        <f>I222+I227</f>
        <v>203.38</v>
      </c>
      <c r="J229" s="641"/>
      <c r="K229" s="641">
        <f>K222+K227</f>
        <v>1764.07</v>
      </c>
      <c r="L229" s="641"/>
    </row>
    <row r="230" spans="1:27" ht="78.75" customHeight="1" x14ac:dyDescent="0.2">
      <c r="A230" s="346">
        <v>34</v>
      </c>
      <c r="B230" s="346" t="str">
        <f>[91]Source!E2667</f>
        <v>433</v>
      </c>
      <c r="C230" s="347" t="s">
        <v>367</v>
      </c>
      <c r="D230" s="347" t="s">
        <v>83</v>
      </c>
      <c r="E230" s="348" t="str">
        <f>[91]Source!H2667</f>
        <v>100 м2 поверхности воздуховодов</v>
      </c>
      <c r="F230" s="329">
        <f>[91]Source!I2667</f>
        <v>6.1899999999999997E-2</v>
      </c>
      <c r="G230" s="349"/>
      <c r="H230" s="350"/>
      <c r="I230" s="329"/>
      <c r="J230" s="351"/>
      <c r="K230" s="329"/>
      <c r="L230" s="351"/>
      <c r="Q230" s="326">
        <f>ROUND(([91]Source!DN2667/100)*ROUND((ROUND(([91]Source!AF2667*[91]Source!AV2667*[91]Source!I2667),2)),2), 2)</f>
        <v>240.35</v>
      </c>
      <c r="R230" s="326">
        <f>[91]Source!X2667</f>
        <v>4658.9399999999996</v>
      </c>
      <c r="S230" s="326">
        <f>ROUND(([91]Source!DO2667/100)*ROUND((ROUND(([91]Source!AF2667*[91]Source!AV2667*[91]Source!I2667),2)),2), 2)</f>
        <v>180.74</v>
      </c>
      <c r="T230" s="326">
        <f>[91]Source!Y2667</f>
        <v>2096.52</v>
      </c>
      <c r="U230" s="326">
        <f>ROUND((175/100)*ROUND((ROUND(([91]Source!AE2667*[91]Source!AV2667*[91]Source!I2667),2)),2), 2)</f>
        <v>3.78</v>
      </c>
      <c r="V230" s="326">
        <f>ROUND((157/100)*ROUND(ROUND((ROUND(([91]Source!AE2667*[91]Source!AV2667*[91]Source!I2667),2)*[91]Source!BS2667),2), 2), 2)</f>
        <v>82.17</v>
      </c>
    </row>
    <row r="231" spans="1:27" ht="38.25" x14ac:dyDescent="0.2">
      <c r="D231" s="402" t="str">
        <f>"Объем: "&amp;[91]Source!I2667&amp;"=(0,61+"&amp;"0,19+"&amp;"0,96+"&amp;"0,04+"&amp;"1,82+"&amp;"0,28+"&amp;"2,09+"&amp;"0,2)/"&amp;"100"</f>
        <v>Объем: 0,0619=(0,61+0,19+0,96+0,04+1,82+0,28+2,09+0,2)/100</v>
      </c>
    </row>
    <row r="232" spans="1:27" ht="14.25" x14ac:dyDescent="0.2">
      <c r="A232" s="346"/>
      <c r="B232" s="346"/>
      <c r="C232" s="347"/>
      <c r="D232" s="347" t="s">
        <v>52</v>
      </c>
      <c r="E232" s="348"/>
      <c r="F232" s="329"/>
      <c r="G232" s="349">
        <f>[91]Source!AO2667</f>
        <v>1743.28</v>
      </c>
      <c r="H232" s="350" t="str">
        <f>[91]Source!DG2667</f>
        <v>)*1,67</v>
      </c>
      <c r="I232" s="329">
        <f>[91]Source!AV2667</f>
        <v>1.0669999999999999</v>
      </c>
      <c r="J232" s="351">
        <f>ROUND((ROUND(([91]Source!AF2667*[91]Source!AV2667*[91]Source!I2667),2)),2)</f>
        <v>192.28</v>
      </c>
      <c r="K232" s="329">
        <f>IF([91]Source!BA2667&lt;&gt; 0, [91]Source!BA2667, 1)</f>
        <v>24.23</v>
      </c>
      <c r="L232" s="351">
        <f>[91]Source!S2667</f>
        <v>4658.9399999999996</v>
      </c>
      <c r="W232" s="326">
        <f>J232</f>
        <v>192.28</v>
      </c>
    </row>
    <row r="233" spans="1:27" ht="14.25" x14ac:dyDescent="0.2">
      <c r="A233" s="346"/>
      <c r="B233" s="346"/>
      <c r="C233" s="347"/>
      <c r="D233" s="347" t="s">
        <v>53</v>
      </c>
      <c r="E233" s="348"/>
      <c r="F233" s="329"/>
      <c r="G233" s="349">
        <f>[91]Source!AM2667</f>
        <v>158.18</v>
      </c>
      <c r="H233" s="350">
        <f>[91]Source!DE2667</f>
        <v>0</v>
      </c>
      <c r="I233" s="329">
        <f>[91]Source!AV2667</f>
        <v>1.0669999999999999</v>
      </c>
      <c r="J233" s="351">
        <f>(ROUND((ROUND((([91]Source!ET2667)*[91]Source!AV2667*[91]Source!I2667),2)),2)+ROUND((ROUND((([91]Source!AE2667-([91]Source!EU2667))*[91]Source!AV2667*[91]Source!I2667),2)),2))-J243</f>
        <v>10.45</v>
      </c>
      <c r="K233" s="329">
        <f>IF([91]Source!BB2667&lt;&gt; 0, [91]Source!BB2667, 1)</f>
        <v>8.6</v>
      </c>
      <c r="L233" s="351">
        <f>[91]Source!Q2667-L243</f>
        <v>89.96</v>
      </c>
    </row>
    <row r="234" spans="1:27" ht="14.25" x14ac:dyDescent="0.2">
      <c r="A234" s="346"/>
      <c r="B234" s="346"/>
      <c r="C234" s="347"/>
      <c r="D234" s="347" t="s">
        <v>54</v>
      </c>
      <c r="E234" s="348"/>
      <c r="F234" s="329"/>
      <c r="G234" s="349">
        <f>[91]Source!AN2667</f>
        <v>19.579999999999998</v>
      </c>
      <c r="H234" s="350">
        <f>[91]Source!DE2667</f>
        <v>0</v>
      </c>
      <c r="I234" s="329">
        <f>[91]Source!AV2667</f>
        <v>1.0669999999999999</v>
      </c>
      <c r="J234" s="352">
        <f>ROUND((ROUND(([91]Source!AE2667*[91]Source!AV2667*[91]Source!I2667),2)),2)-J244</f>
        <v>1.29</v>
      </c>
      <c r="K234" s="329">
        <f>IF([91]Source!BS2667&lt;&gt; 0, [91]Source!BS2667, 1)</f>
        <v>24.23</v>
      </c>
      <c r="L234" s="352">
        <f>[91]Source!R2667-L244</f>
        <v>31.35</v>
      </c>
      <c r="W234" s="326">
        <f>J234</f>
        <v>1.29</v>
      </c>
    </row>
    <row r="235" spans="1:27" ht="14.25" x14ac:dyDescent="0.2">
      <c r="A235" s="346"/>
      <c r="B235" s="346"/>
      <c r="C235" s="347"/>
      <c r="D235" s="347" t="s">
        <v>55</v>
      </c>
      <c r="E235" s="348"/>
      <c r="F235" s="329"/>
      <c r="G235" s="349">
        <f>[91]Source!AL2667</f>
        <v>499.52</v>
      </c>
      <c r="H235" s="350">
        <f>[91]Source!DD2667</f>
        <v>0</v>
      </c>
      <c r="I235" s="329">
        <f>[91]Source!AW2667</f>
        <v>1</v>
      </c>
      <c r="J235" s="351">
        <f>ROUND((ROUND(([91]Source!AC2667*[91]Source!AW2667*[91]Source!I2667),2)),2)</f>
        <v>30.92</v>
      </c>
      <c r="K235" s="329">
        <f>IF([91]Source!BC2667&lt;&gt; 0, [91]Source!BC2667, 1)</f>
        <v>3.66</v>
      </c>
      <c r="L235" s="351">
        <f>[91]Source!P2667</f>
        <v>113.17</v>
      </c>
    </row>
    <row r="236" spans="1:27" ht="42.75" x14ac:dyDescent="0.2">
      <c r="A236" s="346">
        <v>35</v>
      </c>
      <c r="B236" s="346" t="str">
        <f>[91]Source!E2669</f>
        <v>433,1</v>
      </c>
      <c r="C236" s="347" t="str">
        <f>[91]Source!F2669</f>
        <v>1.19-3-12</v>
      </c>
      <c r="D236" s="347" t="s">
        <v>84</v>
      </c>
      <c r="E236" s="348" t="str">
        <f>[91]Source!H2669</f>
        <v>м2</v>
      </c>
      <c r="F236" s="329">
        <f>[91]Source!I2669</f>
        <v>6.19</v>
      </c>
      <c r="G236" s="349">
        <f>[91]Source!AK2669</f>
        <v>125.64</v>
      </c>
      <c r="H236" s="398" t="s">
        <v>74</v>
      </c>
      <c r="I236" s="329">
        <f>[91]Source!AW2669</f>
        <v>1</v>
      </c>
      <c r="J236" s="351">
        <f>ROUND((ROUND(([91]Source!AC2669*[91]Source!AW2669*[91]Source!I2669),2)),2)+(ROUND((ROUND((([91]Source!ET2669)*[91]Source!AV2669*[91]Source!I2669),2)),2)+ROUND((ROUND((([91]Source!AE2669-([91]Source!EU2669))*[91]Source!AV2669*[91]Source!I2669),2)),2))+ROUND((ROUND(([91]Source!AF2669*[91]Source!AV2669*[91]Source!I2669),2)),2)</f>
        <v>777.71</v>
      </c>
      <c r="K236" s="329">
        <f>IF([91]Source!BC2669&lt;&gt; 0, [91]Source!BC2669, 1)</f>
        <v>3.84</v>
      </c>
      <c r="L236" s="351">
        <f>[91]Source!O2669</f>
        <v>2986.41</v>
      </c>
      <c r="Q236" s="326">
        <f>ROUND(([91]Source!DN2669/100)*ROUND((ROUND(([91]Source!AF2669*[91]Source!AV2669*[91]Source!I2669),2)),2), 2)</f>
        <v>0</v>
      </c>
      <c r="R236" s="326">
        <f>[91]Source!X2669</f>
        <v>0</v>
      </c>
      <c r="S236" s="326">
        <f>ROUND(([91]Source!DO2669/100)*ROUND((ROUND(([91]Source!AF2669*[91]Source!AV2669*[91]Source!I2669),2)),2), 2)</f>
        <v>0</v>
      </c>
      <c r="T236" s="326">
        <f>[91]Source!Y2669</f>
        <v>0</v>
      </c>
      <c r="U236" s="326">
        <f>ROUND((175/100)*ROUND((ROUND(([91]Source!AE2669*[91]Source!AV2669*[91]Source!I2669),2)),2), 2)</f>
        <v>0</v>
      </c>
      <c r="V236" s="326">
        <f>ROUND((157/100)*ROUND(ROUND((ROUND(([91]Source!AE2669*[91]Source!AV2669*[91]Source!I2669),2)*[91]Source!BS2669),2), 2), 2)</f>
        <v>0</v>
      </c>
      <c r="X236" s="326">
        <f>IF([91]Source!BI2669&lt;=1,J236, 0)</f>
        <v>777.71</v>
      </c>
      <c r="Y236" s="326">
        <f>IF([91]Source!BI2669=2,J236, 0)</f>
        <v>0</v>
      </c>
      <c r="Z236" s="326">
        <f>IF([91]Source!BI2669=3,J236, 0)</f>
        <v>0</v>
      </c>
      <c r="AA236" s="326">
        <f>IF([91]Source!BI2669=4,J236, 0)</f>
        <v>0</v>
      </c>
    </row>
    <row r="237" spans="1:27" ht="14.25" x14ac:dyDescent="0.2">
      <c r="A237" s="346"/>
      <c r="B237" s="346"/>
      <c r="C237" s="347"/>
      <c r="D237" s="347" t="s">
        <v>56</v>
      </c>
      <c r="E237" s="348" t="s">
        <v>57</v>
      </c>
      <c r="F237" s="329">
        <f>[91]Source!DN2667</f>
        <v>125</v>
      </c>
      <c r="G237" s="349"/>
      <c r="H237" s="350"/>
      <c r="I237" s="329"/>
      <c r="J237" s="351">
        <f>SUM(Q230:Q236)</f>
        <v>240.35</v>
      </c>
      <c r="K237" s="329">
        <f>[91]Source!BZ2667</f>
        <v>100</v>
      </c>
      <c r="L237" s="351">
        <f>SUM(R230:R236)</f>
        <v>4658.9399999999996</v>
      </c>
    </row>
    <row r="238" spans="1:27" ht="14.25" x14ac:dyDescent="0.2">
      <c r="A238" s="346"/>
      <c r="B238" s="346"/>
      <c r="C238" s="347"/>
      <c r="D238" s="347" t="s">
        <v>58</v>
      </c>
      <c r="E238" s="348" t="s">
        <v>57</v>
      </c>
      <c r="F238" s="329">
        <f>[91]Source!DO2667</f>
        <v>94</v>
      </c>
      <c r="G238" s="349"/>
      <c r="H238" s="350"/>
      <c r="I238" s="329"/>
      <c r="J238" s="351">
        <f>SUM(S230:S237)</f>
        <v>180.74</v>
      </c>
      <c r="K238" s="329">
        <f>[91]Source!CA2667</f>
        <v>45</v>
      </c>
      <c r="L238" s="351">
        <f>SUM(T230:T237)</f>
        <v>2096.52</v>
      </c>
    </row>
    <row r="239" spans="1:27" ht="14.25" x14ac:dyDescent="0.2">
      <c r="A239" s="346"/>
      <c r="B239" s="346"/>
      <c r="C239" s="347"/>
      <c r="D239" s="347" t="s">
        <v>59</v>
      </c>
      <c r="E239" s="348" t="s">
        <v>57</v>
      </c>
      <c r="F239" s="329">
        <f>175</f>
        <v>175</v>
      </c>
      <c r="G239" s="349"/>
      <c r="H239" s="350"/>
      <c r="I239" s="329"/>
      <c r="J239" s="351">
        <f>SUM(U230:U238)-J245</f>
        <v>2.2599999999999998</v>
      </c>
      <c r="K239" s="329">
        <f>157</f>
        <v>157</v>
      </c>
      <c r="L239" s="351">
        <f>SUM(V230:V238)-L245</f>
        <v>49.22</v>
      </c>
    </row>
    <row r="240" spans="1:27" ht="14.25" x14ac:dyDescent="0.2">
      <c r="A240" s="346"/>
      <c r="B240" s="346"/>
      <c r="C240" s="347"/>
      <c r="D240" s="347" t="s">
        <v>60</v>
      </c>
      <c r="E240" s="348" t="s">
        <v>61</v>
      </c>
      <c r="F240" s="329">
        <f>[91]Source!AQ2667</f>
        <v>154</v>
      </c>
      <c r="G240" s="349"/>
      <c r="H240" s="350">
        <f>[91]Source!DI2667</f>
        <v>0</v>
      </c>
      <c r="I240" s="329">
        <f>[91]Source!AV2667</f>
        <v>1.0669999999999999</v>
      </c>
      <c r="J240" s="351">
        <f>[91]Source!U2667</f>
        <v>10.17</v>
      </c>
      <c r="K240" s="329"/>
      <c r="L240" s="351"/>
    </row>
    <row r="241" spans="1:27" ht="15" x14ac:dyDescent="0.25">
      <c r="I241" s="641">
        <f>J232+J233+J235+J237+J238+J239+SUM(J236:J236)</f>
        <v>1434.71</v>
      </c>
      <c r="J241" s="641"/>
      <c r="K241" s="641">
        <f>L232+L233+L235+L237+L238+L239+SUM(L236:L236)</f>
        <v>14653.16</v>
      </c>
      <c r="L241" s="641"/>
      <c r="O241" s="353">
        <f>J232+J233+J235+J237+J238+J239+SUM(J236:J236)</f>
        <v>1434.71</v>
      </c>
      <c r="P241" s="353">
        <f>L232+L233+L235+L237+L238+L239+SUM(L236:L236)</f>
        <v>14653.16</v>
      </c>
      <c r="X241" s="326">
        <f>IF([91]Source!BI2667&lt;=1,J232+J233+J235+J237+J238+J239-0, 0)</f>
        <v>657</v>
      </c>
      <c r="Y241" s="326">
        <f>IF([91]Source!BI2667=2,J232+J233+J235+J237+J238+J239-0, 0)</f>
        <v>0</v>
      </c>
      <c r="Z241" s="326">
        <f>IF([91]Source!BI2667=3,J232+J233+J235+J237+J238+J239-0, 0)</f>
        <v>0</v>
      </c>
      <c r="AA241" s="326">
        <f>IF([91]Source!BI2667=4,J232+J233+J235+J237+J238+J239,0)</f>
        <v>0</v>
      </c>
    </row>
    <row r="242" spans="1:27" ht="28.5" x14ac:dyDescent="0.2">
      <c r="A242" s="354"/>
      <c r="B242" s="354"/>
      <c r="C242" s="355"/>
      <c r="D242" s="355" t="s">
        <v>62</v>
      </c>
      <c r="E242" s="348"/>
      <c r="F242" s="356"/>
      <c r="G242" s="357"/>
      <c r="H242" s="348"/>
      <c r="I242" s="356"/>
      <c r="J242" s="352"/>
      <c r="K242" s="356"/>
      <c r="L242" s="352"/>
    </row>
    <row r="243" spans="1:27" ht="14.25" x14ac:dyDescent="0.2">
      <c r="A243" s="354"/>
      <c r="B243" s="354"/>
      <c r="C243" s="355"/>
      <c r="D243" s="355" t="s">
        <v>53</v>
      </c>
      <c r="E243" s="348"/>
      <c r="F243" s="356"/>
      <c r="G243" s="357">
        <f t="shared" ref="G243:L243" si="7">G244</f>
        <v>19.579999999999998</v>
      </c>
      <c r="H243" s="358" t="str">
        <f t="shared" si="7"/>
        <v>)*(1.67-1)</v>
      </c>
      <c r="I243" s="356">
        <f t="shared" si="7"/>
        <v>1.0669999999999999</v>
      </c>
      <c r="J243" s="352">
        <f t="shared" si="7"/>
        <v>0.87</v>
      </c>
      <c r="K243" s="356">
        <f t="shared" si="7"/>
        <v>24.23</v>
      </c>
      <c r="L243" s="352">
        <f t="shared" si="7"/>
        <v>20.99</v>
      </c>
    </row>
    <row r="244" spans="1:27" ht="14.25" x14ac:dyDescent="0.2">
      <c r="A244" s="354"/>
      <c r="B244" s="354"/>
      <c r="C244" s="355"/>
      <c r="D244" s="355" t="s">
        <v>54</v>
      </c>
      <c r="E244" s="348"/>
      <c r="F244" s="356"/>
      <c r="G244" s="357">
        <f>[91]Source!AN2667</f>
        <v>19.579999999999998</v>
      </c>
      <c r="H244" s="358" t="s">
        <v>63</v>
      </c>
      <c r="I244" s="356">
        <f>[91]Source!AV2667</f>
        <v>1.0669999999999999</v>
      </c>
      <c r="J244" s="352">
        <f>ROUND(F230*G244*I244*(1.67-1), 2)</f>
        <v>0.87</v>
      </c>
      <c r="K244" s="356">
        <f>IF([91]Source!BS2667&lt;&gt; 0, [91]Source!BS2667, 1)</f>
        <v>24.23</v>
      </c>
      <c r="L244" s="352">
        <f>ROUND(F230*G244*I244*(1.67-1)*K244, 2)</f>
        <v>20.99</v>
      </c>
      <c r="W244" s="326">
        <f>J244</f>
        <v>0.87</v>
      </c>
    </row>
    <row r="245" spans="1:27" ht="14.25" x14ac:dyDescent="0.2">
      <c r="A245" s="354"/>
      <c r="B245" s="354"/>
      <c r="C245" s="355"/>
      <c r="D245" s="355" t="s">
        <v>59</v>
      </c>
      <c r="E245" s="348" t="s">
        <v>57</v>
      </c>
      <c r="F245" s="356">
        <f>175</f>
        <v>175</v>
      </c>
      <c r="G245" s="357"/>
      <c r="H245" s="348"/>
      <c r="I245" s="356"/>
      <c r="J245" s="352">
        <f>ROUND(J244*(F245/100), 2)</f>
        <v>1.52</v>
      </c>
      <c r="K245" s="356">
        <f>157</f>
        <v>157</v>
      </c>
      <c r="L245" s="352">
        <f>ROUND(L244*(K245/100), 2)</f>
        <v>32.950000000000003</v>
      </c>
    </row>
    <row r="246" spans="1:27" ht="15" x14ac:dyDescent="0.25">
      <c r="I246" s="641">
        <f>J245+J244</f>
        <v>2.39</v>
      </c>
      <c r="J246" s="641"/>
      <c r="K246" s="641">
        <f>L245+L244</f>
        <v>53.94</v>
      </c>
      <c r="L246" s="641"/>
      <c r="O246" s="353">
        <f>I246</f>
        <v>2.39</v>
      </c>
      <c r="P246" s="353">
        <f>K246</f>
        <v>53.94</v>
      </c>
      <c r="X246" s="326">
        <f>IF([91]Source!BI2667&lt;=1,I246, 0)</f>
        <v>2.39</v>
      </c>
      <c r="Y246" s="326">
        <f>IF([91]Source!BI2667=2,I246, 0)</f>
        <v>0</v>
      </c>
      <c r="Z246" s="326">
        <f>IF([91]Source!BI2667=3,I246, 0)</f>
        <v>0</v>
      </c>
      <c r="AA246" s="326">
        <f>IF([91]Source!BI2667=4,I246, 0)</f>
        <v>0</v>
      </c>
    </row>
    <row r="248" spans="1:27" ht="15" x14ac:dyDescent="0.25">
      <c r="A248" s="359"/>
      <c r="B248" s="359"/>
      <c r="C248" s="360"/>
      <c r="D248" s="360" t="s">
        <v>64</v>
      </c>
      <c r="E248" s="361"/>
      <c r="F248" s="362"/>
      <c r="G248" s="363"/>
      <c r="H248" s="364"/>
      <c r="I248" s="641">
        <f>I241+I246</f>
        <v>1437.1</v>
      </c>
      <c r="J248" s="641"/>
      <c r="K248" s="641">
        <f>K241+K246</f>
        <v>14707.1</v>
      </c>
      <c r="L248" s="641"/>
    </row>
    <row r="249" spans="1:27" ht="78" customHeight="1" x14ac:dyDescent="0.2">
      <c r="A249" s="346">
        <v>36</v>
      </c>
      <c r="B249" s="346" t="str">
        <f>[91]Source!E2671</f>
        <v>434</v>
      </c>
      <c r="C249" s="347" t="s">
        <v>368</v>
      </c>
      <c r="D249" s="347" t="s">
        <v>85</v>
      </c>
      <c r="E249" s="348" t="str">
        <f>[91]Source!H2671</f>
        <v>100 м2 поверхности воздуховодов</v>
      </c>
      <c r="F249" s="329">
        <f>[91]Source!I2671</f>
        <v>0.12280000000000001</v>
      </c>
      <c r="G249" s="349"/>
      <c r="H249" s="350"/>
      <c r="I249" s="329"/>
      <c r="J249" s="351"/>
      <c r="K249" s="329"/>
      <c r="L249" s="351"/>
      <c r="Q249" s="326">
        <f>ROUND(([91]Source!DN2671/100)*ROUND((ROUND(([91]Source!AF2671*[91]Source!AV2671*[91]Source!I2671),2)),2), 2)</f>
        <v>436.58</v>
      </c>
      <c r="R249" s="326">
        <f>[91]Source!X2671</f>
        <v>8462.57</v>
      </c>
      <c r="S249" s="326">
        <f>ROUND(([91]Source!DO2671/100)*ROUND((ROUND(([91]Source!AF2671*[91]Source!AV2671*[91]Source!I2671),2)),2), 2)</f>
        <v>328.3</v>
      </c>
      <c r="T249" s="326">
        <f>[91]Source!Y2671</f>
        <v>3808.16</v>
      </c>
      <c r="U249" s="326">
        <f>ROUND((175/100)*ROUND((ROUND(([91]Source!AE2671*[91]Source!AV2671*[91]Source!I2671),2)),2), 2)</f>
        <v>5.92</v>
      </c>
      <c r="V249" s="326">
        <f>ROUND((157/100)*ROUND(ROUND((ROUND(([91]Source!AE2671*[91]Source!AV2671*[91]Source!I2671),2)*[91]Source!BS2671),2), 2), 2)</f>
        <v>128.58000000000001</v>
      </c>
    </row>
    <row r="250" spans="1:27" x14ac:dyDescent="0.2">
      <c r="D250" s="402" t="str">
        <f>"Объем: "&amp;[91]Source!I2671&amp;"=(0,56+"&amp;"0,29+"&amp;"9,09+"&amp;"2,34)/"&amp;"100"</f>
        <v>Объем: 0,1228=(0,56+0,29+9,09+2,34)/100</v>
      </c>
    </row>
    <row r="251" spans="1:27" ht="14.25" x14ac:dyDescent="0.2">
      <c r="A251" s="346"/>
      <c r="B251" s="346"/>
      <c r="C251" s="347"/>
      <c r="D251" s="347" t="s">
        <v>52</v>
      </c>
      <c r="E251" s="348"/>
      <c r="F251" s="329"/>
      <c r="G251" s="349">
        <f>[91]Source!AO2671</f>
        <v>1596.12</v>
      </c>
      <c r="H251" s="350" t="str">
        <f>[91]Source!DG2671</f>
        <v>)*1,67</v>
      </c>
      <c r="I251" s="329">
        <f>[91]Source!AV2671</f>
        <v>1.0669999999999999</v>
      </c>
      <c r="J251" s="351">
        <f>ROUND((ROUND(([91]Source!AF2671*[91]Source!AV2671*[91]Source!I2671),2)),2)</f>
        <v>349.26</v>
      </c>
      <c r="K251" s="329">
        <f>IF([91]Source!BA2671&lt;&gt; 0, [91]Source!BA2671, 1)</f>
        <v>24.23</v>
      </c>
      <c r="L251" s="351">
        <f>[91]Source!S2671</f>
        <v>8462.57</v>
      </c>
      <c r="W251" s="326">
        <f>J251</f>
        <v>349.26</v>
      </c>
    </row>
    <row r="252" spans="1:27" ht="14.25" x14ac:dyDescent="0.2">
      <c r="A252" s="346"/>
      <c r="B252" s="346"/>
      <c r="C252" s="347"/>
      <c r="D252" s="347" t="s">
        <v>53</v>
      </c>
      <c r="E252" s="348"/>
      <c r="F252" s="329"/>
      <c r="G252" s="349">
        <f>[91]Source!AM2671</f>
        <v>125.93</v>
      </c>
      <c r="H252" s="350">
        <f>[91]Source!DE2671</f>
        <v>0</v>
      </c>
      <c r="I252" s="329">
        <f>[91]Source!AV2671</f>
        <v>1.0669999999999999</v>
      </c>
      <c r="J252" s="351">
        <f>(ROUND((ROUND((([91]Source!ET2671)*[91]Source!AV2671*[91]Source!I2671),2)),2)+ROUND((ROUND((([91]Source!AE2671-([91]Source!EU2671))*[91]Source!AV2671*[91]Source!I2671),2)),2))-J262</f>
        <v>16.5</v>
      </c>
      <c r="K252" s="329">
        <f>IF([91]Source!BB2671&lt;&gt; 0, [91]Source!BB2671, 1)</f>
        <v>8.59</v>
      </c>
      <c r="L252" s="351">
        <f>[91]Source!Q2671-L262</f>
        <v>141.63</v>
      </c>
    </row>
    <row r="253" spans="1:27" ht="14.25" x14ac:dyDescent="0.2">
      <c r="A253" s="346"/>
      <c r="B253" s="346"/>
      <c r="C253" s="347"/>
      <c r="D253" s="347" t="s">
        <v>54</v>
      </c>
      <c r="E253" s="348"/>
      <c r="F253" s="329"/>
      <c r="G253" s="349">
        <f>[91]Source!AN2671</f>
        <v>15.43</v>
      </c>
      <c r="H253" s="350">
        <f>[91]Source!DE2671</f>
        <v>0</v>
      </c>
      <c r="I253" s="329">
        <f>[91]Source!AV2671</f>
        <v>1.0669999999999999</v>
      </c>
      <c r="J253" s="352">
        <f>ROUND((ROUND(([91]Source!AE2671*[91]Source!AV2671*[91]Source!I2671),2)),2)-J263</f>
        <v>2.0299999999999998</v>
      </c>
      <c r="K253" s="329">
        <f>IF([91]Source!BS2671&lt;&gt; 0, [91]Source!BS2671, 1)</f>
        <v>24.23</v>
      </c>
      <c r="L253" s="352">
        <f>[91]Source!R2671-L263</f>
        <v>49.08</v>
      </c>
      <c r="W253" s="326">
        <f>J253</f>
        <v>2.0299999999999998</v>
      </c>
    </row>
    <row r="254" spans="1:27" ht="14.25" x14ac:dyDescent="0.2">
      <c r="A254" s="346"/>
      <c r="B254" s="346"/>
      <c r="C254" s="347"/>
      <c r="D254" s="347" t="s">
        <v>55</v>
      </c>
      <c r="E254" s="348"/>
      <c r="F254" s="329"/>
      <c r="G254" s="349">
        <f>[91]Source!AL2671</f>
        <v>499.17</v>
      </c>
      <c r="H254" s="350">
        <f>[91]Source!DD2671</f>
        <v>0</v>
      </c>
      <c r="I254" s="329">
        <f>[91]Source!AW2671</f>
        <v>1</v>
      </c>
      <c r="J254" s="351">
        <f>ROUND((ROUND(([91]Source!AC2671*[91]Source!AW2671*[91]Source!I2671),2)),2)</f>
        <v>61.3</v>
      </c>
      <c r="K254" s="329">
        <f>IF([91]Source!BC2671&lt;&gt; 0, [91]Source!BC2671, 1)</f>
        <v>3.65</v>
      </c>
      <c r="L254" s="351">
        <f>[91]Source!P2671</f>
        <v>223.75</v>
      </c>
    </row>
    <row r="255" spans="1:27" ht="42.75" x14ac:dyDescent="0.2">
      <c r="A255" s="346">
        <v>37</v>
      </c>
      <c r="B255" s="346" t="str">
        <f>[91]Source!E2673</f>
        <v>434,1</v>
      </c>
      <c r="C255" s="347" t="str">
        <f>[91]Source!F2673</f>
        <v>1.19-3-12</v>
      </c>
      <c r="D255" s="347" t="s">
        <v>84</v>
      </c>
      <c r="E255" s="348" t="str">
        <f>[91]Source!H2673</f>
        <v>м2</v>
      </c>
      <c r="F255" s="329">
        <f>[91]Source!I2673</f>
        <v>12.28</v>
      </c>
      <c r="G255" s="349">
        <f>[91]Source!AK2673</f>
        <v>125.64</v>
      </c>
      <c r="H255" s="398" t="s">
        <v>74</v>
      </c>
      <c r="I255" s="329">
        <f>[91]Source!AW2673</f>
        <v>1</v>
      </c>
      <c r="J255" s="351">
        <f>ROUND((ROUND(([91]Source!AC2673*[91]Source!AW2673*[91]Source!I2673),2)),2)+(ROUND((ROUND((([91]Source!ET2673)*[91]Source!AV2673*[91]Source!I2673),2)),2)+ROUND((ROUND((([91]Source!AE2673-([91]Source!EU2673))*[91]Source!AV2673*[91]Source!I2673),2)),2))+ROUND((ROUND(([91]Source!AF2673*[91]Source!AV2673*[91]Source!I2673),2)),2)</f>
        <v>1542.86</v>
      </c>
      <c r="K255" s="329">
        <f>IF([91]Source!BC2673&lt;&gt; 0, [91]Source!BC2673, 1)</f>
        <v>3.84</v>
      </c>
      <c r="L255" s="351">
        <f>[91]Source!O2673</f>
        <v>5924.58</v>
      </c>
      <c r="Q255" s="326">
        <f>ROUND(([91]Source!DN2673/100)*ROUND((ROUND(([91]Source!AF2673*[91]Source!AV2673*[91]Source!I2673),2)),2), 2)</f>
        <v>0</v>
      </c>
      <c r="R255" s="326">
        <f>[91]Source!X2673</f>
        <v>0</v>
      </c>
      <c r="S255" s="326">
        <f>ROUND(([91]Source!DO2673/100)*ROUND((ROUND(([91]Source!AF2673*[91]Source!AV2673*[91]Source!I2673),2)),2), 2)</f>
        <v>0</v>
      </c>
      <c r="T255" s="326">
        <f>[91]Source!Y2673</f>
        <v>0</v>
      </c>
      <c r="U255" s="326">
        <f>ROUND((175/100)*ROUND((ROUND(([91]Source!AE2673*[91]Source!AV2673*[91]Source!I2673),2)),2), 2)</f>
        <v>0</v>
      </c>
      <c r="V255" s="326">
        <f>ROUND((157/100)*ROUND(ROUND((ROUND(([91]Source!AE2673*[91]Source!AV2673*[91]Source!I2673),2)*[91]Source!BS2673),2), 2), 2)</f>
        <v>0</v>
      </c>
      <c r="X255" s="326">
        <f>IF([91]Source!BI2673&lt;=1,J255, 0)</f>
        <v>1542.86</v>
      </c>
      <c r="Y255" s="326">
        <f>IF([91]Source!BI2673=2,J255, 0)</f>
        <v>0</v>
      </c>
      <c r="Z255" s="326">
        <f>IF([91]Source!BI2673=3,J255, 0)</f>
        <v>0</v>
      </c>
      <c r="AA255" s="326">
        <f>IF([91]Source!BI2673=4,J255, 0)</f>
        <v>0</v>
      </c>
    </row>
    <row r="256" spans="1:27" ht="14.25" x14ac:dyDescent="0.2">
      <c r="A256" s="346"/>
      <c r="B256" s="346"/>
      <c r="C256" s="347"/>
      <c r="D256" s="347" t="s">
        <v>56</v>
      </c>
      <c r="E256" s="348" t="s">
        <v>57</v>
      </c>
      <c r="F256" s="329">
        <f>[91]Source!DN2671</f>
        <v>125</v>
      </c>
      <c r="G256" s="349"/>
      <c r="H256" s="350"/>
      <c r="I256" s="329"/>
      <c r="J256" s="351">
        <f>SUM(Q249:Q255)</f>
        <v>436.58</v>
      </c>
      <c r="K256" s="329">
        <f>[91]Source!BZ2671</f>
        <v>100</v>
      </c>
      <c r="L256" s="351">
        <f>SUM(R249:R255)</f>
        <v>8462.57</v>
      </c>
    </row>
    <row r="257" spans="1:27" ht="14.25" x14ac:dyDescent="0.2">
      <c r="A257" s="346"/>
      <c r="B257" s="346"/>
      <c r="C257" s="347"/>
      <c r="D257" s="347" t="s">
        <v>58</v>
      </c>
      <c r="E257" s="348" t="s">
        <v>57</v>
      </c>
      <c r="F257" s="329">
        <f>[91]Source!DO2671</f>
        <v>94</v>
      </c>
      <c r="G257" s="349"/>
      <c r="H257" s="350"/>
      <c r="I257" s="329"/>
      <c r="J257" s="351">
        <f>SUM(S249:S256)</f>
        <v>328.3</v>
      </c>
      <c r="K257" s="329">
        <f>[91]Source!CA2671</f>
        <v>45</v>
      </c>
      <c r="L257" s="351">
        <f>SUM(T249:T256)</f>
        <v>3808.16</v>
      </c>
    </row>
    <row r="258" spans="1:27" ht="14.25" x14ac:dyDescent="0.2">
      <c r="A258" s="346"/>
      <c r="B258" s="346"/>
      <c r="C258" s="347"/>
      <c r="D258" s="347" t="s">
        <v>59</v>
      </c>
      <c r="E258" s="348" t="s">
        <v>57</v>
      </c>
      <c r="F258" s="329">
        <f>175</f>
        <v>175</v>
      </c>
      <c r="G258" s="349"/>
      <c r="H258" s="350"/>
      <c r="I258" s="329"/>
      <c r="J258" s="351">
        <f>SUM(U249:U257)-J264</f>
        <v>3.56</v>
      </c>
      <c r="K258" s="329">
        <f>157</f>
        <v>157</v>
      </c>
      <c r="L258" s="351">
        <f>SUM(V249:V257)-L264</f>
        <v>77.05</v>
      </c>
    </row>
    <row r="259" spans="1:27" ht="14.25" x14ac:dyDescent="0.2">
      <c r="A259" s="346"/>
      <c r="B259" s="346"/>
      <c r="C259" s="347"/>
      <c r="D259" s="347" t="s">
        <v>60</v>
      </c>
      <c r="E259" s="348" t="s">
        <v>61</v>
      </c>
      <c r="F259" s="329">
        <f>[91]Source!AQ2671</f>
        <v>141</v>
      </c>
      <c r="G259" s="349"/>
      <c r="H259" s="350">
        <f>[91]Source!DI2671</f>
        <v>0</v>
      </c>
      <c r="I259" s="329">
        <f>[91]Source!AV2671</f>
        <v>1.0669999999999999</v>
      </c>
      <c r="J259" s="351">
        <f>[91]Source!U2671</f>
        <v>18.47</v>
      </c>
      <c r="K259" s="329"/>
      <c r="L259" s="351"/>
    </row>
    <row r="260" spans="1:27" ht="15" x14ac:dyDescent="0.25">
      <c r="I260" s="641">
        <f>J251+J252+J254+J256+J257+J258+SUM(J255:J255)</f>
        <v>2738.36</v>
      </c>
      <c r="J260" s="641"/>
      <c r="K260" s="641">
        <f>L251+L252+L254+L256+L257+L258+SUM(L255:L255)</f>
        <v>27100.31</v>
      </c>
      <c r="L260" s="641"/>
      <c r="O260" s="353">
        <f>J251+J252+J254+J256+J257+J258+SUM(J255:J255)</f>
        <v>2738.36</v>
      </c>
      <c r="P260" s="353">
        <f>L251+L252+L254+L256+L257+L258+SUM(L255:L255)</f>
        <v>27100.31</v>
      </c>
      <c r="X260" s="326">
        <f>IF([91]Source!BI2671&lt;=1,J251+J252+J254+J256+J257+J258-0, 0)</f>
        <v>1195.5</v>
      </c>
      <c r="Y260" s="326">
        <f>IF([91]Source!BI2671=2,J251+J252+J254+J256+J257+J258-0, 0)</f>
        <v>0</v>
      </c>
      <c r="Z260" s="326">
        <f>IF([91]Source!BI2671=3,J251+J252+J254+J256+J257+J258-0, 0)</f>
        <v>0</v>
      </c>
      <c r="AA260" s="326">
        <f>IF([91]Source!BI2671=4,J251+J252+J254+J256+J257+J258,0)</f>
        <v>0</v>
      </c>
    </row>
    <row r="261" spans="1:27" ht="28.5" x14ac:dyDescent="0.2">
      <c r="A261" s="354"/>
      <c r="B261" s="354"/>
      <c r="C261" s="355"/>
      <c r="D261" s="355" t="s">
        <v>62</v>
      </c>
      <c r="E261" s="348"/>
      <c r="F261" s="356"/>
      <c r="G261" s="357"/>
      <c r="H261" s="348"/>
      <c r="I261" s="356"/>
      <c r="J261" s="352"/>
      <c r="K261" s="356"/>
      <c r="L261" s="352"/>
    </row>
    <row r="262" spans="1:27" ht="14.25" x14ac:dyDescent="0.2">
      <c r="A262" s="354"/>
      <c r="B262" s="354"/>
      <c r="C262" s="355"/>
      <c r="D262" s="355" t="s">
        <v>53</v>
      </c>
      <c r="E262" s="348"/>
      <c r="F262" s="356"/>
      <c r="G262" s="357">
        <f t="shared" ref="G262:L262" si="8">G263</f>
        <v>15.43</v>
      </c>
      <c r="H262" s="358" t="str">
        <f t="shared" si="8"/>
        <v>)*(1.67-1)</v>
      </c>
      <c r="I262" s="356">
        <f t="shared" si="8"/>
        <v>1.0669999999999999</v>
      </c>
      <c r="J262" s="352">
        <f t="shared" si="8"/>
        <v>1.35</v>
      </c>
      <c r="K262" s="356">
        <f t="shared" si="8"/>
        <v>24.23</v>
      </c>
      <c r="L262" s="352">
        <f t="shared" si="8"/>
        <v>32.82</v>
      </c>
    </row>
    <row r="263" spans="1:27" ht="14.25" x14ac:dyDescent="0.2">
      <c r="A263" s="354"/>
      <c r="B263" s="354"/>
      <c r="C263" s="355"/>
      <c r="D263" s="355" t="s">
        <v>54</v>
      </c>
      <c r="E263" s="348"/>
      <c r="F263" s="356"/>
      <c r="G263" s="357">
        <f>[91]Source!AN2671</f>
        <v>15.43</v>
      </c>
      <c r="H263" s="358" t="s">
        <v>63</v>
      </c>
      <c r="I263" s="356">
        <f>[91]Source!AV2671</f>
        <v>1.0669999999999999</v>
      </c>
      <c r="J263" s="352">
        <f>ROUND(F249*G263*I263*(1.67-1), 2)</f>
        <v>1.35</v>
      </c>
      <c r="K263" s="356">
        <f>IF([91]Source!BS2671&lt;&gt; 0, [91]Source!BS2671, 1)</f>
        <v>24.23</v>
      </c>
      <c r="L263" s="352">
        <f>ROUND(F249*G263*I263*(1.67-1)*K263, 2)</f>
        <v>32.82</v>
      </c>
      <c r="W263" s="326">
        <f>J263</f>
        <v>1.35</v>
      </c>
    </row>
    <row r="264" spans="1:27" ht="14.25" x14ac:dyDescent="0.2">
      <c r="A264" s="354"/>
      <c r="B264" s="354"/>
      <c r="C264" s="355"/>
      <c r="D264" s="355" t="s">
        <v>59</v>
      </c>
      <c r="E264" s="348" t="s">
        <v>57</v>
      </c>
      <c r="F264" s="356">
        <f>175</f>
        <v>175</v>
      </c>
      <c r="G264" s="357"/>
      <c r="H264" s="348"/>
      <c r="I264" s="356"/>
      <c r="J264" s="352">
        <f>ROUND(J263*(F264/100), 2)</f>
        <v>2.36</v>
      </c>
      <c r="K264" s="356">
        <f>157</f>
        <v>157</v>
      </c>
      <c r="L264" s="352">
        <f>ROUND(L263*(K264/100), 2)</f>
        <v>51.53</v>
      </c>
    </row>
    <row r="265" spans="1:27" ht="15" x14ac:dyDescent="0.25">
      <c r="I265" s="641">
        <f>J264+J263</f>
        <v>3.71</v>
      </c>
      <c r="J265" s="641"/>
      <c r="K265" s="641">
        <f>L264+L263</f>
        <v>84.35</v>
      </c>
      <c r="L265" s="641"/>
      <c r="O265" s="353">
        <f>I265</f>
        <v>3.71</v>
      </c>
      <c r="P265" s="353">
        <f>K265</f>
        <v>84.35</v>
      </c>
      <c r="X265" s="326">
        <f>IF([91]Source!BI2671&lt;=1,I265, 0)</f>
        <v>3.71</v>
      </c>
      <c r="Y265" s="326">
        <f>IF([91]Source!BI2671=2,I265, 0)</f>
        <v>0</v>
      </c>
      <c r="Z265" s="326">
        <f>IF([91]Source!BI2671=3,I265, 0)</f>
        <v>0</v>
      </c>
      <c r="AA265" s="326">
        <f>IF([91]Source!BI2671=4,I265, 0)</f>
        <v>0</v>
      </c>
    </row>
    <row r="267" spans="1:27" ht="15" x14ac:dyDescent="0.25">
      <c r="A267" s="359"/>
      <c r="B267" s="359"/>
      <c r="C267" s="360"/>
      <c r="D267" s="360" t="s">
        <v>64</v>
      </c>
      <c r="E267" s="361"/>
      <c r="F267" s="362"/>
      <c r="G267" s="363"/>
      <c r="H267" s="364"/>
      <c r="I267" s="641">
        <f>I260+I265</f>
        <v>2742.07</v>
      </c>
      <c r="J267" s="641"/>
      <c r="K267" s="641">
        <f>K260+K265</f>
        <v>27184.66</v>
      </c>
      <c r="L267" s="641"/>
    </row>
    <row r="268" spans="1:27" ht="78.75" customHeight="1" x14ac:dyDescent="0.2">
      <c r="A268" s="346">
        <v>38</v>
      </c>
      <c r="B268" s="346" t="str">
        <f>[91]Source!E2691</f>
        <v>439</v>
      </c>
      <c r="C268" s="347" t="s">
        <v>369</v>
      </c>
      <c r="D268" s="347" t="s">
        <v>86</v>
      </c>
      <c r="E268" s="348" t="str">
        <f>[91]Source!H2691</f>
        <v>100 м2 поверхности воздуховодов</v>
      </c>
      <c r="F268" s="329">
        <f>[91]Source!I2691</f>
        <v>0.42299999999999999</v>
      </c>
      <c r="G268" s="349"/>
      <c r="H268" s="350"/>
      <c r="I268" s="329"/>
      <c r="J268" s="351"/>
      <c r="K268" s="329"/>
      <c r="L268" s="351"/>
      <c r="Q268" s="326">
        <f>ROUND(([91]Source!DN2691/100)*ROUND((ROUND(([91]Source!AF2691*[91]Source!AV2691*[91]Source!I2691),2)),2), 2)</f>
        <v>1301.18</v>
      </c>
      <c r="R268" s="326">
        <f>[91]Source!X2691</f>
        <v>25221.98</v>
      </c>
      <c r="S268" s="326">
        <f>ROUND(([91]Source!DO2691/100)*ROUND((ROUND(([91]Source!AF2691*[91]Source!AV2691*[91]Source!I2691),2)),2), 2)</f>
        <v>978.48</v>
      </c>
      <c r="T268" s="326">
        <f>[91]Source!Y2691</f>
        <v>11349.89</v>
      </c>
      <c r="U268" s="326">
        <f>ROUND((175/100)*ROUND((ROUND(([91]Source!AE2691*[91]Source!AV2691*[91]Source!I2691),2)),2), 2)</f>
        <v>18.850000000000001</v>
      </c>
      <c r="V268" s="326">
        <f>ROUND((157/100)*ROUND(ROUND((ROUND(([91]Source!AE2691*[91]Source!AV2691*[91]Source!I2691),2)*[91]Source!BS2691),2), 2), 2)</f>
        <v>409.71</v>
      </c>
    </row>
    <row r="269" spans="1:27" ht="38.25" x14ac:dyDescent="0.2">
      <c r="D269" s="402" t="str">
        <f>"Объем: "&amp;[91]Source!I2691&amp;"=(1,85+"&amp;"2,59+"&amp;"2,21+"&amp;"6,2+"&amp;"0,7+"&amp;"0,35+"&amp;"0,68+"&amp;"2,59+"&amp;"2,06+"&amp;"3,33+"&amp;"0,27+"&amp;"13,46+"&amp;"6,01)/"&amp;"100"</f>
        <v>Объем: 0,423=(1,85+2,59+2,21+6,2+0,7+0,35+0,68+2,59+2,06+3,33+0,27+13,46+6,01)/100</v>
      </c>
    </row>
    <row r="270" spans="1:27" ht="14.25" x14ac:dyDescent="0.2">
      <c r="A270" s="346"/>
      <c r="B270" s="346"/>
      <c r="C270" s="347"/>
      <c r="D270" s="347" t="s">
        <v>52</v>
      </c>
      <c r="E270" s="348"/>
      <c r="F270" s="329"/>
      <c r="G270" s="349">
        <f>[91]Source!AO2691</f>
        <v>1381.04</v>
      </c>
      <c r="H270" s="350" t="str">
        <f>[91]Source!DG2691</f>
        <v>)*1,67</v>
      </c>
      <c r="I270" s="329">
        <f>[91]Source!AV2691</f>
        <v>1.0669999999999999</v>
      </c>
      <c r="J270" s="351">
        <f>ROUND((ROUND(([91]Source!AF2691*[91]Source!AV2691*[91]Source!I2691),2)),2)</f>
        <v>1040.94</v>
      </c>
      <c r="K270" s="329">
        <f>IF([91]Source!BA2691&lt;&gt; 0, [91]Source!BA2691, 1)</f>
        <v>24.23</v>
      </c>
      <c r="L270" s="351">
        <f>[91]Source!S2691</f>
        <v>25221.98</v>
      </c>
      <c r="W270" s="326">
        <f>J270</f>
        <v>1040.94</v>
      </c>
    </row>
    <row r="271" spans="1:27" ht="14.25" x14ac:dyDescent="0.2">
      <c r="A271" s="346"/>
      <c r="B271" s="346"/>
      <c r="C271" s="347"/>
      <c r="D271" s="347" t="s">
        <v>53</v>
      </c>
      <c r="E271" s="348"/>
      <c r="F271" s="329"/>
      <c r="G271" s="349">
        <f>[91]Source!AM2691</f>
        <v>116.7</v>
      </c>
      <c r="H271" s="350">
        <f>[91]Source!DE2691</f>
        <v>0</v>
      </c>
      <c r="I271" s="329">
        <f>[91]Source!AV2691</f>
        <v>1.0669999999999999</v>
      </c>
      <c r="J271" s="351">
        <f>(ROUND((ROUND((([91]Source!ET2691)*[91]Source!AV2691*[91]Source!I2691),2)),2)+ROUND((ROUND((([91]Source!AE2691-([91]Source!EU2691))*[91]Source!AV2691*[91]Source!I2691),2)),2))-J280</f>
        <v>52.67</v>
      </c>
      <c r="K271" s="329">
        <f>IF([91]Source!BB2691&lt;&gt; 0, [91]Source!BB2691, 1)</f>
        <v>8.59</v>
      </c>
      <c r="L271" s="351">
        <f>[91]Source!Q2691-L280</f>
        <v>452.41</v>
      </c>
    </row>
    <row r="272" spans="1:27" ht="14.25" x14ac:dyDescent="0.2">
      <c r="A272" s="346"/>
      <c r="B272" s="346"/>
      <c r="C272" s="347"/>
      <c r="D272" s="347" t="s">
        <v>54</v>
      </c>
      <c r="E272" s="348"/>
      <c r="F272" s="329"/>
      <c r="G272" s="349">
        <f>[91]Source!AN2691</f>
        <v>14.29</v>
      </c>
      <c r="H272" s="350">
        <f>[91]Source!DE2691</f>
        <v>0</v>
      </c>
      <c r="I272" s="329">
        <f>[91]Source!AV2691</f>
        <v>1.0669999999999999</v>
      </c>
      <c r="J272" s="352">
        <f>ROUND((ROUND(([91]Source!AE2691*[91]Source!AV2691*[91]Source!I2691),2)),2)-J281</f>
        <v>6.45</v>
      </c>
      <c r="K272" s="329">
        <f>IF([91]Source!BS2691&lt;&gt; 0, [91]Source!BS2691, 1)</f>
        <v>24.23</v>
      </c>
      <c r="L272" s="352">
        <f>[91]Source!R2691-L281</f>
        <v>156.26</v>
      </c>
      <c r="W272" s="326">
        <f>J272</f>
        <v>6.45</v>
      </c>
    </row>
    <row r="273" spans="1:27" ht="14.25" x14ac:dyDescent="0.2">
      <c r="A273" s="346"/>
      <c r="B273" s="346"/>
      <c r="C273" s="347"/>
      <c r="D273" s="347" t="s">
        <v>55</v>
      </c>
      <c r="E273" s="348"/>
      <c r="F273" s="329"/>
      <c r="G273" s="349">
        <f>[91]Source!AL2691</f>
        <v>599.72</v>
      </c>
      <c r="H273" s="350">
        <f>[91]Source!DD2691</f>
        <v>0</v>
      </c>
      <c r="I273" s="329">
        <f>[91]Source!AW2691</f>
        <v>1</v>
      </c>
      <c r="J273" s="351">
        <f>ROUND((ROUND(([91]Source!AC2691*[91]Source!AW2691*[91]Source!I2691),2)),2)</f>
        <v>253.68</v>
      </c>
      <c r="K273" s="329">
        <f>IF([91]Source!BC2691&lt;&gt; 0, [91]Source!BC2691, 1)</f>
        <v>4.18</v>
      </c>
      <c r="L273" s="351">
        <f>[91]Source!P2691</f>
        <v>1060.3800000000001</v>
      </c>
    </row>
    <row r="274" spans="1:27" ht="14.25" x14ac:dyDescent="0.2">
      <c r="A274" s="346"/>
      <c r="B274" s="346"/>
      <c r="C274" s="347"/>
      <c r="D274" s="347" t="s">
        <v>56</v>
      </c>
      <c r="E274" s="348" t="s">
        <v>57</v>
      </c>
      <c r="F274" s="329">
        <f>[91]Source!DN2691</f>
        <v>125</v>
      </c>
      <c r="G274" s="349"/>
      <c r="H274" s="350"/>
      <c r="I274" s="329"/>
      <c r="J274" s="351">
        <f>SUM(Q268:Q273)</f>
        <v>1301.18</v>
      </c>
      <c r="K274" s="329">
        <f>[91]Source!BZ2691</f>
        <v>100</v>
      </c>
      <c r="L274" s="351">
        <f>SUM(R268:R273)</f>
        <v>25221.98</v>
      </c>
    </row>
    <row r="275" spans="1:27" ht="14.25" x14ac:dyDescent="0.2">
      <c r="A275" s="346"/>
      <c r="B275" s="346"/>
      <c r="C275" s="347"/>
      <c r="D275" s="347" t="s">
        <v>58</v>
      </c>
      <c r="E275" s="348" t="s">
        <v>57</v>
      </c>
      <c r="F275" s="329">
        <f>[91]Source!DO2691</f>
        <v>94</v>
      </c>
      <c r="G275" s="349"/>
      <c r="H275" s="350"/>
      <c r="I275" s="329"/>
      <c r="J275" s="351">
        <f>SUM(S268:S274)</f>
        <v>978.48</v>
      </c>
      <c r="K275" s="329">
        <f>[91]Source!CA2691</f>
        <v>45</v>
      </c>
      <c r="L275" s="351">
        <f>SUM(T268:T274)</f>
        <v>11349.89</v>
      </c>
    </row>
    <row r="276" spans="1:27" ht="14.25" x14ac:dyDescent="0.2">
      <c r="A276" s="346"/>
      <c r="B276" s="346"/>
      <c r="C276" s="347"/>
      <c r="D276" s="347" t="s">
        <v>59</v>
      </c>
      <c r="E276" s="348" t="s">
        <v>57</v>
      </c>
      <c r="F276" s="329">
        <f>175</f>
        <v>175</v>
      </c>
      <c r="G276" s="349"/>
      <c r="H276" s="350"/>
      <c r="I276" s="329"/>
      <c r="J276" s="351">
        <f>SUM(U268:U275)-J282</f>
        <v>11.29</v>
      </c>
      <c r="K276" s="329">
        <f>157</f>
        <v>157</v>
      </c>
      <c r="L276" s="351">
        <f>SUM(V268:V275)-L282</f>
        <v>245.33</v>
      </c>
    </row>
    <row r="277" spans="1:27" ht="14.25" x14ac:dyDescent="0.2">
      <c r="A277" s="346"/>
      <c r="B277" s="346"/>
      <c r="C277" s="347"/>
      <c r="D277" s="347" t="s">
        <v>60</v>
      </c>
      <c r="E277" s="348" t="s">
        <v>61</v>
      </c>
      <c r="F277" s="329">
        <f>[91]Source!AQ2691</f>
        <v>122</v>
      </c>
      <c r="G277" s="349"/>
      <c r="H277" s="350">
        <f>[91]Source!DI2691</f>
        <v>0</v>
      </c>
      <c r="I277" s="329">
        <f>[91]Source!AV2691</f>
        <v>1.0669999999999999</v>
      </c>
      <c r="J277" s="351">
        <f>[91]Source!U2691</f>
        <v>55.06</v>
      </c>
      <c r="K277" s="329"/>
      <c r="L277" s="351"/>
    </row>
    <row r="278" spans="1:27" ht="15" x14ac:dyDescent="0.25">
      <c r="I278" s="641">
        <f>J270+J271+J273+J274+J275+J276</f>
        <v>3638.24</v>
      </c>
      <c r="J278" s="641"/>
      <c r="K278" s="641">
        <f>L270+L271+L273+L274+L275+L276</f>
        <v>63551.97</v>
      </c>
      <c r="L278" s="641"/>
      <c r="O278" s="353">
        <f>J270+J271+J273+J274+J275+J276</f>
        <v>3638.24</v>
      </c>
      <c r="P278" s="353">
        <f>L270+L271+L273+L274+L275+L276</f>
        <v>63551.97</v>
      </c>
      <c r="X278" s="326">
        <f>IF([91]Source!BI2691&lt;=1,J270+J271+J273+J274+J275+J276-0, 0)</f>
        <v>3638.24</v>
      </c>
      <c r="Y278" s="326">
        <f>IF([91]Source!BI2691=2,J270+J271+J273+J274+J275+J276-0, 0)</f>
        <v>0</v>
      </c>
      <c r="Z278" s="326">
        <f>IF([91]Source!BI2691=3,J270+J271+J273+J274+J275+J276-0, 0)</f>
        <v>0</v>
      </c>
      <c r="AA278" s="326">
        <f>IF([91]Source!BI2691=4,J270+J271+J273+J274+J275+J276,0)</f>
        <v>0</v>
      </c>
    </row>
    <row r="279" spans="1:27" ht="28.5" x14ac:dyDescent="0.2">
      <c r="A279" s="354"/>
      <c r="B279" s="354"/>
      <c r="C279" s="355"/>
      <c r="D279" s="355" t="s">
        <v>62</v>
      </c>
      <c r="E279" s="348"/>
      <c r="F279" s="356"/>
      <c r="G279" s="357"/>
      <c r="H279" s="348"/>
      <c r="I279" s="356"/>
      <c r="J279" s="352"/>
      <c r="K279" s="356"/>
      <c r="L279" s="352"/>
    </row>
    <row r="280" spans="1:27" ht="14.25" x14ac:dyDescent="0.2">
      <c r="A280" s="354"/>
      <c r="B280" s="354"/>
      <c r="C280" s="355"/>
      <c r="D280" s="355" t="s">
        <v>53</v>
      </c>
      <c r="E280" s="348"/>
      <c r="F280" s="356"/>
      <c r="G280" s="357">
        <f t="shared" ref="G280:L280" si="9">G281</f>
        <v>14.29</v>
      </c>
      <c r="H280" s="358" t="str">
        <f t="shared" si="9"/>
        <v>)*(1.67-1)</v>
      </c>
      <c r="I280" s="356">
        <f t="shared" si="9"/>
        <v>1.0669999999999999</v>
      </c>
      <c r="J280" s="352">
        <f t="shared" si="9"/>
        <v>4.32</v>
      </c>
      <c r="K280" s="356">
        <f t="shared" si="9"/>
        <v>24.23</v>
      </c>
      <c r="L280" s="352">
        <f t="shared" si="9"/>
        <v>104.7</v>
      </c>
    </row>
    <row r="281" spans="1:27" ht="14.25" x14ac:dyDescent="0.2">
      <c r="A281" s="354"/>
      <c r="B281" s="354"/>
      <c r="C281" s="355"/>
      <c r="D281" s="355" t="s">
        <v>54</v>
      </c>
      <c r="E281" s="348"/>
      <c r="F281" s="356"/>
      <c r="G281" s="357">
        <f>[91]Source!AN2691</f>
        <v>14.29</v>
      </c>
      <c r="H281" s="358" t="s">
        <v>63</v>
      </c>
      <c r="I281" s="356">
        <f>[91]Source!AV2691</f>
        <v>1.0669999999999999</v>
      </c>
      <c r="J281" s="352">
        <f>ROUND(F268*G281*I281*(1.67-1), 2)</f>
        <v>4.32</v>
      </c>
      <c r="K281" s="356">
        <f>IF([91]Source!BS2691&lt;&gt; 0, [91]Source!BS2691, 1)</f>
        <v>24.23</v>
      </c>
      <c r="L281" s="352">
        <f>ROUND(F268*G281*I281*(1.67-1)*K281, 2)</f>
        <v>104.7</v>
      </c>
      <c r="W281" s="326">
        <f>J281</f>
        <v>4.32</v>
      </c>
    </row>
    <row r="282" spans="1:27" ht="14.25" x14ac:dyDescent="0.2">
      <c r="A282" s="354"/>
      <c r="B282" s="354"/>
      <c r="C282" s="355"/>
      <c r="D282" s="355" t="s">
        <v>59</v>
      </c>
      <c r="E282" s="348" t="s">
        <v>57</v>
      </c>
      <c r="F282" s="356">
        <f>175</f>
        <v>175</v>
      </c>
      <c r="G282" s="357"/>
      <c r="H282" s="348"/>
      <c r="I282" s="356"/>
      <c r="J282" s="352">
        <f>ROUND(J281*(F282/100), 2)</f>
        <v>7.56</v>
      </c>
      <c r="K282" s="356">
        <f>157</f>
        <v>157</v>
      </c>
      <c r="L282" s="352">
        <f>ROUND(L281*(K282/100), 2)</f>
        <v>164.38</v>
      </c>
    </row>
    <row r="283" spans="1:27" ht="15" x14ac:dyDescent="0.25">
      <c r="I283" s="641">
        <f>J282+J281</f>
        <v>11.88</v>
      </c>
      <c r="J283" s="641"/>
      <c r="K283" s="641">
        <f>L282+L281</f>
        <v>269.08</v>
      </c>
      <c r="L283" s="641"/>
      <c r="O283" s="353">
        <f>I283</f>
        <v>11.88</v>
      </c>
      <c r="P283" s="353">
        <f>K283</f>
        <v>269.08</v>
      </c>
      <c r="X283" s="326">
        <f>IF([91]Source!BI2691&lt;=1,I283, 0)</f>
        <v>11.88</v>
      </c>
      <c r="Y283" s="326">
        <f>IF([91]Source!BI2691=2,I283, 0)</f>
        <v>0</v>
      </c>
      <c r="Z283" s="326">
        <f>IF([91]Source!BI2691=3,I283, 0)</f>
        <v>0</v>
      </c>
      <c r="AA283" s="326">
        <f>IF([91]Source!BI2691=4,I283, 0)</f>
        <v>0</v>
      </c>
    </row>
    <row r="285" spans="1:27" ht="15" x14ac:dyDescent="0.25">
      <c r="A285" s="359"/>
      <c r="B285" s="359"/>
      <c r="C285" s="360"/>
      <c r="D285" s="360" t="s">
        <v>64</v>
      </c>
      <c r="E285" s="361"/>
      <c r="F285" s="362"/>
      <c r="G285" s="363"/>
      <c r="H285" s="364"/>
      <c r="I285" s="641">
        <f>I278+I283</f>
        <v>3650.12</v>
      </c>
      <c r="J285" s="641"/>
      <c r="K285" s="641">
        <f>K278+K283</f>
        <v>63821.05</v>
      </c>
      <c r="L285" s="641"/>
    </row>
    <row r="286" spans="1:27" ht="67.5" customHeight="1" x14ac:dyDescent="0.2">
      <c r="A286" s="346">
        <v>39</v>
      </c>
      <c r="B286" s="346" t="str">
        <f>[91]Source!E2693</f>
        <v>440</v>
      </c>
      <c r="C286" s="347" t="s">
        <v>370</v>
      </c>
      <c r="D286" s="347" t="s">
        <v>84</v>
      </c>
      <c r="E286" s="348" t="str">
        <f>[91]Source!H2693</f>
        <v>м2</v>
      </c>
      <c r="F286" s="329">
        <f>[91]Source!I2693</f>
        <v>8.69</v>
      </c>
      <c r="G286" s="349">
        <f>[91]Source!AL2693</f>
        <v>125.64</v>
      </c>
      <c r="H286" s="350">
        <f>[91]Source!DD2693</f>
        <v>0</v>
      </c>
      <c r="I286" s="329">
        <f>[91]Source!AW2693</f>
        <v>1</v>
      </c>
      <c r="J286" s="351">
        <f>ROUND((ROUND(([91]Source!AC2693*[91]Source!AW2693*[91]Source!I2693),2)),2)</f>
        <v>1091.81</v>
      </c>
      <c r="K286" s="329">
        <f>IF([91]Source!BC2693&lt;&gt; 0, [91]Source!BC2693, 1)</f>
        <v>3.84</v>
      </c>
      <c r="L286" s="351">
        <f>[91]Source!P2693</f>
        <v>4192.55</v>
      </c>
      <c r="Q286" s="326">
        <f>ROUND(([91]Source!DN2693/100)*ROUND((ROUND(([91]Source!AF2693*[91]Source!AV2693*[91]Source!I2693),2)),2), 2)</f>
        <v>0</v>
      </c>
      <c r="R286" s="326">
        <f>[91]Source!X2693</f>
        <v>0</v>
      </c>
      <c r="S286" s="326">
        <f>ROUND(([91]Source!DO2693/100)*ROUND((ROUND(([91]Source!AF2693*[91]Source!AV2693*[91]Source!I2693),2)),2), 2)</f>
        <v>0</v>
      </c>
      <c r="T286" s="326">
        <f>[91]Source!Y2693</f>
        <v>0</v>
      </c>
      <c r="U286" s="326">
        <f>ROUND((175/100)*ROUND((ROUND(([91]Source!AE2693*[91]Source!AV2693*[91]Source!I2693),2)),2), 2)</f>
        <v>0</v>
      </c>
      <c r="V286" s="326">
        <f>ROUND((157/100)*ROUND(ROUND((ROUND(([91]Source!AE2693*[91]Source!AV2693*[91]Source!I2693),2)*[91]Source!BS2693),2), 2), 2)</f>
        <v>0</v>
      </c>
    </row>
    <row r="287" spans="1:27" ht="25.5" x14ac:dyDescent="0.2">
      <c r="D287" s="402" t="str">
        <f>"Объем: "&amp;[91]Source!I2693&amp;"=1,85+"&amp;"2,21+"&amp;"0,35+"&amp;"0,68+"&amp;"3,33+"&amp;"0,27"</f>
        <v>Объем: 8,69=1,85+2,21+0,35+0,68+3,33+0,27</v>
      </c>
    </row>
    <row r="288" spans="1:27" ht="15" x14ac:dyDescent="0.25">
      <c r="A288" s="365"/>
      <c r="B288" s="365"/>
      <c r="C288" s="365"/>
      <c r="D288" s="365"/>
      <c r="E288" s="365"/>
      <c r="F288" s="365"/>
      <c r="G288" s="365"/>
      <c r="H288" s="365"/>
      <c r="I288" s="641">
        <f>J286</f>
        <v>1091.81</v>
      </c>
      <c r="J288" s="641"/>
      <c r="K288" s="641">
        <f>L286</f>
        <v>4192.55</v>
      </c>
      <c r="L288" s="641"/>
      <c r="O288" s="353">
        <f>J286</f>
        <v>1091.81</v>
      </c>
      <c r="P288" s="353">
        <f>L286</f>
        <v>4192.55</v>
      </c>
      <c r="X288" s="326">
        <f>IF([91]Source!BI2693&lt;=1,J286-0, 0)</f>
        <v>1091.81</v>
      </c>
      <c r="Y288" s="326">
        <f>IF([91]Source!BI2693=2,J286-0, 0)</f>
        <v>0</v>
      </c>
      <c r="Z288" s="326">
        <f>IF([91]Source!BI2693=3,J286-0, 0)</f>
        <v>0</v>
      </c>
      <c r="AA288" s="326">
        <f>IF([91]Source!BI2693=4,J286,0)</f>
        <v>0</v>
      </c>
    </row>
    <row r="289" spans="1:27" ht="65.25" customHeight="1" x14ac:dyDescent="0.2">
      <c r="A289" s="346">
        <v>40</v>
      </c>
      <c r="B289" s="346" t="str">
        <f>[91]Source!E2695</f>
        <v>441</v>
      </c>
      <c r="C289" s="347" t="s">
        <v>371</v>
      </c>
      <c r="D289" s="347" t="s">
        <v>79</v>
      </c>
      <c r="E289" s="348" t="str">
        <f>[91]Source!H2695</f>
        <v>м2</v>
      </c>
      <c r="F289" s="329">
        <f>[91]Source!I2695</f>
        <v>33.61</v>
      </c>
      <c r="G289" s="349">
        <f>[91]Source!AL2695</f>
        <v>157.54</v>
      </c>
      <c r="H289" s="350">
        <f>[91]Source!DD2695</f>
        <v>0</v>
      </c>
      <c r="I289" s="329">
        <f>[91]Source!AW2695</f>
        <v>1</v>
      </c>
      <c r="J289" s="351">
        <f>ROUND((ROUND(([91]Source!AC2695*[91]Source!AW2695*[91]Source!I2695),2)),2)</f>
        <v>5294.92</v>
      </c>
      <c r="K289" s="329">
        <f>IF([91]Source!BC2695&lt;&gt; 0, [91]Source!BC2695, 1)</f>
        <v>3.07</v>
      </c>
      <c r="L289" s="351">
        <f>[91]Source!P2695</f>
        <v>16255.4</v>
      </c>
      <c r="Q289" s="326">
        <f>ROUND(([91]Source!DN2695/100)*ROUND((ROUND(([91]Source!AF2695*[91]Source!AV2695*[91]Source!I2695),2)),2), 2)</f>
        <v>0</v>
      </c>
      <c r="R289" s="326">
        <f>[91]Source!X2695</f>
        <v>0</v>
      </c>
      <c r="S289" s="326">
        <f>ROUND(([91]Source!DO2695/100)*ROUND((ROUND(([91]Source!AF2695*[91]Source!AV2695*[91]Source!I2695),2)),2), 2)</f>
        <v>0</v>
      </c>
      <c r="T289" s="326">
        <f>[91]Source!Y2695</f>
        <v>0</v>
      </c>
      <c r="U289" s="326">
        <f>ROUND((175/100)*ROUND((ROUND(([91]Source!AE2695*[91]Source!AV2695*[91]Source!I2695),2)),2), 2)</f>
        <v>0</v>
      </c>
      <c r="V289" s="326">
        <f>ROUND((157/100)*ROUND(ROUND((ROUND(([91]Source!AE2695*[91]Source!AV2695*[91]Source!I2695),2)*[91]Source!BS2695),2), 2), 2)</f>
        <v>0</v>
      </c>
    </row>
    <row r="290" spans="1:27" ht="25.5" x14ac:dyDescent="0.2">
      <c r="D290" s="402" t="str">
        <f>"Объем: "&amp;[91]Source!I2695&amp;"=2,59+"&amp;"6,2+"&amp;"0,7+"&amp;"2,59+"&amp;"2,06+"&amp;"13,46+"&amp;"6,01"</f>
        <v>Объем: 33,61=2,59+6,2+0,7+2,59+2,06+13,46+6,01</v>
      </c>
    </row>
    <row r="291" spans="1:27" ht="15" x14ac:dyDescent="0.25">
      <c r="A291" s="365"/>
      <c r="B291" s="365"/>
      <c r="C291" s="365"/>
      <c r="D291" s="365"/>
      <c r="E291" s="365"/>
      <c r="F291" s="365"/>
      <c r="G291" s="365"/>
      <c r="H291" s="365"/>
      <c r="I291" s="641">
        <f>J289</f>
        <v>5294.92</v>
      </c>
      <c r="J291" s="641"/>
      <c r="K291" s="641">
        <f>L289</f>
        <v>16255.4</v>
      </c>
      <c r="L291" s="641"/>
      <c r="O291" s="353">
        <f>J289</f>
        <v>5294.92</v>
      </c>
      <c r="P291" s="353">
        <f>L289</f>
        <v>16255.4</v>
      </c>
      <c r="X291" s="326">
        <f>IF([91]Source!BI2695&lt;=1,J289-0, 0)</f>
        <v>5294.92</v>
      </c>
      <c r="Y291" s="326">
        <f>IF([91]Source!BI2695=2,J289-0, 0)</f>
        <v>0</v>
      </c>
      <c r="Z291" s="326">
        <f>IF([91]Source!BI2695=3,J289-0, 0)</f>
        <v>0</v>
      </c>
      <c r="AA291" s="326">
        <f>IF([91]Source!BI2695=4,J289,0)</f>
        <v>0</v>
      </c>
    </row>
    <row r="292" spans="1:27" ht="78" customHeight="1" x14ac:dyDescent="0.2">
      <c r="A292" s="346">
        <v>41</v>
      </c>
      <c r="B292" s="346" t="str">
        <f>[91]Source!E2697</f>
        <v>442</v>
      </c>
      <c r="C292" s="347" t="s">
        <v>372</v>
      </c>
      <c r="D292" s="347" t="s">
        <v>87</v>
      </c>
      <c r="E292" s="348" t="str">
        <f>[91]Source!H2697</f>
        <v>100 м2 поверхности воздуховодов</v>
      </c>
      <c r="F292" s="329">
        <f>[91]Source!I2697</f>
        <v>4.99E-2</v>
      </c>
      <c r="G292" s="349"/>
      <c r="H292" s="350"/>
      <c r="I292" s="329"/>
      <c r="J292" s="351"/>
      <c r="K292" s="329"/>
      <c r="L292" s="351"/>
      <c r="Q292" s="326">
        <f>ROUND(([91]Source!DN2697/100)*ROUND((ROUND(([91]Source!AF2697*[91]Source!AV2697*[91]Source!I2697),2)),2), 2)</f>
        <v>115.5</v>
      </c>
      <c r="R292" s="326">
        <f>[91]Source!X2697</f>
        <v>2238.85</v>
      </c>
      <c r="S292" s="326">
        <f>ROUND(([91]Source!DO2697/100)*ROUND((ROUND(([91]Source!AF2697*[91]Source!AV2697*[91]Source!I2697),2)),2), 2)</f>
        <v>86.86</v>
      </c>
      <c r="T292" s="326">
        <f>[91]Source!Y2697</f>
        <v>1007.48</v>
      </c>
      <c r="U292" s="326">
        <f>ROUND((175/100)*ROUND((ROUND(([91]Source!AE2697*[91]Source!AV2697*[91]Source!I2697),2)),2), 2)</f>
        <v>1.66</v>
      </c>
      <c r="V292" s="326">
        <f>ROUND((157/100)*ROUND(ROUND((ROUND(([91]Source!AE2697*[91]Source!AV2697*[91]Source!I2697),2)*[91]Source!BS2697),2), 2), 2)</f>
        <v>36.14</v>
      </c>
    </row>
    <row r="293" spans="1:27" x14ac:dyDescent="0.2">
      <c r="D293" s="402" t="str">
        <f>"Объем: "&amp;[91]Source!I2697&amp;"=(1,86+"&amp;"1,86+"&amp;"0,59+"&amp;"0,68)/"&amp;"100"</f>
        <v>Объем: 0,0499=(1,86+1,86+0,59+0,68)/100</v>
      </c>
    </row>
    <row r="294" spans="1:27" ht="14.25" x14ac:dyDescent="0.2">
      <c r="A294" s="346"/>
      <c r="B294" s="346"/>
      <c r="C294" s="347"/>
      <c r="D294" s="347" t="s">
        <v>52</v>
      </c>
      <c r="E294" s="348"/>
      <c r="F294" s="329"/>
      <c r="G294" s="349">
        <f>[91]Source!AO2697</f>
        <v>1039.18</v>
      </c>
      <c r="H294" s="350" t="str">
        <f>[91]Source!DG2697</f>
        <v>)*1,67</v>
      </c>
      <c r="I294" s="329">
        <f>[91]Source!AV2697</f>
        <v>1.0669999999999999</v>
      </c>
      <c r="J294" s="351">
        <f>ROUND((ROUND(([91]Source!AF2697*[91]Source!AV2697*[91]Source!I2697),2)),2)</f>
        <v>92.4</v>
      </c>
      <c r="K294" s="329">
        <f>IF([91]Source!BA2697&lt;&gt; 0, [91]Source!BA2697, 1)</f>
        <v>24.23</v>
      </c>
      <c r="L294" s="351">
        <f>[91]Source!S2697</f>
        <v>2238.85</v>
      </c>
      <c r="W294" s="326">
        <f>J294</f>
        <v>92.4</v>
      </c>
    </row>
    <row r="295" spans="1:27" ht="14.25" x14ac:dyDescent="0.2">
      <c r="A295" s="346"/>
      <c r="B295" s="346"/>
      <c r="C295" s="347"/>
      <c r="D295" s="347" t="s">
        <v>53</v>
      </c>
      <c r="E295" s="348"/>
      <c r="F295" s="329"/>
      <c r="G295" s="349">
        <f>[91]Source!AM2697</f>
        <v>87.46</v>
      </c>
      <c r="H295" s="350">
        <f>[91]Source!DE2697</f>
        <v>0</v>
      </c>
      <c r="I295" s="329">
        <f>[91]Source!AV2697</f>
        <v>1.0669999999999999</v>
      </c>
      <c r="J295" s="351">
        <f>(ROUND((ROUND((([91]Source!ET2697)*[91]Source!AV2697*[91]Source!I2697),2)),2)+ROUND((ROUND((([91]Source!AE2697-([91]Source!EU2697))*[91]Source!AV2697*[91]Source!I2697),2)),2))-J305</f>
        <v>4.66</v>
      </c>
      <c r="K295" s="329">
        <f>IF([91]Source!BB2697&lt;&gt; 0, [91]Source!BB2697, 1)</f>
        <v>8.6</v>
      </c>
      <c r="L295" s="351">
        <f>[91]Source!Q2697-L305</f>
        <v>40.049999999999997</v>
      </c>
    </row>
    <row r="296" spans="1:27" ht="14.25" x14ac:dyDescent="0.2">
      <c r="A296" s="346"/>
      <c r="B296" s="346"/>
      <c r="C296" s="347"/>
      <c r="D296" s="347" t="s">
        <v>54</v>
      </c>
      <c r="E296" s="348"/>
      <c r="F296" s="329"/>
      <c r="G296" s="349">
        <f>[91]Source!AN2697</f>
        <v>10.69</v>
      </c>
      <c r="H296" s="350">
        <f>[91]Source!DE2697</f>
        <v>0</v>
      </c>
      <c r="I296" s="329">
        <f>[91]Source!AV2697</f>
        <v>1.0669999999999999</v>
      </c>
      <c r="J296" s="352">
        <f>ROUND((ROUND(([91]Source!AE2697*[91]Source!AV2697*[91]Source!I2697),2)),2)-J306</f>
        <v>0.56999999999999995</v>
      </c>
      <c r="K296" s="329">
        <f>IF([91]Source!BS2697&lt;&gt; 0, [91]Source!BS2697, 1)</f>
        <v>24.23</v>
      </c>
      <c r="L296" s="352">
        <f>[91]Source!R2697-L306</f>
        <v>13.78</v>
      </c>
      <c r="W296" s="326">
        <f>J296</f>
        <v>0.56999999999999995</v>
      </c>
    </row>
    <row r="297" spans="1:27" ht="14.25" x14ac:dyDescent="0.2">
      <c r="A297" s="346"/>
      <c r="B297" s="346"/>
      <c r="C297" s="347"/>
      <c r="D297" s="347" t="s">
        <v>55</v>
      </c>
      <c r="E297" s="348"/>
      <c r="F297" s="329"/>
      <c r="G297" s="349">
        <f>[91]Source!AL2697</f>
        <v>409.71</v>
      </c>
      <c r="H297" s="350">
        <f>[91]Source!DD2697</f>
        <v>0</v>
      </c>
      <c r="I297" s="329">
        <f>[91]Source!AW2697</f>
        <v>1</v>
      </c>
      <c r="J297" s="351">
        <f>ROUND((ROUND(([91]Source!AC2697*[91]Source!AW2697*[91]Source!I2697),2)),2)</f>
        <v>20.440000000000001</v>
      </c>
      <c r="K297" s="329">
        <f>IF([91]Source!BC2697&lt;&gt; 0, [91]Source!BC2697, 1)</f>
        <v>3.31</v>
      </c>
      <c r="L297" s="351">
        <f>[91]Source!P2697</f>
        <v>67.66</v>
      </c>
    </row>
    <row r="298" spans="1:27" ht="42.75" x14ac:dyDescent="0.2">
      <c r="A298" s="346">
        <v>42</v>
      </c>
      <c r="B298" s="346" t="str">
        <f>[91]Source!E2699</f>
        <v>442,1</v>
      </c>
      <c r="C298" s="347" t="str">
        <f>[91]Source!F2699</f>
        <v>1.19-3-13</v>
      </c>
      <c r="D298" s="347" t="s">
        <v>79</v>
      </c>
      <c r="E298" s="348" t="str">
        <f>[91]Source!H2699</f>
        <v>м2</v>
      </c>
      <c r="F298" s="329">
        <f>[91]Source!I2699</f>
        <v>4.99</v>
      </c>
      <c r="G298" s="349">
        <f>[91]Source!AK2699</f>
        <v>157.54</v>
      </c>
      <c r="H298" s="398" t="s">
        <v>74</v>
      </c>
      <c r="I298" s="329">
        <f>[91]Source!AW2699</f>
        <v>1</v>
      </c>
      <c r="J298" s="351">
        <f>ROUND((ROUND(([91]Source!AC2699*[91]Source!AW2699*[91]Source!I2699),2)),2)+(ROUND((ROUND((([91]Source!ET2699)*[91]Source!AV2699*[91]Source!I2699),2)),2)+ROUND((ROUND((([91]Source!AE2699-([91]Source!EU2699))*[91]Source!AV2699*[91]Source!I2699),2)),2))+ROUND((ROUND(([91]Source!AF2699*[91]Source!AV2699*[91]Source!I2699),2)),2)</f>
        <v>786.12</v>
      </c>
      <c r="K298" s="329">
        <f>IF([91]Source!BC2699&lt;&gt; 0, [91]Source!BC2699, 1)</f>
        <v>3.07</v>
      </c>
      <c r="L298" s="351">
        <f>[91]Source!O2699</f>
        <v>2413.39</v>
      </c>
      <c r="Q298" s="326">
        <f>ROUND(([91]Source!DN2699/100)*ROUND((ROUND(([91]Source!AF2699*[91]Source!AV2699*[91]Source!I2699),2)),2), 2)</f>
        <v>0</v>
      </c>
      <c r="R298" s="326">
        <f>[91]Source!X2699</f>
        <v>0</v>
      </c>
      <c r="S298" s="326">
        <f>ROUND(([91]Source!DO2699/100)*ROUND((ROUND(([91]Source!AF2699*[91]Source!AV2699*[91]Source!I2699),2)),2), 2)</f>
        <v>0</v>
      </c>
      <c r="T298" s="326">
        <f>[91]Source!Y2699</f>
        <v>0</v>
      </c>
      <c r="U298" s="326">
        <f>ROUND((175/100)*ROUND((ROUND(([91]Source!AE2699*[91]Source!AV2699*[91]Source!I2699),2)),2), 2)</f>
        <v>0</v>
      </c>
      <c r="V298" s="326">
        <f>ROUND((157/100)*ROUND(ROUND((ROUND(([91]Source!AE2699*[91]Source!AV2699*[91]Source!I2699),2)*[91]Source!BS2699),2), 2), 2)</f>
        <v>0</v>
      </c>
      <c r="X298" s="326">
        <f>IF([91]Source!BI2699&lt;=1,J298, 0)</f>
        <v>786.12</v>
      </c>
      <c r="Y298" s="326">
        <f>IF([91]Source!BI2699=2,J298, 0)</f>
        <v>0</v>
      </c>
      <c r="Z298" s="326">
        <f>IF([91]Source!BI2699=3,J298, 0)</f>
        <v>0</v>
      </c>
      <c r="AA298" s="326">
        <f>IF([91]Source!BI2699=4,J298, 0)</f>
        <v>0</v>
      </c>
    </row>
    <row r="299" spans="1:27" ht="14.25" x14ac:dyDescent="0.2">
      <c r="A299" s="346"/>
      <c r="B299" s="346"/>
      <c r="C299" s="347"/>
      <c r="D299" s="347" t="s">
        <v>56</v>
      </c>
      <c r="E299" s="348" t="s">
        <v>57</v>
      </c>
      <c r="F299" s="329">
        <f>[91]Source!DN2697</f>
        <v>125</v>
      </c>
      <c r="G299" s="349"/>
      <c r="H299" s="350"/>
      <c r="I299" s="329"/>
      <c r="J299" s="351">
        <f>SUM(Q292:Q298)</f>
        <v>115.5</v>
      </c>
      <c r="K299" s="329">
        <f>[91]Source!BZ2697</f>
        <v>100</v>
      </c>
      <c r="L299" s="351">
        <f>SUM(R292:R298)</f>
        <v>2238.85</v>
      </c>
    </row>
    <row r="300" spans="1:27" ht="14.25" x14ac:dyDescent="0.2">
      <c r="A300" s="346"/>
      <c r="B300" s="346"/>
      <c r="C300" s="347"/>
      <c r="D300" s="347" t="s">
        <v>58</v>
      </c>
      <c r="E300" s="348" t="s">
        <v>57</v>
      </c>
      <c r="F300" s="329">
        <f>[91]Source!DO2697</f>
        <v>94</v>
      </c>
      <c r="G300" s="349"/>
      <c r="H300" s="350"/>
      <c r="I300" s="329"/>
      <c r="J300" s="351">
        <f>SUM(S292:S299)</f>
        <v>86.86</v>
      </c>
      <c r="K300" s="329">
        <f>[91]Source!CA2697</f>
        <v>45</v>
      </c>
      <c r="L300" s="351">
        <f>SUM(T292:T299)</f>
        <v>1007.48</v>
      </c>
    </row>
    <row r="301" spans="1:27" ht="14.25" x14ac:dyDescent="0.2">
      <c r="A301" s="346"/>
      <c r="B301" s="346"/>
      <c r="C301" s="347"/>
      <c r="D301" s="347" t="s">
        <v>59</v>
      </c>
      <c r="E301" s="348" t="s">
        <v>57</v>
      </c>
      <c r="F301" s="329">
        <f>175</f>
        <v>175</v>
      </c>
      <c r="G301" s="349"/>
      <c r="H301" s="350"/>
      <c r="I301" s="329"/>
      <c r="J301" s="351">
        <f>SUM(U292:U300)-J307</f>
        <v>0.99</v>
      </c>
      <c r="K301" s="329">
        <f>157</f>
        <v>157</v>
      </c>
      <c r="L301" s="351">
        <f>SUM(V292:V300)-L307</f>
        <v>21.63</v>
      </c>
    </row>
    <row r="302" spans="1:27" ht="14.25" x14ac:dyDescent="0.2">
      <c r="A302" s="346"/>
      <c r="B302" s="346"/>
      <c r="C302" s="347"/>
      <c r="D302" s="347" t="s">
        <v>60</v>
      </c>
      <c r="E302" s="348" t="s">
        <v>61</v>
      </c>
      <c r="F302" s="329">
        <f>[91]Source!AQ2697</f>
        <v>91.8</v>
      </c>
      <c r="G302" s="349"/>
      <c r="H302" s="350">
        <f>[91]Source!DI2697</f>
        <v>0</v>
      </c>
      <c r="I302" s="329">
        <f>[91]Source!AV2697</f>
        <v>1.0669999999999999</v>
      </c>
      <c r="J302" s="351">
        <f>[91]Source!U2697</f>
        <v>4.8899999999999997</v>
      </c>
      <c r="K302" s="329"/>
      <c r="L302" s="351"/>
    </row>
    <row r="303" spans="1:27" ht="15" x14ac:dyDescent="0.25">
      <c r="I303" s="641">
        <f>J294+J295+J297+J299+J300+J301+SUM(J298:J298)</f>
        <v>1106.97</v>
      </c>
      <c r="J303" s="641"/>
      <c r="K303" s="641">
        <f>L294+L295+L297+L299+L300+L301+SUM(L298:L298)</f>
        <v>8027.91</v>
      </c>
      <c r="L303" s="641"/>
      <c r="O303" s="353">
        <f>J294+J295+J297+J299+J300+J301+SUM(J298:J298)</f>
        <v>1106.97</v>
      </c>
      <c r="P303" s="353">
        <f>L294+L295+L297+L299+L300+L301+SUM(L298:L298)</f>
        <v>8027.91</v>
      </c>
      <c r="X303" s="326">
        <f>IF([91]Source!BI2697&lt;=1,J294+J295+J297+J299+J300+J301-0, 0)</f>
        <v>320.85000000000002</v>
      </c>
      <c r="Y303" s="326">
        <f>IF([91]Source!BI2697=2,J294+J295+J297+J299+J300+J301-0, 0)</f>
        <v>0</v>
      </c>
      <c r="Z303" s="326">
        <f>IF([91]Source!BI2697=3,J294+J295+J297+J299+J300+J301-0, 0)</f>
        <v>0</v>
      </c>
      <c r="AA303" s="326">
        <f>IF([91]Source!BI2697=4,J294+J295+J297+J299+J300+J301,0)</f>
        <v>0</v>
      </c>
    </row>
    <row r="304" spans="1:27" ht="28.5" x14ac:dyDescent="0.2">
      <c r="A304" s="354"/>
      <c r="B304" s="354"/>
      <c r="C304" s="355"/>
      <c r="D304" s="355" t="s">
        <v>62</v>
      </c>
      <c r="E304" s="348"/>
      <c r="F304" s="356"/>
      <c r="G304" s="357"/>
      <c r="H304" s="348"/>
      <c r="I304" s="356"/>
      <c r="J304" s="352"/>
      <c r="K304" s="356"/>
      <c r="L304" s="352"/>
    </row>
    <row r="305" spans="1:27" ht="14.25" x14ac:dyDescent="0.2">
      <c r="A305" s="354"/>
      <c r="B305" s="354"/>
      <c r="C305" s="355"/>
      <c r="D305" s="355" t="s">
        <v>53</v>
      </c>
      <c r="E305" s="348"/>
      <c r="F305" s="356"/>
      <c r="G305" s="357">
        <f t="shared" ref="G305:L305" si="10">G306</f>
        <v>10.69</v>
      </c>
      <c r="H305" s="358" t="str">
        <f t="shared" si="10"/>
        <v>)*(1.67-1)</v>
      </c>
      <c r="I305" s="356">
        <f t="shared" si="10"/>
        <v>1.0669999999999999</v>
      </c>
      <c r="J305" s="352">
        <f t="shared" si="10"/>
        <v>0.38</v>
      </c>
      <c r="K305" s="356">
        <f t="shared" si="10"/>
        <v>24.23</v>
      </c>
      <c r="L305" s="352">
        <f t="shared" si="10"/>
        <v>9.24</v>
      </c>
    </row>
    <row r="306" spans="1:27" ht="14.25" x14ac:dyDescent="0.2">
      <c r="A306" s="354"/>
      <c r="B306" s="354"/>
      <c r="C306" s="355"/>
      <c r="D306" s="355" t="s">
        <v>54</v>
      </c>
      <c r="E306" s="348"/>
      <c r="F306" s="356"/>
      <c r="G306" s="357">
        <f>[91]Source!AN2697</f>
        <v>10.69</v>
      </c>
      <c r="H306" s="358" t="s">
        <v>63</v>
      </c>
      <c r="I306" s="356">
        <f>[91]Source!AV2697</f>
        <v>1.0669999999999999</v>
      </c>
      <c r="J306" s="352">
        <f>ROUND(F292*G306*I306*(1.67-1), 2)</f>
        <v>0.38</v>
      </c>
      <c r="K306" s="356">
        <f>IF([91]Source!BS2697&lt;&gt; 0, [91]Source!BS2697, 1)</f>
        <v>24.23</v>
      </c>
      <c r="L306" s="352">
        <f>ROUND(F292*G306*I306*(1.67-1)*K306, 2)</f>
        <v>9.24</v>
      </c>
      <c r="W306" s="326">
        <f>J306</f>
        <v>0.38</v>
      </c>
    </row>
    <row r="307" spans="1:27" ht="14.25" x14ac:dyDescent="0.2">
      <c r="A307" s="354"/>
      <c r="B307" s="354"/>
      <c r="C307" s="355"/>
      <c r="D307" s="355" t="s">
        <v>59</v>
      </c>
      <c r="E307" s="348" t="s">
        <v>57</v>
      </c>
      <c r="F307" s="356">
        <f>175</f>
        <v>175</v>
      </c>
      <c r="G307" s="357"/>
      <c r="H307" s="348"/>
      <c r="I307" s="356"/>
      <c r="J307" s="352">
        <f>ROUND(J306*(F307/100), 2)</f>
        <v>0.67</v>
      </c>
      <c r="K307" s="356">
        <f>157</f>
        <v>157</v>
      </c>
      <c r="L307" s="352">
        <f>ROUND(L306*(K307/100), 2)</f>
        <v>14.51</v>
      </c>
    </row>
    <row r="308" spans="1:27" ht="15" x14ac:dyDescent="0.25">
      <c r="I308" s="641">
        <f>J307+J306</f>
        <v>1.05</v>
      </c>
      <c r="J308" s="641"/>
      <c r="K308" s="641">
        <f>L307+L306</f>
        <v>23.75</v>
      </c>
      <c r="L308" s="641"/>
      <c r="O308" s="353">
        <f>I308</f>
        <v>1.05</v>
      </c>
      <c r="P308" s="353">
        <f>K308</f>
        <v>23.75</v>
      </c>
      <c r="X308" s="326">
        <f>IF([91]Source!BI2697&lt;=1,I308, 0)</f>
        <v>1.05</v>
      </c>
      <c r="Y308" s="326">
        <f>IF([91]Source!BI2697=2,I308, 0)</f>
        <v>0</v>
      </c>
      <c r="Z308" s="326">
        <f>IF([91]Source!BI2697=3,I308, 0)</f>
        <v>0</v>
      </c>
      <c r="AA308" s="326">
        <f>IF([91]Source!BI2697=4,I308, 0)</f>
        <v>0</v>
      </c>
    </row>
    <row r="310" spans="1:27" ht="15" x14ac:dyDescent="0.25">
      <c r="A310" s="359"/>
      <c r="B310" s="359"/>
      <c r="C310" s="360"/>
      <c r="D310" s="360" t="s">
        <v>64</v>
      </c>
      <c r="E310" s="361"/>
      <c r="F310" s="362"/>
      <c r="G310" s="363"/>
      <c r="H310" s="364"/>
      <c r="I310" s="641">
        <f>I303+I308</f>
        <v>1108.02</v>
      </c>
      <c r="J310" s="641"/>
      <c r="K310" s="641">
        <f>K303+K308</f>
        <v>8051.66</v>
      </c>
      <c r="L310" s="641"/>
    </row>
    <row r="311" spans="1:27" ht="78" customHeight="1" x14ac:dyDescent="0.2">
      <c r="A311" s="346">
        <v>43</v>
      </c>
      <c r="B311" s="346" t="str">
        <f>[91]Source!E2721</f>
        <v>448</v>
      </c>
      <c r="C311" s="347" t="s">
        <v>369</v>
      </c>
      <c r="D311" s="347" t="s">
        <v>86</v>
      </c>
      <c r="E311" s="348" t="str">
        <f>[91]Source!H2721</f>
        <v>100 м2 поверхности воздуховодов</v>
      </c>
      <c r="F311" s="329">
        <f>[91]Source!I2721</f>
        <v>0.27489999999999998</v>
      </c>
      <c r="G311" s="349"/>
      <c r="H311" s="350"/>
      <c r="I311" s="329"/>
      <c r="J311" s="351"/>
      <c r="K311" s="329"/>
      <c r="L311" s="351"/>
      <c r="Q311" s="326">
        <f>ROUND(([91]Source!DN2721/100)*ROUND((ROUND(([91]Source!AF2721*[91]Source!AV2721*[91]Source!I2721),2)),2), 2)</f>
        <v>845.61</v>
      </c>
      <c r="R311" s="326">
        <f>[91]Source!X2721</f>
        <v>16391.349999999999</v>
      </c>
      <c r="S311" s="326">
        <f>ROUND(([91]Source!DO2721/100)*ROUND((ROUND(([91]Source!AF2721*[91]Source!AV2721*[91]Source!I2721),2)),2), 2)</f>
        <v>635.9</v>
      </c>
      <c r="T311" s="326">
        <f>[91]Source!Y2721</f>
        <v>7376.11</v>
      </c>
      <c r="U311" s="326">
        <f>ROUND((175/100)*ROUND((ROUND(([91]Source!AE2721*[91]Source!AV2721*[91]Source!I2721),2)),2), 2)</f>
        <v>12.25</v>
      </c>
      <c r="V311" s="326">
        <f>ROUND((157/100)*ROUND(ROUND((ROUND(([91]Source!AE2721*[91]Source!AV2721*[91]Source!I2721),2)*[91]Source!BS2721),2), 2), 2)</f>
        <v>266.29000000000002</v>
      </c>
    </row>
    <row r="312" spans="1:27" ht="25.5" x14ac:dyDescent="0.2">
      <c r="D312" s="402" t="str">
        <f>"Объем: "&amp;[91]Source!I2721&amp;"=(15,73+"&amp;"2,11+"&amp;"1,47+"&amp;"2,2+"&amp;"5,25+"&amp;"0,73)/"&amp;"100"</f>
        <v>Объем: 0,2749=(15,73+2,11+1,47+2,2+5,25+0,73)/100</v>
      </c>
    </row>
    <row r="313" spans="1:27" ht="14.25" x14ac:dyDescent="0.2">
      <c r="A313" s="346"/>
      <c r="B313" s="346"/>
      <c r="C313" s="347"/>
      <c r="D313" s="347" t="s">
        <v>52</v>
      </c>
      <c r="E313" s="348"/>
      <c r="F313" s="329"/>
      <c r="G313" s="349">
        <f>[91]Source!AO2721</f>
        <v>1381.04</v>
      </c>
      <c r="H313" s="350" t="str">
        <f>[91]Source!DG2721</f>
        <v>)*1,67</v>
      </c>
      <c r="I313" s="329">
        <f>[91]Source!AV2721</f>
        <v>1.0669999999999999</v>
      </c>
      <c r="J313" s="351">
        <f>ROUND((ROUND(([91]Source!AF2721*[91]Source!AV2721*[91]Source!I2721),2)),2)</f>
        <v>676.49</v>
      </c>
      <c r="K313" s="329">
        <f>IF([91]Source!BA2721&lt;&gt; 0, [91]Source!BA2721, 1)</f>
        <v>24.23</v>
      </c>
      <c r="L313" s="351">
        <f>[91]Source!S2721</f>
        <v>16391.349999999999</v>
      </c>
      <c r="W313" s="326">
        <f>J313</f>
        <v>676.49</v>
      </c>
    </row>
    <row r="314" spans="1:27" ht="14.25" x14ac:dyDescent="0.2">
      <c r="A314" s="346"/>
      <c r="B314" s="346"/>
      <c r="C314" s="347"/>
      <c r="D314" s="347" t="s">
        <v>53</v>
      </c>
      <c r="E314" s="348"/>
      <c r="F314" s="329"/>
      <c r="G314" s="349">
        <f>[91]Source!AM2721</f>
        <v>116.7</v>
      </c>
      <c r="H314" s="350">
        <f>[91]Source!DE2721</f>
        <v>0</v>
      </c>
      <c r="I314" s="329">
        <f>[91]Source!AV2721</f>
        <v>1.0669999999999999</v>
      </c>
      <c r="J314" s="351">
        <f>(ROUND((ROUND((([91]Source!ET2721)*[91]Source!AV2721*[91]Source!I2721),2)),2)+ROUND((ROUND((([91]Source!AE2721-([91]Source!EU2721))*[91]Source!AV2721*[91]Source!I2721),2)),2))-J323</f>
        <v>34.229999999999997</v>
      </c>
      <c r="K314" s="329">
        <f>IF([91]Source!BB2721&lt;&gt; 0, [91]Source!BB2721, 1)</f>
        <v>8.59</v>
      </c>
      <c r="L314" s="351">
        <f>[91]Source!Q2721-L323</f>
        <v>294.08</v>
      </c>
    </row>
    <row r="315" spans="1:27" ht="14.25" x14ac:dyDescent="0.2">
      <c r="A315" s="346"/>
      <c r="B315" s="346"/>
      <c r="C315" s="347"/>
      <c r="D315" s="347" t="s">
        <v>54</v>
      </c>
      <c r="E315" s="348"/>
      <c r="F315" s="329"/>
      <c r="G315" s="349">
        <f>[91]Source!AN2721</f>
        <v>14.29</v>
      </c>
      <c r="H315" s="350">
        <f>[91]Source!DE2721</f>
        <v>0</v>
      </c>
      <c r="I315" s="329">
        <f>[91]Source!AV2721</f>
        <v>1.0669999999999999</v>
      </c>
      <c r="J315" s="352">
        <f>ROUND((ROUND(([91]Source!AE2721*[91]Source!AV2721*[91]Source!I2721),2)),2)-J324</f>
        <v>4.1900000000000004</v>
      </c>
      <c r="K315" s="329">
        <f>IF([91]Source!BS2721&lt;&gt; 0, [91]Source!BS2721, 1)</f>
        <v>24.23</v>
      </c>
      <c r="L315" s="352">
        <f>[91]Source!R2721-L324</f>
        <v>101.56</v>
      </c>
      <c r="W315" s="326">
        <f>J315</f>
        <v>4.1900000000000004</v>
      </c>
    </row>
    <row r="316" spans="1:27" ht="14.25" x14ac:dyDescent="0.2">
      <c r="A316" s="346"/>
      <c r="B316" s="346"/>
      <c r="C316" s="347"/>
      <c r="D316" s="347" t="s">
        <v>55</v>
      </c>
      <c r="E316" s="348"/>
      <c r="F316" s="329"/>
      <c r="G316" s="349">
        <f>[91]Source!AL2721</f>
        <v>599.72</v>
      </c>
      <c r="H316" s="350">
        <f>[91]Source!DD2721</f>
        <v>0</v>
      </c>
      <c r="I316" s="329">
        <f>[91]Source!AW2721</f>
        <v>1</v>
      </c>
      <c r="J316" s="351">
        <f>ROUND((ROUND(([91]Source!AC2721*[91]Source!AW2721*[91]Source!I2721),2)),2)</f>
        <v>164.86</v>
      </c>
      <c r="K316" s="329">
        <f>IF([91]Source!BC2721&lt;&gt; 0, [91]Source!BC2721, 1)</f>
        <v>4.18</v>
      </c>
      <c r="L316" s="351">
        <f>[91]Source!P2721</f>
        <v>689.11</v>
      </c>
    </row>
    <row r="317" spans="1:27" ht="14.25" x14ac:dyDescent="0.2">
      <c r="A317" s="346"/>
      <c r="B317" s="346"/>
      <c r="C317" s="347"/>
      <c r="D317" s="347" t="s">
        <v>56</v>
      </c>
      <c r="E317" s="348" t="s">
        <v>57</v>
      </c>
      <c r="F317" s="329">
        <f>[91]Source!DN2721</f>
        <v>125</v>
      </c>
      <c r="G317" s="349"/>
      <c r="H317" s="350"/>
      <c r="I317" s="329"/>
      <c r="J317" s="351">
        <f>SUM(Q311:Q316)</f>
        <v>845.61</v>
      </c>
      <c r="K317" s="329">
        <f>[91]Source!BZ2721</f>
        <v>100</v>
      </c>
      <c r="L317" s="351">
        <f>SUM(R311:R316)</f>
        <v>16391.349999999999</v>
      </c>
    </row>
    <row r="318" spans="1:27" ht="14.25" x14ac:dyDescent="0.2">
      <c r="A318" s="346"/>
      <c r="B318" s="346"/>
      <c r="C318" s="347"/>
      <c r="D318" s="347" t="s">
        <v>58</v>
      </c>
      <c r="E318" s="348" t="s">
        <v>57</v>
      </c>
      <c r="F318" s="329">
        <f>[91]Source!DO2721</f>
        <v>94</v>
      </c>
      <c r="G318" s="349"/>
      <c r="H318" s="350"/>
      <c r="I318" s="329"/>
      <c r="J318" s="351">
        <f>SUM(S311:S317)</f>
        <v>635.9</v>
      </c>
      <c r="K318" s="329">
        <f>[91]Source!CA2721</f>
        <v>45</v>
      </c>
      <c r="L318" s="351">
        <f>SUM(T311:T317)</f>
        <v>7376.11</v>
      </c>
    </row>
    <row r="319" spans="1:27" ht="14.25" x14ac:dyDescent="0.2">
      <c r="A319" s="346"/>
      <c r="B319" s="346"/>
      <c r="C319" s="347"/>
      <c r="D319" s="347" t="s">
        <v>59</v>
      </c>
      <c r="E319" s="348" t="s">
        <v>57</v>
      </c>
      <c r="F319" s="329">
        <f>175</f>
        <v>175</v>
      </c>
      <c r="G319" s="349"/>
      <c r="H319" s="350"/>
      <c r="I319" s="329"/>
      <c r="J319" s="351">
        <f>SUM(U311:U318)-J325</f>
        <v>7.33</v>
      </c>
      <c r="K319" s="329">
        <f>157</f>
        <v>157</v>
      </c>
      <c r="L319" s="351">
        <f>SUM(V311:V318)-L325</f>
        <v>159.44999999999999</v>
      </c>
    </row>
    <row r="320" spans="1:27" ht="14.25" x14ac:dyDescent="0.2">
      <c r="A320" s="346"/>
      <c r="B320" s="346"/>
      <c r="C320" s="347"/>
      <c r="D320" s="347" t="s">
        <v>60</v>
      </c>
      <c r="E320" s="348" t="s">
        <v>61</v>
      </c>
      <c r="F320" s="329">
        <f>[91]Source!AQ2721</f>
        <v>122</v>
      </c>
      <c r="G320" s="349"/>
      <c r="H320" s="350">
        <f>[91]Source!DI2721</f>
        <v>0</v>
      </c>
      <c r="I320" s="329">
        <f>[91]Source!AV2721</f>
        <v>1.0669999999999999</v>
      </c>
      <c r="J320" s="351">
        <f>[91]Source!U2721</f>
        <v>35.78</v>
      </c>
      <c r="K320" s="329"/>
      <c r="L320" s="351"/>
    </row>
    <row r="321" spans="1:27" ht="15" x14ac:dyDescent="0.25">
      <c r="I321" s="641">
        <f>J313+J314+J316+J317+J318+J319</f>
        <v>2364.42</v>
      </c>
      <c r="J321" s="641"/>
      <c r="K321" s="641">
        <f>L313+L314+L316+L317+L318+L319</f>
        <v>41301.449999999997</v>
      </c>
      <c r="L321" s="641"/>
      <c r="O321" s="353">
        <f>J313+J314+J316+J317+J318+J319</f>
        <v>2364.42</v>
      </c>
      <c r="P321" s="353">
        <f>L313+L314+L316+L317+L318+L319</f>
        <v>41301.449999999997</v>
      </c>
      <c r="X321" s="326">
        <f>IF([91]Source!BI2721&lt;=1,J313+J314+J316+J317+J318+J319-0, 0)</f>
        <v>2364.42</v>
      </c>
      <c r="Y321" s="326">
        <f>IF([91]Source!BI2721=2,J313+J314+J316+J317+J318+J319-0, 0)</f>
        <v>0</v>
      </c>
      <c r="Z321" s="326">
        <f>IF([91]Source!BI2721=3,J313+J314+J316+J317+J318+J319-0, 0)</f>
        <v>0</v>
      </c>
      <c r="AA321" s="326">
        <f>IF([91]Source!BI2721=4,J313+J314+J316+J317+J318+J319,0)</f>
        <v>0</v>
      </c>
    </row>
    <row r="322" spans="1:27" ht="28.5" x14ac:dyDescent="0.2">
      <c r="A322" s="354"/>
      <c r="B322" s="354"/>
      <c r="C322" s="355"/>
      <c r="D322" s="355" t="s">
        <v>62</v>
      </c>
      <c r="E322" s="348"/>
      <c r="F322" s="356"/>
      <c r="G322" s="357"/>
      <c r="H322" s="348"/>
      <c r="I322" s="356"/>
      <c r="J322" s="352"/>
      <c r="K322" s="356"/>
      <c r="L322" s="352"/>
    </row>
    <row r="323" spans="1:27" ht="14.25" x14ac:dyDescent="0.2">
      <c r="A323" s="354"/>
      <c r="B323" s="354"/>
      <c r="C323" s="355"/>
      <c r="D323" s="355" t="s">
        <v>53</v>
      </c>
      <c r="E323" s="348"/>
      <c r="F323" s="356"/>
      <c r="G323" s="357">
        <f t="shared" ref="G323:L323" si="11">G324</f>
        <v>14.29</v>
      </c>
      <c r="H323" s="358" t="str">
        <f t="shared" si="11"/>
        <v>)*(1.67-1)</v>
      </c>
      <c r="I323" s="356">
        <f t="shared" si="11"/>
        <v>1.0669999999999999</v>
      </c>
      <c r="J323" s="352">
        <f t="shared" si="11"/>
        <v>2.81</v>
      </c>
      <c r="K323" s="356">
        <f t="shared" si="11"/>
        <v>24.23</v>
      </c>
      <c r="L323" s="352">
        <f t="shared" si="11"/>
        <v>68.05</v>
      </c>
    </row>
    <row r="324" spans="1:27" ht="14.25" x14ac:dyDescent="0.2">
      <c r="A324" s="354"/>
      <c r="B324" s="354"/>
      <c r="C324" s="355"/>
      <c r="D324" s="355" t="s">
        <v>54</v>
      </c>
      <c r="E324" s="348"/>
      <c r="F324" s="356"/>
      <c r="G324" s="357">
        <f>[91]Source!AN2721</f>
        <v>14.29</v>
      </c>
      <c r="H324" s="358" t="s">
        <v>63</v>
      </c>
      <c r="I324" s="356">
        <f>[91]Source!AV2721</f>
        <v>1.0669999999999999</v>
      </c>
      <c r="J324" s="352">
        <f>ROUND(F311*G324*I324*(1.67-1), 2)</f>
        <v>2.81</v>
      </c>
      <c r="K324" s="356">
        <f>IF([91]Source!BS2721&lt;&gt; 0, [91]Source!BS2721, 1)</f>
        <v>24.23</v>
      </c>
      <c r="L324" s="352">
        <f>ROUND(F311*G324*I324*(1.67-1)*K324, 2)</f>
        <v>68.05</v>
      </c>
      <c r="W324" s="326">
        <f>J324</f>
        <v>2.81</v>
      </c>
    </row>
    <row r="325" spans="1:27" ht="14.25" x14ac:dyDescent="0.2">
      <c r="A325" s="354"/>
      <c r="B325" s="354"/>
      <c r="C325" s="355"/>
      <c r="D325" s="355" t="s">
        <v>59</v>
      </c>
      <c r="E325" s="348" t="s">
        <v>57</v>
      </c>
      <c r="F325" s="356">
        <f>175</f>
        <v>175</v>
      </c>
      <c r="G325" s="357"/>
      <c r="H325" s="348"/>
      <c r="I325" s="356"/>
      <c r="J325" s="352">
        <f>ROUND(J324*(F325/100), 2)</f>
        <v>4.92</v>
      </c>
      <c r="K325" s="356">
        <f>157</f>
        <v>157</v>
      </c>
      <c r="L325" s="352">
        <f>ROUND(L324*(K325/100), 2)</f>
        <v>106.84</v>
      </c>
    </row>
    <row r="326" spans="1:27" ht="15" x14ac:dyDescent="0.25">
      <c r="I326" s="641">
        <f>J325+J324</f>
        <v>7.73</v>
      </c>
      <c r="J326" s="641"/>
      <c r="K326" s="641">
        <f>L325+L324</f>
        <v>174.89</v>
      </c>
      <c r="L326" s="641"/>
      <c r="O326" s="353">
        <f>I326</f>
        <v>7.73</v>
      </c>
      <c r="P326" s="353">
        <f>K326</f>
        <v>174.89</v>
      </c>
      <c r="X326" s="326">
        <f>IF([91]Source!BI2721&lt;=1,I326, 0)</f>
        <v>7.73</v>
      </c>
      <c r="Y326" s="326">
        <f>IF([91]Source!BI2721=2,I326, 0)</f>
        <v>0</v>
      </c>
      <c r="Z326" s="326">
        <f>IF([91]Source!BI2721=3,I326, 0)</f>
        <v>0</v>
      </c>
      <c r="AA326" s="326">
        <f>IF([91]Source!BI2721=4,I326, 0)</f>
        <v>0</v>
      </c>
    </row>
    <row r="328" spans="1:27" ht="15" x14ac:dyDescent="0.25">
      <c r="A328" s="359"/>
      <c r="B328" s="359"/>
      <c r="C328" s="360"/>
      <c r="D328" s="360" t="s">
        <v>64</v>
      </c>
      <c r="E328" s="361"/>
      <c r="F328" s="362"/>
      <c r="G328" s="363"/>
      <c r="H328" s="364"/>
      <c r="I328" s="641">
        <f>I321+I326</f>
        <v>2372.15</v>
      </c>
      <c r="J328" s="641"/>
      <c r="K328" s="641">
        <f>K321+K326</f>
        <v>41476.339999999997</v>
      </c>
      <c r="L328" s="641"/>
    </row>
    <row r="329" spans="1:27" ht="66.75" customHeight="1" x14ac:dyDescent="0.2">
      <c r="A329" s="346">
        <v>44</v>
      </c>
      <c r="B329" s="346" t="str">
        <f>[91]Source!E2723</f>
        <v>449</v>
      </c>
      <c r="C329" s="347" t="s">
        <v>370</v>
      </c>
      <c r="D329" s="347" t="s">
        <v>84</v>
      </c>
      <c r="E329" s="348" t="str">
        <f>[91]Source!H2723</f>
        <v>м2</v>
      </c>
      <c r="F329" s="329">
        <f>[91]Source!I2723</f>
        <v>23.82</v>
      </c>
      <c r="G329" s="349">
        <f>[91]Source!AL2723</f>
        <v>125.64</v>
      </c>
      <c r="H329" s="350">
        <f>[91]Source!DD2723</f>
        <v>0</v>
      </c>
      <c r="I329" s="329">
        <f>[91]Source!AW2723</f>
        <v>1</v>
      </c>
      <c r="J329" s="351">
        <f>ROUND((ROUND(([91]Source!AC2723*[91]Source!AW2723*[91]Source!I2723),2)),2)</f>
        <v>2992.74</v>
      </c>
      <c r="K329" s="329">
        <f>IF([91]Source!BC2723&lt;&gt; 0, [91]Source!BC2723, 1)</f>
        <v>3.84</v>
      </c>
      <c r="L329" s="351">
        <f>[91]Source!P2723</f>
        <v>11492.12</v>
      </c>
      <c r="Q329" s="326">
        <f>ROUND(([91]Source!DN2723/100)*ROUND((ROUND(([91]Source!AF2723*[91]Source!AV2723*[91]Source!I2723),2)),2), 2)</f>
        <v>0</v>
      </c>
      <c r="R329" s="326">
        <f>[91]Source!X2723</f>
        <v>0</v>
      </c>
      <c r="S329" s="326">
        <f>ROUND(([91]Source!DO2723/100)*ROUND((ROUND(([91]Source!AF2723*[91]Source!AV2723*[91]Source!I2723),2)),2), 2)</f>
        <v>0</v>
      </c>
      <c r="T329" s="326">
        <f>[91]Source!Y2723</f>
        <v>0</v>
      </c>
      <c r="U329" s="326">
        <f>ROUND((175/100)*ROUND((ROUND(([91]Source!AE2723*[91]Source!AV2723*[91]Source!I2723),2)),2), 2)</f>
        <v>0</v>
      </c>
      <c r="V329" s="326">
        <f>ROUND((157/100)*ROUND(ROUND((ROUND(([91]Source!AE2723*[91]Source!AV2723*[91]Source!I2723),2)*[91]Source!BS2723),2), 2), 2)</f>
        <v>0</v>
      </c>
    </row>
    <row r="330" spans="1:27" x14ac:dyDescent="0.2">
      <c r="D330" s="402" t="str">
        <f>"Объем: "&amp;[91]Source!I2723&amp;"=15,73+"&amp;"2,11+"&amp;"5,25+"&amp;"0,73"</f>
        <v>Объем: 23,82=15,73+2,11+5,25+0,73</v>
      </c>
    </row>
    <row r="331" spans="1:27" ht="15" x14ac:dyDescent="0.25">
      <c r="A331" s="365"/>
      <c r="B331" s="365"/>
      <c r="C331" s="365"/>
      <c r="D331" s="365"/>
      <c r="E331" s="365"/>
      <c r="F331" s="365"/>
      <c r="G331" s="365"/>
      <c r="H331" s="365"/>
      <c r="I331" s="641">
        <f>J329</f>
        <v>2992.74</v>
      </c>
      <c r="J331" s="641"/>
      <c r="K331" s="641">
        <f>L329</f>
        <v>11492.12</v>
      </c>
      <c r="L331" s="641"/>
      <c r="O331" s="353">
        <f>J329</f>
        <v>2992.74</v>
      </c>
      <c r="P331" s="353">
        <f>L329</f>
        <v>11492.12</v>
      </c>
      <c r="X331" s="326">
        <f>IF([91]Source!BI2723&lt;=1,J329-0, 0)</f>
        <v>2992.74</v>
      </c>
      <c r="Y331" s="326">
        <f>IF([91]Source!BI2723=2,J329-0, 0)</f>
        <v>0</v>
      </c>
      <c r="Z331" s="326">
        <f>IF([91]Source!BI2723=3,J329-0, 0)</f>
        <v>0</v>
      </c>
      <c r="AA331" s="326">
        <f>IF([91]Source!BI2723=4,J329,0)</f>
        <v>0</v>
      </c>
    </row>
    <row r="332" spans="1:27" ht="64.5" customHeight="1" x14ac:dyDescent="0.2">
      <c r="A332" s="346">
        <v>45</v>
      </c>
      <c r="B332" s="346" t="str">
        <f>[91]Source!E2725</f>
        <v>450</v>
      </c>
      <c r="C332" s="347" t="s">
        <v>371</v>
      </c>
      <c r="D332" s="347" t="s">
        <v>79</v>
      </c>
      <c r="E332" s="348" t="str">
        <f>[91]Source!H2725</f>
        <v>м2</v>
      </c>
      <c r="F332" s="329">
        <f>[91]Source!I2725</f>
        <v>3.67</v>
      </c>
      <c r="G332" s="349">
        <f>[91]Source!AL2725</f>
        <v>157.54</v>
      </c>
      <c r="H332" s="350">
        <f>[91]Source!DD2725</f>
        <v>0</v>
      </c>
      <c r="I332" s="329">
        <f>[91]Source!AW2725</f>
        <v>1</v>
      </c>
      <c r="J332" s="351">
        <f>ROUND((ROUND(([91]Source!AC2725*[91]Source!AW2725*[91]Source!I2725),2)),2)</f>
        <v>578.16999999999996</v>
      </c>
      <c r="K332" s="329">
        <f>IF([91]Source!BC2725&lt;&gt; 0, [91]Source!BC2725, 1)</f>
        <v>3.07</v>
      </c>
      <c r="L332" s="351">
        <f>[91]Source!P2725</f>
        <v>1774.98</v>
      </c>
      <c r="Q332" s="326">
        <f>ROUND(([91]Source!DN2725/100)*ROUND((ROUND(([91]Source!AF2725*[91]Source!AV2725*[91]Source!I2725),2)),2), 2)</f>
        <v>0</v>
      </c>
      <c r="R332" s="326">
        <f>[91]Source!X2725</f>
        <v>0</v>
      </c>
      <c r="S332" s="326">
        <f>ROUND(([91]Source!DO2725/100)*ROUND((ROUND(([91]Source!AF2725*[91]Source!AV2725*[91]Source!I2725),2)),2), 2)</f>
        <v>0</v>
      </c>
      <c r="T332" s="326">
        <f>[91]Source!Y2725</f>
        <v>0</v>
      </c>
      <c r="U332" s="326">
        <f>ROUND((175/100)*ROUND((ROUND(([91]Source!AE2725*[91]Source!AV2725*[91]Source!I2725),2)),2), 2)</f>
        <v>0</v>
      </c>
      <c r="V332" s="326">
        <f>ROUND((157/100)*ROUND(ROUND((ROUND(([91]Source!AE2725*[91]Source!AV2725*[91]Source!I2725),2)*[91]Source!BS2725),2), 2), 2)</f>
        <v>0</v>
      </c>
    </row>
    <row r="333" spans="1:27" x14ac:dyDescent="0.2">
      <c r="D333" s="402" t="str">
        <f>"Объем: "&amp;[91]Source!I2725&amp;"=1,47+"&amp;"2,2"</f>
        <v>Объем: 3,67=1,47+2,2</v>
      </c>
    </row>
    <row r="334" spans="1:27" ht="15" x14ac:dyDescent="0.25">
      <c r="A334" s="365"/>
      <c r="B334" s="365"/>
      <c r="C334" s="365"/>
      <c r="D334" s="365"/>
      <c r="E334" s="365"/>
      <c r="F334" s="365"/>
      <c r="G334" s="365"/>
      <c r="H334" s="365"/>
      <c r="I334" s="641">
        <f>J332</f>
        <v>578.16999999999996</v>
      </c>
      <c r="J334" s="641"/>
      <c r="K334" s="641">
        <f>L332</f>
        <v>1774.98</v>
      </c>
      <c r="L334" s="641"/>
      <c r="O334" s="353">
        <f>J332</f>
        <v>578.16999999999996</v>
      </c>
      <c r="P334" s="353">
        <f>L332</f>
        <v>1774.98</v>
      </c>
      <c r="X334" s="326">
        <f>IF([91]Source!BI2725&lt;=1,J332-0, 0)</f>
        <v>578.16999999999996</v>
      </c>
      <c r="Y334" s="326">
        <f>IF([91]Source!BI2725=2,J332-0, 0)</f>
        <v>0</v>
      </c>
      <c r="Z334" s="326">
        <f>IF([91]Source!BI2725=3,J332-0, 0)</f>
        <v>0</v>
      </c>
      <c r="AA334" s="326">
        <f>IF([91]Source!BI2725=4,J332,0)</f>
        <v>0</v>
      </c>
    </row>
    <row r="335" spans="1:27" ht="78" customHeight="1" x14ac:dyDescent="0.2">
      <c r="A335" s="346">
        <v>46</v>
      </c>
      <c r="B335" s="346" t="str">
        <f>[91]Source!E2727</f>
        <v>451</v>
      </c>
      <c r="C335" s="347" t="s">
        <v>372</v>
      </c>
      <c r="D335" s="347" t="s">
        <v>87</v>
      </c>
      <c r="E335" s="348" t="str">
        <f>[91]Source!H2727</f>
        <v>100 м2 поверхности воздуховодов</v>
      </c>
      <c r="F335" s="329">
        <f>[91]Source!I2727</f>
        <v>9.0999999999999998E-2</v>
      </c>
      <c r="G335" s="349"/>
      <c r="H335" s="350"/>
      <c r="I335" s="329"/>
      <c r="J335" s="351"/>
      <c r="K335" s="329"/>
      <c r="L335" s="351"/>
      <c r="Q335" s="326">
        <f>ROUND(([91]Source!DN2727/100)*ROUND((ROUND(([91]Source!AF2727*[91]Source!AV2727*[91]Source!I2727),2)),2), 2)</f>
        <v>210.64</v>
      </c>
      <c r="R335" s="326">
        <f>[91]Source!X2727</f>
        <v>4083</v>
      </c>
      <c r="S335" s="326">
        <f>ROUND(([91]Source!DO2727/100)*ROUND((ROUND(([91]Source!AF2727*[91]Source!AV2727*[91]Source!I2727),2)),2), 2)</f>
        <v>158.4</v>
      </c>
      <c r="T335" s="326">
        <f>[91]Source!Y2727</f>
        <v>1837.35</v>
      </c>
      <c r="U335" s="326">
        <f>ROUND((175/100)*ROUND((ROUND(([91]Source!AE2727*[91]Source!AV2727*[91]Source!I2727),2)),2), 2)</f>
        <v>3.03</v>
      </c>
      <c r="V335" s="326">
        <f>ROUND((157/100)*ROUND(ROUND((ROUND(([91]Source!AE2727*[91]Source!AV2727*[91]Source!I2727),2)*[91]Source!BS2727),2), 2), 2)</f>
        <v>65.81</v>
      </c>
    </row>
    <row r="336" spans="1:27" x14ac:dyDescent="0.2">
      <c r="D336" s="402" t="str">
        <f>"Объем: "&amp;[91]Source!I2727&amp;"=(4,5+"&amp;"4,6)/"&amp;"100"</f>
        <v>Объем: 0,091=(4,5+4,6)/100</v>
      </c>
    </row>
    <row r="337" spans="1:27" ht="14.25" x14ac:dyDescent="0.2">
      <c r="A337" s="346"/>
      <c r="B337" s="346"/>
      <c r="C337" s="347"/>
      <c r="D337" s="347" t="s">
        <v>52</v>
      </c>
      <c r="E337" s="348"/>
      <c r="F337" s="329"/>
      <c r="G337" s="349">
        <f>[91]Source!AO2727</f>
        <v>1039.18</v>
      </c>
      <c r="H337" s="350" t="str">
        <f>[91]Source!DG2727</f>
        <v>)*1,67</v>
      </c>
      <c r="I337" s="329">
        <f>[91]Source!AV2727</f>
        <v>1.0669999999999999</v>
      </c>
      <c r="J337" s="351">
        <f>ROUND((ROUND(([91]Source!AF2727*[91]Source!AV2727*[91]Source!I2727),2)),2)</f>
        <v>168.51</v>
      </c>
      <c r="K337" s="329">
        <f>IF([91]Source!BA2727&lt;&gt; 0, [91]Source!BA2727, 1)</f>
        <v>24.23</v>
      </c>
      <c r="L337" s="351">
        <f>[91]Source!S2727</f>
        <v>4083</v>
      </c>
      <c r="W337" s="326">
        <f>J337</f>
        <v>168.51</v>
      </c>
    </row>
    <row r="338" spans="1:27" ht="14.25" x14ac:dyDescent="0.2">
      <c r="A338" s="346"/>
      <c r="B338" s="346"/>
      <c r="C338" s="347"/>
      <c r="D338" s="347" t="s">
        <v>53</v>
      </c>
      <c r="E338" s="348"/>
      <c r="F338" s="329"/>
      <c r="G338" s="349">
        <f>[91]Source!AM2727</f>
        <v>87.46</v>
      </c>
      <c r="H338" s="350">
        <f>[91]Source!DE2727</f>
        <v>0</v>
      </c>
      <c r="I338" s="329">
        <f>[91]Source!AV2727</f>
        <v>1.0669999999999999</v>
      </c>
      <c r="J338" s="351">
        <f>(ROUND((ROUND((([91]Source!ET2727)*[91]Source!AV2727*[91]Source!I2727),2)),2)+ROUND((ROUND((([91]Source!AE2727-([91]Source!EU2727))*[91]Source!AV2727*[91]Source!I2727),2)),2))-J348</f>
        <v>8.49</v>
      </c>
      <c r="K338" s="329">
        <f>IF([91]Source!BB2727&lt;&gt; 0, [91]Source!BB2727, 1)</f>
        <v>8.6</v>
      </c>
      <c r="L338" s="351">
        <f>[91]Source!Q2727-L348</f>
        <v>73.12</v>
      </c>
    </row>
    <row r="339" spans="1:27" ht="14.25" x14ac:dyDescent="0.2">
      <c r="A339" s="346"/>
      <c r="B339" s="346"/>
      <c r="C339" s="347"/>
      <c r="D339" s="347" t="s">
        <v>54</v>
      </c>
      <c r="E339" s="348"/>
      <c r="F339" s="329"/>
      <c r="G339" s="349">
        <f>[91]Source!AN2727</f>
        <v>10.69</v>
      </c>
      <c r="H339" s="350">
        <f>[91]Source!DE2727</f>
        <v>0</v>
      </c>
      <c r="I339" s="329">
        <f>[91]Source!AV2727</f>
        <v>1.0669999999999999</v>
      </c>
      <c r="J339" s="352">
        <f>ROUND((ROUND(([91]Source!AE2727*[91]Source!AV2727*[91]Source!I2727),2)),2)-J349</f>
        <v>1.03</v>
      </c>
      <c r="K339" s="329">
        <f>IF([91]Source!BS2727&lt;&gt; 0, [91]Source!BS2727, 1)</f>
        <v>24.23</v>
      </c>
      <c r="L339" s="352">
        <f>[91]Source!R2727-L349</f>
        <v>25.07</v>
      </c>
      <c r="W339" s="326">
        <f>J339</f>
        <v>1.03</v>
      </c>
    </row>
    <row r="340" spans="1:27" ht="14.25" x14ac:dyDescent="0.2">
      <c r="A340" s="346"/>
      <c r="B340" s="346"/>
      <c r="C340" s="347"/>
      <c r="D340" s="347" t="s">
        <v>55</v>
      </c>
      <c r="E340" s="348"/>
      <c r="F340" s="329"/>
      <c r="G340" s="349">
        <f>[91]Source!AL2727</f>
        <v>409.71</v>
      </c>
      <c r="H340" s="350">
        <f>[91]Source!DD2727</f>
        <v>0</v>
      </c>
      <c r="I340" s="329">
        <f>[91]Source!AW2727</f>
        <v>1</v>
      </c>
      <c r="J340" s="351">
        <f>ROUND((ROUND(([91]Source!AC2727*[91]Source!AW2727*[91]Source!I2727),2)),2)</f>
        <v>37.28</v>
      </c>
      <c r="K340" s="329">
        <f>IF([91]Source!BC2727&lt;&gt; 0, [91]Source!BC2727, 1)</f>
        <v>3.31</v>
      </c>
      <c r="L340" s="351">
        <f>[91]Source!P2727</f>
        <v>123.4</v>
      </c>
    </row>
    <row r="341" spans="1:27" ht="42.75" x14ac:dyDescent="0.2">
      <c r="A341" s="346">
        <v>47</v>
      </c>
      <c r="B341" s="346" t="str">
        <f>[91]Source!E2729</f>
        <v>451,1</v>
      </c>
      <c r="C341" s="347" t="str">
        <f>[91]Source!F2729</f>
        <v>1.19-3-13</v>
      </c>
      <c r="D341" s="347" t="s">
        <v>79</v>
      </c>
      <c r="E341" s="348" t="str">
        <f>[91]Source!H2729</f>
        <v>м2</v>
      </c>
      <c r="F341" s="329">
        <f>[91]Source!I2729</f>
        <v>9.1</v>
      </c>
      <c r="G341" s="349">
        <f>[91]Source!AK2729</f>
        <v>157.54</v>
      </c>
      <c r="H341" s="398" t="s">
        <v>74</v>
      </c>
      <c r="I341" s="329">
        <f>[91]Source!AW2729</f>
        <v>1</v>
      </c>
      <c r="J341" s="351">
        <f>ROUND((ROUND(([91]Source!AC2729*[91]Source!AW2729*[91]Source!I2729),2)),2)+(ROUND((ROUND((([91]Source!ET2729)*[91]Source!AV2729*[91]Source!I2729),2)),2)+ROUND((ROUND((([91]Source!AE2729-([91]Source!EU2729))*[91]Source!AV2729*[91]Source!I2729),2)),2))+ROUND((ROUND(([91]Source!AF2729*[91]Source!AV2729*[91]Source!I2729),2)),2)</f>
        <v>1433.61</v>
      </c>
      <c r="K341" s="329">
        <f>IF([91]Source!BC2729&lt;&gt; 0, [91]Source!BC2729, 1)</f>
        <v>3.07</v>
      </c>
      <c r="L341" s="351">
        <f>[91]Source!O2729</f>
        <v>4401.18</v>
      </c>
      <c r="Q341" s="326">
        <f>ROUND(([91]Source!DN2729/100)*ROUND((ROUND(([91]Source!AF2729*[91]Source!AV2729*[91]Source!I2729),2)),2), 2)</f>
        <v>0</v>
      </c>
      <c r="R341" s="326">
        <f>[91]Source!X2729</f>
        <v>0</v>
      </c>
      <c r="S341" s="326">
        <f>ROUND(([91]Source!DO2729/100)*ROUND((ROUND(([91]Source!AF2729*[91]Source!AV2729*[91]Source!I2729),2)),2), 2)</f>
        <v>0</v>
      </c>
      <c r="T341" s="326">
        <f>[91]Source!Y2729</f>
        <v>0</v>
      </c>
      <c r="U341" s="326">
        <f>ROUND((175/100)*ROUND((ROUND(([91]Source!AE2729*[91]Source!AV2729*[91]Source!I2729),2)),2), 2)</f>
        <v>0</v>
      </c>
      <c r="V341" s="326">
        <f>ROUND((157/100)*ROUND(ROUND((ROUND(([91]Source!AE2729*[91]Source!AV2729*[91]Source!I2729),2)*[91]Source!BS2729),2), 2), 2)</f>
        <v>0</v>
      </c>
      <c r="X341" s="326">
        <f>IF([91]Source!BI2729&lt;=1,J341, 0)</f>
        <v>1433.61</v>
      </c>
      <c r="Y341" s="326">
        <f>IF([91]Source!BI2729=2,J341, 0)</f>
        <v>0</v>
      </c>
      <c r="Z341" s="326">
        <f>IF([91]Source!BI2729=3,J341, 0)</f>
        <v>0</v>
      </c>
      <c r="AA341" s="326">
        <f>IF([91]Source!BI2729=4,J341, 0)</f>
        <v>0</v>
      </c>
    </row>
    <row r="342" spans="1:27" ht="14.25" x14ac:dyDescent="0.2">
      <c r="A342" s="346"/>
      <c r="B342" s="346"/>
      <c r="C342" s="347"/>
      <c r="D342" s="347" t="s">
        <v>56</v>
      </c>
      <c r="E342" s="348" t="s">
        <v>57</v>
      </c>
      <c r="F342" s="329">
        <f>[91]Source!DN2727</f>
        <v>125</v>
      </c>
      <c r="G342" s="349"/>
      <c r="H342" s="350"/>
      <c r="I342" s="329"/>
      <c r="J342" s="351">
        <f>SUM(Q335:Q341)</f>
        <v>210.64</v>
      </c>
      <c r="K342" s="329">
        <f>[91]Source!BZ2727</f>
        <v>100</v>
      </c>
      <c r="L342" s="351">
        <f>SUM(R335:R341)</f>
        <v>4083</v>
      </c>
    </row>
    <row r="343" spans="1:27" ht="14.25" x14ac:dyDescent="0.2">
      <c r="A343" s="346"/>
      <c r="B343" s="346"/>
      <c r="C343" s="347"/>
      <c r="D343" s="347" t="s">
        <v>58</v>
      </c>
      <c r="E343" s="348" t="s">
        <v>57</v>
      </c>
      <c r="F343" s="329">
        <f>[91]Source!DO2727</f>
        <v>94</v>
      </c>
      <c r="G343" s="349"/>
      <c r="H343" s="350"/>
      <c r="I343" s="329"/>
      <c r="J343" s="351">
        <f>SUM(S335:S342)</f>
        <v>158.4</v>
      </c>
      <c r="K343" s="329">
        <f>[91]Source!CA2727</f>
        <v>45</v>
      </c>
      <c r="L343" s="351">
        <f>SUM(T335:T342)</f>
        <v>1837.35</v>
      </c>
    </row>
    <row r="344" spans="1:27" ht="14.25" x14ac:dyDescent="0.2">
      <c r="A344" s="346"/>
      <c r="B344" s="346"/>
      <c r="C344" s="347"/>
      <c r="D344" s="347" t="s">
        <v>59</v>
      </c>
      <c r="E344" s="348" t="s">
        <v>57</v>
      </c>
      <c r="F344" s="329">
        <f>175</f>
        <v>175</v>
      </c>
      <c r="G344" s="349"/>
      <c r="H344" s="350"/>
      <c r="I344" s="329"/>
      <c r="J344" s="351">
        <f>SUM(U335:U343)-J350</f>
        <v>1.8</v>
      </c>
      <c r="K344" s="329">
        <f>157</f>
        <v>157</v>
      </c>
      <c r="L344" s="351">
        <f>SUM(V335:V343)-L350</f>
        <v>39.36</v>
      </c>
    </row>
    <row r="345" spans="1:27" ht="14.25" x14ac:dyDescent="0.2">
      <c r="A345" s="346"/>
      <c r="B345" s="346"/>
      <c r="C345" s="347"/>
      <c r="D345" s="347" t="s">
        <v>60</v>
      </c>
      <c r="E345" s="348" t="s">
        <v>61</v>
      </c>
      <c r="F345" s="329">
        <f>[91]Source!AQ2727</f>
        <v>91.8</v>
      </c>
      <c r="G345" s="349"/>
      <c r="H345" s="350">
        <f>[91]Source!DI2727</f>
        <v>0</v>
      </c>
      <c r="I345" s="329">
        <f>[91]Source!AV2727</f>
        <v>1.0669999999999999</v>
      </c>
      <c r="J345" s="351">
        <f>[91]Source!U2727</f>
        <v>8.91</v>
      </c>
      <c r="K345" s="329"/>
      <c r="L345" s="351"/>
    </row>
    <row r="346" spans="1:27" ht="15" x14ac:dyDescent="0.25">
      <c r="I346" s="641">
        <f>J337+J338+J340+J342+J343+J344+SUM(J341:J341)</f>
        <v>2018.73</v>
      </c>
      <c r="J346" s="641"/>
      <c r="K346" s="641">
        <f>L337+L338+L340+L342+L343+L344+SUM(L341:L341)</f>
        <v>14640.41</v>
      </c>
      <c r="L346" s="641"/>
      <c r="O346" s="353">
        <f>J337+J338+J340+J342+J343+J344+SUM(J341:J341)</f>
        <v>2018.73</v>
      </c>
      <c r="P346" s="353">
        <f>L337+L338+L340+L342+L343+L344+SUM(L341:L341)</f>
        <v>14640.41</v>
      </c>
      <c r="X346" s="326">
        <f>IF([91]Source!BI2727&lt;=1,J337+J338+J340+J342+J343+J344-0, 0)</f>
        <v>585.12</v>
      </c>
      <c r="Y346" s="326">
        <f>IF([91]Source!BI2727=2,J337+J338+J340+J342+J343+J344-0, 0)</f>
        <v>0</v>
      </c>
      <c r="Z346" s="326">
        <f>IF([91]Source!BI2727=3,J337+J338+J340+J342+J343+J344-0, 0)</f>
        <v>0</v>
      </c>
      <c r="AA346" s="326">
        <f>IF([91]Source!BI2727=4,J337+J338+J340+J342+J343+J344,0)</f>
        <v>0</v>
      </c>
    </row>
    <row r="347" spans="1:27" ht="28.5" x14ac:dyDescent="0.2">
      <c r="A347" s="354"/>
      <c r="B347" s="354"/>
      <c r="C347" s="355"/>
      <c r="D347" s="355" t="s">
        <v>62</v>
      </c>
      <c r="E347" s="348"/>
      <c r="F347" s="356"/>
      <c r="G347" s="357"/>
      <c r="H347" s="348"/>
      <c r="I347" s="356"/>
      <c r="J347" s="352"/>
      <c r="K347" s="356"/>
      <c r="L347" s="352"/>
    </row>
    <row r="348" spans="1:27" ht="14.25" x14ac:dyDescent="0.2">
      <c r="A348" s="354"/>
      <c r="B348" s="354"/>
      <c r="C348" s="355"/>
      <c r="D348" s="355" t="s">
        <v>53</v>
      </c>
      <c r="E348" s="348"/>
      <c r="F348" s="356"/>
      <c r="G348" s="357">
        <f t="shared" ref="G348:L348" si="12">G349</f>
        <v>10.69</v>
      </c>
      <c r="H348" s="358" t="str">
        <f t="shared" si="12"/>
        <v>)*(1.67-1)</v>
      </c>
      <c r="I348" s="356">
        <f t="shared" si="12"/>
        <v>1.0669999999999999</v>
      </c>
      <c r="J348" s="352">
        <f t="shared" si="12"/>
        <v>0.7</v>
      </c>
      <c r="K348" s="356">
        <f t="shared" si="12"/>
        <v>24.23</v>
      </c>
      <c r="L348" s="352">
        <f t="shared" si="12"/>
        <v>16.850000000000001</v>
      </c>
    </row>
    <row r="349" spans="1:27" ht="14.25" x14ac:dyDescent="0.2">
      <c r="A349" s="354"/>
      <c r="B349" s="354"/>
      <c r="C349" s="355"/>
      <c r="D349" s="355" t="s">
        <v>54</v>
      </c>
      <c r="E349" s="348"/>
      <c r="F349" s="356"/>
      <c r="G349" s="357">
        <f>[91]Source!AN2727</f>
        <v>10.69</v>
      </c>
      <c r="H349" s="358" t="s">
        <v>63</v>
      </c>
      <c r="I349" s="356">
        <f>[91]Source!AV2727</f>
        <v>1.0669999999999999</v>
      </c>
      <c r="J349" s="352">
        <f>ROUND(F335*G349*I349*(1.67-1), 2)</f>
        <v>0.7</v>
      </c>
      <c r="K349" s="356">
        <f>IF([91]Source!BS2727&lt;&gt; 0, [91]Source!BS2727, 1)</f>
        <v>24.23</v>
      </c>
      <c r="L349" s="352">
        <f>ROUND(F335*G349*I349*(1.67-1)*K349, 2)</f>
        <v>16.850000000000001</v>
      </c>
      <c r="W349" s="326">
        <f>J349</f>
        <v>0.7</v>
      </c>
    </row>
    <row r="350" spans="1:27" ht="14.25" x14ac:dyDescent="0.2">
      <c r="A350" s="354"/>
      <c r="B350" s="354"/>
      <c r="C350" s="355"/>
      <c r="D350" s="355" t="s">
        <v>59</v>
      </c>
      <c r="E350" s="348" t="s">
        <v>57</v>
      </c>
      <c r="F350" s="356">
        <f>175</f>
        <v>175</v>
      </c>
      <c r="G350" s="357"/>
      <c r="H350" s="348"/>
      <c r="I350" s="356"/>
      <c r="J350" s="352">
        <f>ROUND(J349*(F350/100), 2)</f>
        <v>1.23</v>
      </c>
      <c r="K350" s="356">
        <f>157</f>
        <v>157</v>
      </c>
      <c r="L350" s="352">
        <f>ROUND(L349*(K350/100), 2)</f>
        <v>26.45</v>
      </c>
    </row>
    <row r="351" spans="1:27" ht="15" x14ac:dyDescent="0.25">
      <c r="I351" s="641">
        <f>J350+J349</f>
        <v>1.93</v>
      </c>
      <c r="J351" s="641"/>
      <c r="K351" s="641">
        <f>L350+L349</f>
        <v>43.3</v>
      </c>
      <c r="L351" s="641"/>
      <c r="O351" s="353">
        <f>I351</f>
        <v>1.93</v>
      </c>
      <c r="P351" s="353">
        <f>K351</f>
        <v>43.3</v>
      </c>
      <c r="X351" s="326">
        <f>IF([91]Source!BI2727&lt;=1,I351, 0)</f>
        <v>1.93</v>
      </c>
      <c r="Y351" s="326">
        <f>IF([91]Source!BI2727=2,I351, 0)</f>
        <v>0</v>
      </c>
      <c r="Z351" s="326">
        <f>IF([91]Source!BI2727=3,I351, 0)</f>
        <v>0</v>
      </c>
      <c r="AA351" s="326">
        <f>IF([91]Source!BI2727=4,I351, 0)</f>
        <v>0</v>
      </c>
    </row>
    <row r="353" spans="1:27" ht="15" x14ac:dyDescent="0.25">
      <c r="A353" s="359"/>
      <c r="B353" s="359"/>
      <c r="C353" s="360"/>
      <c r="D353" s="360" t="s">
        <v>64</v>
      </c>
      <c r="E353" s="361"/>
      <c r="F353" s="362"/>
      <c r="G353" s="363"/>
      <c r="H353" s="364"/>
      <c r="I353" s="641">
        <f>I346+I351</f>
        <v>2020.66</v>
      </c>
      <c r="J353" s="641"/>
      <c r="K353" s="641">
        <f>K346+K351</f>
        <v>14683.71</v>
      </c>
      <c r="L353" s="641"/>
    </row>
    <row r="354" spans="1:27" ht="78.75" customHeight="1" x14ac:dyDescent="0.2">
      <c r="A354" s="346">
        <v>48</v>
      </c>
      <c r="B354" s="346" t="str">
        <f>[91]Source!E2795</f>
        <v>475</v>
      </c>
      <c r="C354" s="347" t="s">
        <v>373</v>
      </c>
      <c r="D354" s="347" t="s">
        <v>80</v>
      </c>
      <c r="E354" s="348" t="str">
        <f>[91]Source!H2795</f>
        <v>1 м2 поверхности</v>
      </c>
      <c r="F354" s="329">
        <f>[91]Source!I2795</f>
        <v>53.09</v>
      </c>
      <c r="G354" s="349"/>
      <c r="H354" s="350"/>
      <c r="I354" s="329"/>
      <c r="J354" s="351"/>
      <c r="K354" s="329"/>
      <c r="L354" s="351"/>
      <c r="Q354" s="326">
        <f>ROUND(([91]Source!DN2795/100)*ROUND((ROUND(([91]Source!AF2795*[91]Source!AV2795*[91]Source!I2795),2)),2), 2)</f>
        <v>520.35</v>
      </c>
      <c r="R354" s="326">
        <f>[91]Source!X2795</f>
        <v>10163.67</v>
      </c>
      <c r="S354" s="326">
        <f>ROUND(([91]Source!DO2795/100)*ROUND((ROUND(([91]Source!AF2795*[91]Source!AV2795*[91]Source!I2795),2)),2), 2)</f>
        <v>387.61</v>
      </c>
      <c r="T354" s="326">
        <f>[91]Source!Y2795</f>
        <v>5274.81</v>
      </c>
      <c r="U354" s="326">
        <f>ROUND((175/100)*ROUND((ROUND(([91]Source!AE2795*[91]Source!AV2795*[91]Source!I2795),2)),2), 2)</f>
        <v>14.61</v>
      </c>
      <c r="V354" s="326">
        <f>ROUND((157/100)*ROUND(ROUND((ROUND(([91]Source!AE2795*[91]Source!AV2795*[91]Source!I2795),2)*[91]Source!BS2795),2), 2), 2)</f>
        <v>317.64</v>
      </c>
    </row>
    <row r="355" spans="1:27" x14ac:dyDescent="0.2">
      <c r="D355" s="402" t="str">
        <f>"Объем: "&amp;[91]Source!I2795&amp;"=3,98+"&amp;"4,04+"&amp;"34,42+"&amp;"10,65"</f>
        <v>Объем: 53,09=3,98+4,04+34,42+10,65</v>
      </c>
    </row>
    <row r="356" spans="1:27" ht="14.25" x14ac:dyDescent="0.2">
      <c r="A356" s="346"/>
      <c r="B356" s="346"/>
      <c r="C356" s="347"/>
      <c r="D356" s="347" t="s">
        <v>52</v>
      </c>
      <c r="E356" s="348"/>
      <c r="F356" s="329"/>
      <c r="G356" s="349">
        <f>[91]Source!AO2795</f>
        <v>5.72</v>
      </c>
      <c r="H356" s="350" t="str">
        <f>[91]Source!DG2795</f>
        <v>)*1,67</v>
      </c>
      <c r="I356" s="329">
        <f>[91]Source!AV2795</f>
        <v>1.0469999999999999</v>
      </c>
      <c r="J356" s="351">
        <f>ROUND((ROUND(([91]Source!AF2795*[91]Source!AV2795*[91]Source!I2795),2)),2)</f>
        <v>530.97</v>
      </c>
      <c r="K356" s="329">
        <f>IF([91]Source!BA2795&lt;&gt; 0, [91]Source!BA2795, 1)</f>
        <v>24.23</v>
      </c>
      <c r="L356" s="351">
        <f>[91]Source!S2795</f>
        <v>12865.4</v>
      </c>
      <c r="W356" s="326">
        <f>J356</f>
        <v>530.97</v>
      </c>
    </row>
    <row r="357" spans="1:27" ht="14.25" x14ac:dyDescent="0.2">
      <c r="A357" s="346"/>
      <c r="B357" s="346"/>
      <c r="C357" s="347"/>
      <c r="D357" s="347" t="s">
        <v>53</v>
      </c>
      <c r="E357" s="348"/>
      <c r="F357" s="329"/>
      <c r="G357" s="349">
        <f>[91]Source!AM2795</f>
        <v>0.46</v>
      </c>
      <c r="H357" s="350">
        <f>[91]Source!DE2795</f>
        <v>0</v>
      </c>
      <c r="I357" s="329">
        <f>[91]Source!AV2795</f>
        <v>1.0469999999999999</v>
      </c>
      <c r="J357" s="351">
        <f>(ROUND((ROUND((([91]Source!ET2795)*[91]Source!AV2795*[91]Source!I2795),2)),2)+ROUND((ROUND((([91]Source!AE2795-([91]Source!EU2795))*[91]Source!AV2795*[91]Source!I2795),2)),2))-J366</f>
        <v>25.57</v>
      </c>
      <c r="K357" s="329">
        <f>IF([91]Source!BB2795&lt;&gt; 0, [91]Source!BB2795, 1)</f>
        <v>9.2200000000000006</v>
      </c>
      <c r="L357" s="351">
        <f>[91]Source!Q2795-L366</f>
        <v>235.72</v>
      </c>
    </row>
    <row r="358" spans="1:27" ht="14.25" x14ac:dyDescent="0.2">
      <c r="A358" s="346"/>
      <c r="B358" s="346"/>
      <c r="C358" s="347"/>
      <c r="D358" s="347" t="s">
        <v>54</v>
      </c>
      <c r="E358" s="348"/>
      <c r="F358" s="329"/>
      <c r="G358" s="349">
        <f>[91]Source!AN2795</f>
        <v>0.09</v>
      </c>
      <c r="H358" s="350">
        <f>[91]Source!DE2795</f>
        <v>0</v>
      </c>
      <c r="I358" s="329">
        <f>[91]Source!AV2795</f>
        <v>1.0469999999999999</v>
      </c>
      <c r="J358" s="352">
        <f>ROUND((ROUND(([91]Source!AE2795*[91]Source!AV2795*[91]Source!I2795),2)),2)-J367</f>
        <v>5</v>
      </c>
      <c r="K358" s="329">
        <f>IF([91]Source!BS2795&lt;&gt; 0, [91]Source!BS2795, 1)</f>
        <v>24.23</v>
      </c>
      <c r="L358" s="352">
        <f>[91]Source!R2795-L367</f>
        <v>121.11</v>
      </c>
      <c r="W358" s="326">
        <f>J358</f>
        <v>5</v>
      </c>
    </row>
    <row r="359" spans="1:27" ht="14.25" x14ac:dyDescent="0.2">
      <c r="A359" s="346"/>
      <c r="B359" s="346"/>
      <c r="C359" s="347"/>
      <c r="D359" s="347" t="s">
        <v>55</v>
      </c>
      <c r="E359" s="348"/>
      <c r="F359" s="329"/>
      <c r="G359" s="349">
        <f>[91]Source!AL2795</f>
        <v>0.12</v>
      </c>
      <c r="H359" s="350">
        <f>[91]Source!DD2795</f>
        <v>0</v>
      </c>
      <c r="I359" s="329">
        <f>[91]Source!AW2795</f>
        <v>1.0189999999999999</v>
      </c>
      <c r="J359" s="351">
        <f>ROUND((ROUND(([91]Source!AC2795*[91]Source!AW2795*[91]Source!I2795),2)),2)</f>
        <v>6.49</v>
      </c>
      <c r="K359" s="329">
        <f>IF([91]Source!BC2795&lt;&gt; 0, [91]Source!BC2795, 1)</f>
        <v>5.58</v>
      </c>
      <c r="L359" s="351">
        <f>[91]Source!P2795</f>
        <v>36.21</v>
      </c>
    </row>
    <row r="360" spans="1:27" ht="14.25" x14ac:dyDescent="0.2">
      <c r="A360" s="346"/>
      <c r="B360" s="346"/>
      <c r="C360" s="347"/>
      <c r="D360" s="347" t="s">
        <v>56</v>
      </c>
      <c r="E360" s="348" t="s">
        <v>57</v>
      </c>
      <c r="F360" s="329">
        <f>[91]Source!DN2795</f>
        <v>98</v>
      </c>
      <c r="G360" s="349"/>
      <c r="H360" s="350"/>
      <c r="I360" s="329"/>
      <c r="J360" s="351">
        <f>SUM(Q354:Q359)</f>
        <v>520.35</v>
      </c>
      <c r="K360" s="329">
        <f>[91]Source!BZ2795</f>
        <v>79</v>
      </c>
      <c r="L360" s="351">
        <f>SUM(R354:R359)</f>
        <v>10163.67</v>
      </c>
    </row>
    <row r="361" spans="1:27" ht="14.25" x14ac:dyDescent="0.2">
      <c r="A361" s="346"/>
      <c r="B361" s="346"/>
      <c r="C361" s="347"/>
      <c r="D361" s="347" t="s">
        <v>58</v>
      </c>
      <c r="E361" s="348" t="s">
        <v>57</v>
      </c>
      <c r="F361" s="329">
        <f>[91]Source!DO2795</f>
        <v>73</v>
      </c>
      <c r="G361" s="349"/>
      <c r="H361" s="350"/>
      <c r="I361" s="329"/>
      <c r="J361" s="351">
        <f>SUM(S354:S360)</f>
        <v>387.61</v>
      </c>
      <c r="K361" s="329">
        <f>[91]Source!CA2795</f>
        <v>41</v>
      </c>
      <c r="L361" s="351">
        <f>SUM(T354:T360)</f>
        <v>5274.81</v>
      </c>
    </row>
    <row r="362" spans="1:27" ht="14.25" x14ac:dyDescent="0.2">
      <c r="A362" s="346"/>
      <c r="B362" s="346"/>
      <c r="C362" s="347"/>
      <c r="D362" s="347" t="s">
        <v>59</v>
      </c>
      <c r="E362" s="348" t="s">
        <v>57</v>
      </c>
      <c r="F362" s="329">
        <f>175</f>
        <v>175</v>
      </c>
      <c r="G362" s="349"/>
      <c r="H362" s="350"/>
      <c r="I362" s="329"/>
      <c r="J362" s="351">
        <f>SUM(U354:U361)-J368</f>
        <v>8.75</v>
      </c>
      <c r="K362" s="329">
        <f>157</f>
        <v>157</v>
      </c>
      <c r="L362" s="351">
        <f>SUM(V354:V361)-L368</f>
        <v>190.14</v>
      </c>
    </row>
    <row r="363" spans="1:27" ht="14.25" x14ac:dyDescent="0.2">
      <c r="A363" s="346"/>
      <c r="B363" s="346"/>
      <c r="C363" s="347"/>
      <c r="D363" s="347" t="s">
        <v>60</v>
      </c>
      <c r="E363" s="348" t="s">
        <v>61</v>
      </c>
      <c r="F363" s="329">
        <f>[91]Source!AQ2795</f>
        <v>0.44</v>
      </c>
      <c r="G363" s="349"/>
      <c r="H363" s="350">
        <f>[91]Source!DI2795</f>
        <v>0</v>
      </c>
      <c r="I363" s="329">
        <f>[91]Source!AV2795</f>
        <v>1.0469999999999999</v>
      </c>
      <c r="J363" s="351">
        <f>[91]Source!U2795</f>
        <v>24.46</v>
      </c>
      <c r="K363" s="329"/>
      <c r="L363" s="351"/>
    </row>
    <row r="364" spans="1:27" ht="15" x14ac:dyDescent="0.25">
      <c r="I364" s="641">
        <f>J356+J357+J359+J360+J361+J362</f>
        <v>1479.74</v>
      </c>
      <c r="J364" s="641"/>
      <c r="K364" s="641">
        <f>L356+L357+L359+L360+L361+L362</f>
        <v>28765.95</v>
      </c>
      <c r="L364" s="641"/>
      <c r="O364" s="353">
        <f>J356+J357+J359+J360+J361+J362</f>
        <v>1479.74</v>
      </c>
      <c r="P364" s="353">
        <f>L356+L357+L359+L360+L361+L362</f>
        <v>28765.95</v>
      </c>
      <c r="X364" s="326">
        <f>IF([91]Source!BI2795&lt;=1,J356+J357+J359+J360+J361+J362-0, 0)</f>
        <v>1479.74</v>
      </c>
      <c r="Y364" s="326">
        <f>IF([91]Source!BI2795=2,J356+J357+J359+J360+J361+J362-0, 0)</f>
        <v>0</v>
      </c>
      <c r="Z364" s="326">
        <f>IF([91]Source!BI2795=3,J356+J357+J359+J360+J361+J362-0, 0)</f>
        <v>0</v>
      </c>
      <c r="AA364" s="326">
        <f>IF([91]Source!BI2795=4,J356+J357+J359+J360+J361+J362,0)</f>
        <v>0</v>
      </c>
    </row>
    <row r="365" spans="1:27" ht="28.5" x14ac:dyDescent="0.2">
      <c r="A365" s="354"/>
      <c r="B365" s="354"/>
      <c r="C365" s="355"/>
      <c r="D365" s="355" t="s">
        <v>62</v>
      </c>
      <c r="E365" s="348"/>
      <c r="F365" s="356"/>
      <c r="G365" s="357"/>
      <c r="H365" s="348"/>
      <c r="I365" s="356"/>
      <c r="J365" s="352"/>
      <c r="K365" s="356"/>
      <c r="L365" s="352"/>
    </row>
    <row r="366" spans="1:27" ht="14.25" x14ac:dyDescent="0.2">
      <c r="A366" s="354"/>
      <c r="B366" s="354"/>
      <c r="C366" s="355"/>
      <c r="D366" s="355" t="s">
        <v>53</v>
      </c>
      <c r="E366" s="348"/>
      <c r="F366" s="356"/>
      <c r="G366" s="357">
        <f t="shared" ref="G366:L366" si="13">G367</f>
        <v>0.09</v>
      </c>
      <c r="H366" s="358" t="str">
        <f t="shared" si="13"/>
        <v>)*(1.67-1)</v>
      </c>
      <c r="I366" s="356">
        <f t="shared" si="13"/>
        <v>1.0469999999999999</v>
      </c>
      <c r="J366" s="352">
        <f t="shared" si="13"/>
        <v>3.35</v>
      </c>
      <c r="K366" s="356">
        <f t="shared" si="13"/>
        <v>24.23</v>
      </c>
      <c r="L366" s="352">
        <f t="shared" si="13"/>
        <v>81.209999999999994</v>
      </c>
    </row>
    <row r="367" spans="1:27" ht="14.25" x14ac:dyDescent="0.2">
      <c r="A367" s="354"/>
      <c r="B367" s="354"/>
      <c r="C367" s="355"/>
      <c r="D367" s="355" t="s">
        <v>54</v>
      </c>
      <c r="E367" s="348"/>
      <c r="F367" s="356"/>
      <c r="G367" s="357">
        <f>[91]Source!AN2795</f>
        <v>0.09</v>
      </c>
      <c r="H367" s="358" t="s">
        <v>63</v>
      </c>
      <c r="I367" s="356">
        <f>[91]Source!AV2795</f>
        <v>1.0469999999999999</v>
      </c>
      <c r="J367" s="352">
        <f>ROUND(F354*G367*I367*(1.67-1), 2)</f>
        <v>3.35</v>
      </c>
      <c r="K367" s="356">
        <f>IF([91]Source!BS2795&lt;&gt; 0, [91]Source!BS2795, 1)</f>
        <v>24.23</v>
      </c>
      <c r="L367" s="352">
        <f>ROUND(F354*G367*I367*(1.67-1)*K367, 2)</f>
        <v>81.209999999999994</v>
      </c>
      <c r="W367" s="326">
        <f>J367</f>
        <v>3.35</v>
      </c>
    </row>
    <row r="368" spans="1:27" ht="14.25" x14ac:dyDescent="0.2">
      <c r="A368" s="354"/>
      <c r="B368" s="354"/>
      <c r="C368" s="355"/>
      <c r="D368" s="355" t="s">
        <v>59</v>
      </c>
      <c r="E368" s="348" t="s">
        <v>57</v>
      </c>
      <c r="F368" s="356">
        <f>175</f>
        <v>175</v>
      </c>
      <c r="G368" s="357"/>
      <c r="H368" s="348"/>
      <c r="I368" s="356"/>
      <c r="J368" s="352">
        <f>ROUND(J367*(F368/100), 2)</f>
        <v>5.86</v>
      </c>
      <c r="K368" s="356">
        <f>157</f>
        <v>157</v>
      </c>
      <c r="L368" s="352">
        <f>ROUND(L367*(K368/100), 2)</f>
        <v>127.5</v>
      </c>
    </row>
    <row r="369" spans="1:38" ht="15" x14ac:dyDescent="0.25">
      <c r="I369" s="641">
        <f>J368+J367</f>
        <v>9.2100000000000009</v>
      </c>
      <c r="J369" s="641"/>
      <c r="K369" s="641">
        <f>L368+L367</f>
        <v>208.71</v>
      </c>
      <c r="L369" s="641"/>
      <c r="O369" s="353">
        <f>I369</f>
        <v>9.2100000000000009</v>
      </c>
      <c r="P369" s="353">
        <f>K369</f>
        <v>208.71</v>
      </c>
      <c r="X369" s="326">
        <f>IF([91]Source!BI2795&lt;=1,I369, 0)</f>
        <v>9.2100000000000009</v>
      </c>
      <c r="Y369" s="326">
        <f>IF([91]Source!BI2795=2,I369, 0)</f>
        <v>0</v>
      </c>
      <c r="Z369" s="326">
        <f>IF([91]Source!BI2795=3,I369, 0)</f>
        <v>0</v>
      </c>
      <c r="AA369" s="326">
        <f>IF([91]Source!BI2795=4,I369, 0)</f>
        <v>0</v>
      </c>
    </row>
    <row r="371" spans="1:38" ht="15" x14ac:dyDescent="0.25">
      <c r="A371" s="359"/>
      <c r="B371" s="359"/>
      <c r="C371" s="360"/>
      <c r="D371" s="360" t="s">
        <v>64</v>
      </c>
      <c r="E371" s="361"/>
      <c r="F371" s="362"/>
      <c r="G371" s="363"/>
      <c r="H371" s="364"/>
      <c r="I371" s="641">
        <f>I364+I369</f>
        <v>1488.95</v>
      </c>
      <c r="J371" s="641"/>
      <c r="K371" s="641">
        <f>K364+K369</f>
        <v>28974.66</v>
      </c>
      <c r="L371" s="641"/>
    </row>
    <row r="372" spans="1:38" ht="139.5" x14ac:dyDescent="0.2">
      <c r="A372" s="346">
        <v>49</v>
      </c>
      <c r="B372" s="346" t="str">
        <f>[91]Source!E2797</f>
        <v>476</v>
      </c>
      <c r="C372" s="347" t="str">
        <f>[91]Source!F2797</f>
        <v>МКЭ-33-90/7-1 от 03.02.2017г.</v>
      </c>
      <c r="D372" s="347" t="s">
        <v>374</v>
      </c>
      <c r="E372" s="348" t="str">
        <f>[91]Source!H2797</f>
        <v>м2</v>
      </c>
      <c r="F372" s="329">
        <f>[91]Source!I2797</f>
        <v>53.09</v>
      </c>
      <c r="G372" s="412">
        <f>J372/F372</f>
        <v>33.81</v>
      </c>
      <c r="H372" s="410">
        <v>1.02</v>
      </c>
      <c r="I372" s="411">
        <v>1</v>
      </c>
      <c r="J372" s="412">
        <f>L372/K372</f>
        <v>1795.16</v>
      </c>
      <c r="K372" s="411">
        <v>5.58</v>
      </c>
      <c r="L372" s="412">
        <f>184.98*H372*F372</f>
        <v>10017</v>
      </c>
      <c r="Q372" s="326">
        <f>ROUND(([91]Source!DN2797/100)*ROUND((ROUND(([91]Source!AF2797*[91]Source!AV2797*[91]Source!I2797),2)),2), 2)</f>
        <v>0</v>
      </c>
      <c r="R372" s="326">
        <f>[91]Source!X2797</f>
        <v>0</v>
      </c>
      <c r="S372" s="326">
        <f>ROUND(([91]Source!DO2797/100)*ROUND((ROUND(([91]Source!AF2797*[91]Source!AV2797*[91]Source!I2797),2)),2), 2)</f>
        <v>0</v>
      </c>
      <c r="T372" s="326">
        <f>[91]Source!Y2797</f>
        <v>0</v>
      </c>
      <c r="U372" s="326">
        <f>ROUND((175/100)*ROUND((ROUND(([91]Source!AE2797*[91]Source!AV2797*[91]Source!I2797),2)),2), 2)</f>
        <v>0</v>
      </c>
      <c r="V372" s="326">
        <f>ROUND((157/100)*ROUND(ROUND((ROUND(([91]Source!AE2797*[91]Source!AV2797*[91]Source!I2797),2)*[91]Source!BS2797),2), 2), 2)</f>
        <v>0</v>
      </c>
    </row>
    <row r="373" spans="1:38" x14ac:dyDescent="0.2">
      <c r="D373" s="402" t="str">
        <f>"Объем: "&amp;[91]Source!I2797&amp;"=3,98+"&amp;"4,04+"&amp;"34,42+"&amp;"10,65"</f>
        <v>Объем: 53,09=3,98+4,04+34,42+10,65</v>
      </c>
    </row>
    <row r="374" spans="1:38" ht="15" x14ac:dyDescent="0.25">
      <c r="A374" s="365"/>
      <c r="B374" s="365"/>
      <c r="C374" s="365"/>
      <c r="D374" s="365"/>
      <c r="E374" s="365"/>
      <c r="F374" s="365"/>
      <c r="G374" s="365"/>
      <c r="H374" s="365"/>
      <c r="I374" s="641">
        <f>J372</f>
        <v>1795.16</v>
      </c>
      <c r="J374" s="641"/>
      <c r="K374" s="641">
        <f>L372</f>
        <v>10017</v>
      </c>
      <c r="L374" s="641"/>
      <c r="O374" s="353">
        <f>J372</f>
        <v>1795.16</v>
      </c>
      <c r="P374" s="353">
        <f>L372</f>
        <v>10017</v>
      </c>
      <c r="X374" s="326">
        <f>IF([91]Source!BI2797&lt;=1,J372-0, 0)</f>
        <v>1795.16</v>
      </c>
      <c r="Y374" s="326">
        <f>IF([91]Source!BI2797=2,J372-0, 0)</f>
        <v>0</v>
      </c>
      <c r="Z374" s="326">
        <f>IF([91]Source!BI2797=3,J372-0, 0)</f>
        <v>0</v>
      </c>
      <c r="AA374" s="326">
        <f>IF([91]Source!BI2797=4,J372,0)</f>
        <v>0</v>
      </c>
    </row>
    <row r="376" spans="1:38" ht="15" x14ac:dyDescent="0.25">
      <c r="A376" s="637" t="str">
        <f>CONCATENATE("Итого по подразделу: ",IF([91]Source!G2847&lt;&gt;"Новый подраздел", [91]Source!G2847, ""))</f>
        <v>Итого по подразделу: Дополнительные материалы и оборудование</v>
      </c>
      <c r="B376" s="637"/>
      <c r="C376" s="637"/>
      <c r="D376" s="637"/>
      <c r="E376" s="637"/>
      <c r="F376" s="637"/>
      <c r="G376" s="637"/>
      <c r="H376" s="637"/>
      <c r="I376" s="638">
        <f>SUM(O56:O375)</f>
        <v>230597.44</v>
      </c>
      <c r="J376" s="639"/>
      <c r="K376" s="638">
        <f>SUM(P56:P375)</f>
        <v>1589636.16</v>
      </c>
      <c r="L376" s="639"/>
    </row>
    <row r="377" spans="1:38" hidden="1" x14ac:dyDescent="0.2">
      <c r="A377" s="326" t="s">
        <v>67</v>
      </c>
      <c r="J377" s="326">
        <f>SUM(AC56:AC376)</f>
        <v>0</v>
      </c>
      <c r="K377" s="326">
        <f>SUM(AD56:AD376)</f>
        <v>0</v>
      </c>
    </row>
    <row r="378" spans="1:38" hidden="1" x14ac:dyDescent="0.2">
      <c r="A378" s="326" t="s">
        <v>68</v>
      </c>
      <c r="J378" s="326">
        <f>SUM(AE56:AE377)</f>
        <v>0</v>
      </c>
      <c r="K378" s="326">
        <f>SUM(AF56:AF377)</f>
        <v>0</v>
      </c>
    </row>
    <row r="380" spans="1:38" ht="15" x14ac:dyDescent="0.25">
      <c r="A380" s="637" t="str">
        <f>CONCATENATE("Итого по разделу: ",IF([91]Source!G2876&lt;&gt;"Новый раздел", [91]Source!G2876, ""))</f>
        <v>Итого по разделу: Вентиляция</v>
      </c>
      <c r="B380" s="637"/>
      <c r="C380" s="637"/>
      <c r="D380" s="637"/>
      <c r="E380" s="637"/>
      <c r="F380" s="637"/>
      <c r="G380" s="637"/>
      <c r="H380" s="637"/>
      <c r="I380" s="638">
        <f>SUM(O54:O379)</f>
        <v>230597.44</v>
      </c>
      <c r="J380" s="639"/>
      <c r="K380" s="638">
        <f>SUM(P54:P379)</f>
        <v>1589636.16</v>
      </c>
      <c r="L380" s="639"/>
    </row>
    <row r="381" spans="1:38" hidden="1" x14ac:dyDescent="0.2">
      <c r="A381" s="326" t="s">
        <v>67</v>
      </c>
      <c r="J381" s="326">
        <f>SUM(AC54:AC380)</f>
        <v>0</v>
      </c>
      <c r="K381" s="326">
        <f>SUM(AD54:AD380)</f>
        <v>0</v>
      </c>
    </row>
    <row r="382" spans="1:38" hidden="1" x14ac:dyDescent="0.2">
      <c r="A382" s="326" t="s">
        <v>68</v>
      </c>
      <c r="J382" s="326">
        <f>SUM(AE54:AE381)</f>
        <v>0</v>
      </c>
      <c r="K382" s="326">
        <f>SUM(AF54:AF381)</f>
        <v>0</v>
      </c>
    </row>
    <row r="384" spans="1:38" ht="45" x14ac:dyDescent="0.25">
      <c r="A384" s="637" t="str">
        <f>CONCATENATE("Итого по локальной смете: ",IF([91]Source!G2905&lt;&gt;"Новая локальная смета", [91]Source!G2905, ""))</f>
        <v>Итого по локальной смете: 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</v>
      </c>
      <c r="B384" s="637"/>
      <c r="C384" s="637"/>
      <c r="D384" s="637"/>
      <c r="E384" s="637"/>
      <c r="F384" s="637"/>
      <c r="G384" s="637"/>
      <c r="H384" s="637"/>
      <c r="I384" s="638">
        <f>SUM(O45:O383)</f>
        <v>230597.44</v>
      </c>
      <c r="J384" s="639"/>
      <c r="K384" s="638">
        <f>SUM(P45:P383)</f>
        <v>1589636.16</v>
      </c>
      <c r="L384" s="639"/>
      <c r="AL384" s="366" t="str">
        <f>CONCATENATE("Итого по локальной смете: ",IF([91]Source!G2905&lt;&gt;"Новая локальная смета", [91]Source!G2905, ""))</f>
        <v>Итого по локальной смете: 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</v>
      </c>
    </row>
    <row r="385" spans="1:256" hidden="1" x14ac:dyDescent="0.2">
      <c r="A385" s="326" t="s">
        <v>67</v>
      </c>
      <c r="J385" s="326">
        <f>SUM(AC45:AC384)</f>
        <v>0</v>
      </c>
      <c r="K385" s="326">
        <f>SUM(AD45:AD384)</f>
        <v>0</v>
      </c>
    </row>
    <row r="386" spans="1:256" hidden="1" x14ac:dyDescent="0.2">
      <c r="A386" s="326" t="s">
        <v>68</v>
      </c>
      <c r="J386" s="326">
        <f>SUM(AE45:AE385)</f>
        <v>0</v>
      </c>
      <c r="K386" s="326">
        <f>SUM(AF45:AF385)</f>
        <v>0</v>
      </c>
    </row>
    <row r="387" spans="1:256" ht="14.25" x14ac:dyDescent="0.2">
      <c r="D387" s="367" t="str">
        <f>[91]Source!H2911</f>
        <v>Стоимость материалов (всего)</v>
      </c>
      <c r="E387" s="367"/>
      <c r="F387" s="367"/>
      <c r="G387" s="367"/>
      <c r="H387" s="367"/>
      <c r="I387" s="640">
        <f>SUMIF(D45:D373,"МР",J45:J373)+J372+J341+J332+J329+J298+J289+J286+J255+J236+J217+J209+J207+J188+J186+J173+J172+J171+J170+J162+J160+J158+J155+J153+J151+J148+J146+J144+J142+J139+J136+J134+J114+J95+J93+J74</f>
        <v>204866.01</v>
      </c>
      <c r="J387" s="636"/>
      <c r="K387" s="670">
        <f>IF([91]Source!P2911=0, "", [91]Source!P2911)</f>
        <v>1108519.47</v>
      </c>
      <c r="L387" s="670"/>
    </row>
    <row r="388" spans="1:256" ht="14.25" x14ac:dyDescent="0.2">
      <c r="D388" s="367" t="str">
        <f>[91]Source!H2919</f>
        <v>ЗП машинистов</v>
      </c>
      <c r="E388" s="367"/>
      <c r="F388" s="367"/>
      <c r="G388" s="367"/>
      <c r="H388" s="367"/>
      <c r="I388" s="636">
        <f>SUMIF(D45:D374,"в т.ч. ЗПМ",J45:J374)</f>
        <v>68.430000000000007</v>
      </c>
      <c r="J388" s="636"/>
      <c r="K388" s="670">
        <f>IF([91]Source!P2919=0, "", [91]Source!P2919)</f>
        <v>1658.07</v>
      </c>
      <c r="L388" s="670"/>
    </row>
    <row r="389" spans="1:256" ht="14.25" x14ac:dyDescent="0.2">
      <c r="D389" s="367" t="str">
        <f>[91]Source!H2920</f>
        <v>Основная ЗП рабочих</v>
      </c>
      <c r="E389" s="367"/>
      <c r="F389" s="367"/>
      <c r="G389" s="367"/>
      <c r="H389" s="367"/>
      <c r="I389" s="636">
        <f>SUMIF(D45:D375,"ЗП",J45:J375)</f>
        <v>8145.68</v>
      </c>
      <c r="J389" s="636"/>
      <c r="K389" s="670">
        <f>IF([91]Source!P2920=0, "", [91]Source!P2920)</f>
        <v>197369.84</v>
      </c>
      <c r="L389" s="670"/>
    </row>
    <row r="390" spans="1:256" ht="14.25" x14ac:dyDescent="0.2">
      <c r="D390" s="367" t="str">
        <f>[91]Source!H2930</f>
        <v>Накладные расходы</v>
      </c>
      <c r="E390" s="367"/>
      <c r="F390" s="367"/>
      <c r="G390" s="367"/>
      <c r="H390" s="367"/>
      <c r="I390" s="636">
        <f>SUMIF(D171:D376,"НР от ЗП",J171:J376)</f>
        <v>5249.33</v>
      </c>
      <c r="J390" s="636"/>
      <c r="K390" s="670">
        <f>IF([91]Source!P2930=0, "", [91]Source!P2930)</f>
        <v>190337.65</v>
      </c>
      <c r="L390" s="670"/>
    </row>
    <row r="391" spans="1:256" ht="14.25" x14ac:dyDescent="0.2">
      <c r="D391" s="367" t="str">
        <f>[91]Source!H2931</f>
        <v>Сметная прибыль</v>
      </c>
      <c r="E391" s="367"/>
      <c r="F391" s="367"/>
      <c r="G391" s="367"/>
      <c r="H391" s="367"/>
      <c r="I391" s="636">
        <f>SUMIF(D45:D377,"СП от ЗП",J45:J377)</f>
        <v>7411.39</v>
      </c>
      <c r="J391" s="636"/>
      <c r="K391" s="670">
        <f>IF([91]Source!P2931=0, "", [91]Source!P2931)</f>
        <v>88031.15</v>
      </c>
      <c r="L391" s="670"/>
    </row>
    <row r="393" spans="1:256" hidden="1" x14ac:dyDescent="0.2">
      <c r="A393" s="371"/>
      <c r="B393" s="371"/>
      <c r="C393" s="371"/>
      <c r="D393" s="715" t="s">
        <v>191</v>
      </c>
      <c r="E393" s="715"/>
      <c r="F393" s="715"/>
      <c r="G393" s="715"/>
      <c r="H393" s="715"/>
      <c r="I393" s="403"/>
      <c r="J393" s="404">
        <v>0</v>
      </c>
      <c r="K393" s="404"/>
      <c r="L393" s="404">
        <v>0</v>
      </c>
      <c r="M393" s="370"/>
      <c r="N393" s="371"/>
      <c r="O393" s="371"/>
      <c r="P393" s="371"/>
      <c r="Q393" s="371"/>
      <c r="R393" s="371"/>
      <c r="S393" s="371"/>
      <c r="T393" s="371"/>
      <c r="U393" s="371"/>
      <c r="V393" s="371"/>
      <c r="W393" s="371"/>
      <c r="X393" s="371"/>
      <c r="Y393" s="371"/>
      <c r="Z393" s="371"/>
      <c r="AA393" s="371"/>
      <c r="AB393" s="371"/>
      <c r="AC393" s="371"/>
      <c r="AD393" s="371"/>
      <c r="AE393" s="371"/>
      <c r="AF393" s="371"/>
      <c r="AG393" s="371"/>
      <c r="AH393" s="371"/>
      <c r="AI393" s="371"/>
      <c r="AJ393" s="371"/>
      <c r="AK393" s="371"/>
      <c r="AL393" s="371"/>
      <c r="AM393" s="371"/>
      <c r="AN393" s="371"/>
      <c r="AO393" s="371"/>
      <c r="AP393" s="371"/>
      <c r="AQ393" s="371"/>
      <c r="AR393" s="371"/>
      <c r="AS393" s="371"/>
      <c r="AT393" s="371"/>
      <c r="AU393" s="371"/>
      <c r="AV393" s="371"/>
      <c r="AW393" s="371"/>
      <c r="AX393" s="371"/>
      <c r="AY393" s="371"/>
      <c r="AZ393" s="371"/>
      <c r="BA393" s="371"/>
      <c r="BB393" s="371"/>
      <c r="BC393" s="371"/>
      <c r="BD393" s="371"/>
      <c r="BE393" s="371"/>
      <c r="BF393" s="371"/>
      <c r="BG393" s="371"/>
      <c r="BH393" s="371"/>
      <c r="BI393" s="371"/>
      <c r="BJ393" s="371"/>
      <c r="BK393" s="371"/>
      <c r="BL393" s="371"/>
      <c r="BM393" s="371"/>
      <c r="BN393" s="371"/>
      <c r="BO393" s="371"/>
      <c r="BP393" s="371"/>
      <c r="BQ393" s="371"/>
      <c r="BR393" s="371"/>
      <c r="BS393" s="371"/>
      <c r="BT393" s="371"/>
      <c r="BU393" s="371"/>
      <c r="BV393" s="371"/>
      <c r="BW393" s="371"/>
      <c r="BX393" s="371"/>
      <c r="BY393" s="371"/>
      <c r="BZ393" s="371"/>
      <c r="CA393" s="371"/>
      <c r="CB393" s="371"/>
      <c r="CC393" s="371"/>
      <c r="CD393" s="371"/>
      <c r="CE393" s="371"/>
      <c r="CF393" s="371"/>
      <c r="CG393" s="371"/>
      <c r="CH393" s="371"/>
      <c r="CI393" s="371"/>
      <c r="CJ393" s="371"/>
      <c r="CK393" s="371"/>
      <c r="CL393" s="371"/>
      <c r="CM393" s="371"/>
      <c r="CN393" s="371"/>
      <c r="CO393" s="371"/>
      <c r="CP393" s="371"/>
      <c r="CQ393" s="371"/>
      <c r="CR393" s="371"/>
      <c r="CS393" s="371"/>
      <c r="CT393" s="371"/>
      <c r="CU393" s="371"/>
      <c r="CV393" s="371"/>
      <c r="CW393" s="371"/>
      <c r="CX393" s="371"/>
      <c r="CY393" s="371"/>
      <c r="CZ393" s="371"/>
      <c r="DA393" s="371"/>
      <c r="DB393" s="371"/>
      <c r="DC393" s="371"/>
      <c r="DD393" s="371"/>
      <c r="DE393" s="371"/>
      <c r="DF393" s="371"/>
      <c r="DG393" s="371"/>
      <c r="DH393" s="371"/>
      <c r="DI393" s="371"/>
      <c r="DJ393" s="371"/>
      <c r="DK393" s="371"/>
      <c r="DL393" s="371"/>
      <c r="DM393" s="371"/>
      <c r="DN393" s="371"/>
      <c r="DO393" s="371"/>
      <c r="DP393" s="371"/>
      <c r="DQ393" s="371"/>
      <c r="DR393" s="371"/>
      <c r="DS393" s="371"/>
      <c r="DT393" s="371"/>
      <c r="DU393" s="371"/>
      <c r="DV393" s="371"/>
      <c r="DW393" s="371"/>
      <c r="DX393" s="371"/>
      <c r="DY393" s="371"/>
      <c r="DZ393" s="371"/>
      <c r="EA393" s="371"/>
      <c r="EB393" s="371"/>
      <c r="EC393" s="371"/>
      <c r="ED393" s="371"/>
      <c r="EE393" s="371"/>
      <c r="EF393" s="371"/>
      <c r="EG393" s="371"/>
      <c r="EH393" s="371"/>
      <c r="EI393" s="371"/>
      <c r="EJ393" s="371"/>
      <c r="EK393" s="371"/>
      <c r="EL393" s="371"/>
      <c r="EM393" s="371"/>
      <c r="EN393" s="371"/>
      <c r="EO393" s="371"/>
      <c r="EP393" s="371"/>
      <c r="EQ393" s="371"/>
      <c r="ER393" s="371"/>
      <c r="ES393" s="371"/>
      <c r="ET393" s="371"/>
      <c r="EU393" s="371"/>
      <c r="EV393" s="371"/>
      <c r="EW393" s="371"/>
      <c r="EX393" s="371"/>
      <c r="EY393" s="371"/>
      <c r="EZ393" s="371"/>
      <c r="FA393" s="371"/>
      <c r="FB393" s="371"/>
      <c r="FC393" s="371"/>
      <c r="FD393" s="371"/>
      <c r="FE393" s="371"/>
      <c r="FF393" s="371"/>
      <c r="FG393" s="371"/>
      <c r="FH393" s="371"/>
      <c r="FI393" s="371"/>
      <c r="FJ393" s="371"/>
      <c r="FK393" s="371"/>
      <c r="FL393" s="371"/>
      <c r="FM393" s="371"/>
      <c r="FN393" s="371"/>
      <c r="FO393" s="371"/>
      <c r="FP393" s="371"/>
      <c r="FQ393" s="371"/>
      <c r="FR393" s="371"/>
      <c r="FS393" s="371"/>
      <c r="FT393" s="371"/>
      <c r="FU393" s="371"/>
      <c r="FV393" s="371"/>
      <c r="FW393" s="371"/>
      <c r="FX393" s="371"/>
      <c r="FY393" s="371"/>
      <c r="FZ393" s="371"/>
      <c r="GA393" s="371"/>
      <c r="GB393" s="371"/>
      <c r="GC393" s="371"/>
      <c r="GD393" s="371"/>
      <c r="GE393" s="371"/>
      <c r="GF393" s="371"/>
      <c r="GG393" s="371"/>
      <c r="GH393" s="371"/>
      <c r="GI393" s="371"/>
      <c r="GJ393" s="371"/>
      <c r="GK393" s="371"/>
      <c r="GL393" s="371"/>
      <c r="GM393" s="371"/>
      <c r="GN393" s="371"/>
      <c r="GO393" s="371"/>
      <c r="GP393" s="371"/>
      <c r="GQ393" s="371"/>
      <c r="GR393" s="371"/>
      <c r="GS393" s="371"/>
      <c r="GT393" s="371"/>
      <c r="GU393" s="371"/>
      <c r="GV393" s="371"/>
      <c r="GW393" s="371"/>
      <c r="GX393" s="371"/>
      <c r="GY393" s="371"/>
      <c r="GZ393" s="371"/>
      <c r="HA393" s="371"/>
      <c r="HB393" s="371"/>
      <c r="HC393" s="371"/>
      <c r="HD393" s="371"/>
      <c r="HE393" s="371"/>
      <c r="HF393" s="371"/>
      <c r="HG393" s="371"/>
      <c r="HH393" s="371"/>
      <c r="HI393" s="371"/>
      <c r="HJ393" s="371"/>
      <c r="HK393" s="371"/>
      <c r="HL393" s="371"/>
      <c r="HM393" s="371"/>
      <c r="HN393" s="371"/>
      <c r="HO393" s="371"/>
      <c r="HP393" s="371"/>
      <c r="HQ393" s="371"/>
      <c r="HR393" s="371"/>
      <c r="HS393" s="371"/>
      <c r="HT393" s="371"/>
      <c r="HU393" s="371"/>
      <c r="HV393" s="371"/>
      <c r="HW393" s="371"/>
      <c r="HX393" s="371"/>
      <c r="HY393" s="371"/>
      <c r="HZ393" s="371"/>
      <c r="IA393" s="371"/>
      <c r="IB393" s="371"/>
      <c r="IC393" s="371"/>
      <c r="ID393" s="371"/>
      <c r="IE393" s="371"/>
      <c r="IF393" s="371"/>
      <c r="IG393" s="371"/>
      <c r="IH393" s="371"/>
      <c r="II393" s="371"/>
      <c r="IJ393" s="371"/>
      <c r="IK393" s="371"/>
      <c r="IL393" s="371"/>
      <c r="IM393" s="371"/>
      <c r="IN393" s="371"/>
      <c r="IO393" s="371"/>
      <c r="IP393" s="371"/>
      <c r="IQ393" s="371"/>
      <c r="IR393" s="371"/>
      <c r="IS393" s="371"/>
      <c r="IT393" s="371"/>
      <c r="IU393" s="371"/>
      <c r="IV393" s="371"/>
    </row>
    <row r="394" spans="1:256" hidden="1" x14ac:dyDescent="0.2">
      <c r="A394" s="405"/>
      <c r="B394" s="405"/>
      <c r="C394" s="405"/>
      <c r="D394" s="715" t="s">
        <v>192</v>
      </c>
      <c r="E394" s="715"/>
      <c r="F394" s="715"/>
      <c r="G394" s="715"/>
      <c r="H394" s="715"/>
      <c r="I394" s="403"/>
      <c r="J394" s="404">
        <v>0</v>
      </c>
      <c r="K394" s="406"/>
      <c r="L394" s="404">
        <v>0</v>
      </c>
      <c r="M394" s="370"/>
      <c r="N394" s="373"/>
      <c r="O394" s="373"/>
      <c r="P394" s="373"/>
      <c r="Q394" s="373"/>
      <c r="R394" s="373"/>
      <c r="S394" s="373"/>
      <c r="T394" s="373"/>
      <c r="U394" s="373"/>
      <c r="V394" s="373"/>
      <c r="W394" s="373"/>
      <c r="X394" s="373"/>
      <c r="Y394" s="373"/>
      <c r="Z394" s="373"/>
      <c r="AA394" s="373"/>
      <c r="AB394" s="373"/>
      <c r="AC394" s="373"/>
      <c r="AD394" s="373"/>
      <c r="AE394" s="373"/>
      <c r="AF394" s="373"/>
      <c r="AG394" s="373"/>
      <c r="AH394" s="373"/>
      <c r="AI394" s="373"/>
      <c r="AJ394" s="373"/>
      <c r="AK394" s="373"/>
      <c r="AL394" s="373"/>
      <c r="AM394" s="373"/>
      <c r="AN394" s="373"/>
      <c r="AO394" s="373"/>
      <c r="AP394" s="373"/>
      <c r="AQ394" s="373"/>
      <c r="AR394" s="373"/>
      <c r="AS394" s="373"/>
      <c r="AT394" s="373"/>
      <c r="AU394" s="373"/>
      <c r="AV394" s="373"/>
      <c r="AW394" s="373"/>
      <c r="AX394" s="373"/>
      <c r="AY394" s="373"/>
      <c r="AZ394" s="373"/>
      <c r="BA394" s="373"/>
      <c r="BB394" s="373"/>
      <c r="BC394" s="373"/>
      <c r="BD394" s="373"/>
      <c r="BE394" s="373"/>
      <c r="BF394" s="373"/>
      <c r="BG394" s="373"/>
      <c r="BH394" s="373"/>
      <c r="BI394" s="373"/>
      <c r="BJ394" s="373"/>
      <c r="BK394" s="373"/>
      <c r="BL394" s="373"/>
      <c r="BM394" s="373"/>
      <c r="BN394" s="373"/>
      <c r="BO394" s="373"/>
      <c r="BP394" s="373"/>
      <c r="BQ394" s="373"/>
      <c r="BR394" s="373"/>
      <c r="BS394" s="373"/>
      <c r="BT394" s="373"/>
      <c r="BU394" s="373"/>
      <c r="BV394" s="373"/>
      <c r="BW394" s="373"/>
      <c r="BX394" s="373"/>
      <c r="BY394" s="373"/>
      <c r="BZ394" s="373"/>
      <c r="CA394" s="373"/>
      <c r="CB394" s="373"/>
      <c r="CC394" s="373"/>
      <c r="CD394" s="373"/>
      <c r="CE394" s="373"/>
      <c r="CF394" s="373"/>
      <c r="CG394" s="373"/>
      <c r="CH394" s="373"/>
      <c r="CI394" s="373"/>
      <c r="CJ394" s="373"/>
      <c r="CK394" s="373"/>
      <c r="CL394" s="373"/>
      <c r="CM394" s="373"/>
      <c r="CN394" s="373"/>
      <c r="CO394" s="373"/>
      <c r="CP394" s="373"/>
      <c r="CQ394" s="373"/>
      <c r="CR394" s="373"/>
      <c r="CS394" s="373"/>
      <c r="CT394" s="373"/>
      <c r="CU394" s="373"/>
      <c r="CV394" s="373"/>
      <c r="CW394" s="373"/>
      <c r="CX394" s="373"/>
      <c r="CY394" s="373"/>
      <c r="CZ394" s="373"/>
      <c r="DA394" s="373"/>
      <c r="DB394" s="373"/>
      <c r="DC394" s="373"/>
      <c r="DD394" s="373"/>
      <c r="DE394" s="373"/>
      <c r="DF394" s="373"/>
      <c r="DG394" s="373"/>
      <c r="DH394" s="373"/>
      <c r="DI394" s="373"/>
      <c r="DJ394" s="373"/>
      <c r="DK394" s="373"/>
      <c r="DL394" s="373"/>
      <c r="DM394" s="373"/>
      <c r="DN394" s="373"/>
      <c r="DO394" s="373"/>
      <c r="DP394" s="373"/>
      <c r="DQ394" s="373"/>
      <c r="DR394" s="373"/>
      <c r="DS394" s="373"/>
      <c r="DT394" s="373"/>
      <c r="DU394" s="373"/>
      <c r="DV394" s="373"/>
      <c r="DW394" s="373"/>
      <c r="DX394" s="373"/>
      <c r="DY394" s="373"/>
      <c r="DZ394" s="373"/>
      <c r="EA394" s="373"/>
      <c r="EB394" s="373"/>
      <c r="EC394" s="373"/>
      <c r="ED394" s="373"/>
      <c r="EE394" s="373"/>
      <c r="EF394" s="373"/>
      <c r="EG394" s="373"/>
      <c r="EH394" s="373"/>
      <c r="EI394" s="373"/>
      <c r="EJ394" s="373"/>
      <c r="EK394" s="373"/>
      <c r="EL394" s="373"/>
      <c r="EM394" s="373"/>
      <c r="EN394" s="373"/>
      <c r="EO394" s="373"/>
      <c r="EP394" s="373"/>
      <c r="EQ394" s="373"/>
      <c r="ER394" s="373"/>
      <c r="ES394" s="373"/>
      <c r="ET394" s="373"/>
      <c r="EU394" s="373"/>
      <c r="EV394" s="373"/>
      <c r="EW394" s="373"/>
      <c r="EX394" s="373"/>
      <c r="EY394" s="373"/>
      <c r="EZ394" s="373"/>
      <c r="FA394" s="373"/>
      <c r="FB394" s="373"/>
      <c r="FC394" s="373"/>
      <c r="FD394" s="373"/>
      <c r="FE394" s="373"/>
      <c r="FF394" s="373"/>
      <c r="FG394" s="373"/>
      <c r="FH394" s="373"/>
      <c r="FI394" s="373"/>
      <c r="FJ394" s="373"/>
      <c r="FK394" s="373"/>
      <c r="FL394" s="373"/>
      <c r="FM394" s="373"/>
      <c r="FN394" s="373"/>
      <c r="FO394" s="373"/>
      <c r="FP394" s="373"/>
      <c r="FQ394" s="373"/>
      <c r="FR394" s="373"/>
      <c r="FS394" s="373"/>
      <c r="FT394" s="373"/>
      <c r="FU394" s="373"/>
      <c r="FV394" s="373"/>
      <c r="FW394" s="373"/>
      <c r="FX394" s="373"/>
      <c r="FY394" s="373"/>
      <c r="FZ394" s="373"/>
      <c r="GA394" s="373"/>
      <c r="GB394" s="373"/>
      <c r="GC394" s="373"/>
      <c r="GD394" s="373"/>
      <c r="GE394" s="373"/>
      <c r="GF394" s="373"/>
      <c r="GG394" s="373"/>
      <c r="GH394" s="373"/>
      <c r="GI394" s="373"/>
      <c r="GJ394" s="373"/>
      <c r="GK394" s="373"/>
      <c r="GL394" s="373"/>
      <c r="GM394" s="373"/>
      <c r="GN394" s="373"/>
      <c r="GO394" s="373"/>
      <c r="GP394" s="373"/>
      <c r="GQ394" s="373"/>
      <c r="GR394" s="373"/>
      <c r="GS394" s="373"/>
      <c r="GT394" s="373"/>
      <c r="GU394" s="373"/>
      <c r="GV394" s="373"/>
      <c r="GW394" s="373"/>
      <c r="GX394" s="373"/>
      <c r="GY394" s="373"/>
      <c r="GZ394" s="373"/>
      <c r="HA394" s="373"/>
      <c r="HB394" s="373"/>
      <c r="HC394" s="373"/>
      <c r="HD394" s="373"/>
      <c r="HE394" s="373"/>
      <c r="HF394" s="373"/>
      <c r="HG394" s="373"/>
      <c r="HH394" s="373"/>
      <c r="HI394" s="373"/>
      <c r="HJ394" s="373"/>
      <c r="HK394" s="373"/>
      <c r="HL394" s="373"/>
      <c r="HM394" s="373"/>
      <c r="HN394" s="373"/>
      <c r="HO394" s="373"/>
      <c r="HP394" s="373"/>
      <c r="HQ394" s="373"/>
      <c r="HR394" s="373"/>
      <c r="HS394" s="373"/>
      <c r="HT394" s="373"/>
      <c r="HU394" s="373"/>
      <c r="HV394" s="373"/>
      <c r="HW394" s="373"/>
      <c r="HX394" s="373"/>
      <c r="HY394" s="373"/>
      <c r="HZ394" s="373"/>
      <c r="IA394" s="373"/>
      <c r="IB394" s="373"/>
      <c r="IC394" s="373"/>
      <c r="ID394" s="373"/>
      <c r="IE394" s="373"/>
      <c r="IF394" s="373"/>
      <c r="IG394" s="373"/>
      <c r="IH394" s="373"/>
      <c r="II394" s="373"/>
      <c r="IJ394" s="373"/>
      <c r="IK394" s="373"/>
      <c r="IL394" s="373"/>
      <c r="IM394" s="373"/>
      <c r="IN394" s="373"/>
      <c r="IO394" s="373"/>
      <c r="IP394" s="373"/>
      <c r="IQ394" s="373"/>
      <c r="IR394" s="373"/>
      <c r="IS394" s="373"/>
      <c r="IT394" s="373"/>
      <c r="IU394" s="373"/>
      <c r="IV394" s="373"/>
    </row>
    <row r="395" spans="1:256" hidden="1" x14ac:dyDescent="0.2">
      <c r="A395" s="405"/>
      <c r="B395" s="405"/>
      <c r="C395" s="405"/>
      <c r="D395" s="406" t="s">
        <v>193</v>
      </c>
      <c r="E395" s="406"/>
      <c r="F395" s="406"/>
      <c r="G395" s="406"/>
      <c r="H395" s="406"/>
      <c r="I395" s="406"/>
      <c r="J395" s="404">
        <v>0</v>
      </c>
      <c r="K395" s="406"/>
      <c r="L395" s="404">
        <f>SUM(L393:L394)</f>
        <v>0</v>
      </c>
      <c r="M395" s="370"/>
      <c r="N395" s="373"/>
      <c r="O395" s="373"/>
      <c r="P395" s="373"/>
      <c r="Q395" s="373"/>
      <c r="R395" s="373"/>
      <c r="S395" s="373"/>
      <c r="T395" s="373"/>
      <c r="U395" s="373"/>
      <c r="V395" s="373"/>
      <c r="W395" s="373"/>
      <c r="X395" s="373"/>
      <c r="Y395" s="373"/>
      <c r="Z395" s="373"/>
      <c r="AA395" s="373"/>
      <c r="AB395" s="373"/>
      <c r="AC395" s="373"/>
      <c r="AD395" s="373"/>
      <c r="AE395" s="373"/>
      <c r="AF395" s="373"/>
      <c r="AG395" s="373"/>
      <c r="AH395" s="373"/>
      <c r="AI395" s="373"/>
      <c r="AJ395" s="373"/>
      <c r="AK395" s="373"/>
      <c r="AL395" s="373"/>
      <c r="AM395" s="373"/>
      <c r="AN395" s="373"/>
      <c r="AO395" s="373"/>
      <c r="AP395" s="373"/>
      <c r="AQ395" s="373"/>
      <c r="AR395" s="373"/>
      <c r="AS395" s="373"/>
      <c r="AT395" s="373"/>
      <c r="AU395" s="373"/>
      <c r="AV395" s="373"/>
      <c r="AW395" s="373"/>
      <c r="AX395" s="373"/>
      <c r="AY395" s="373"/>
      <c r="AZ395" s="373"/>
      <c r="BA395" s="373"/>
      <c r="BB395" s="373"/>
      <c r="BC395" s="373"/>
      <c r="BD395" s="373"/>
      <c r="BE395" s="373"/>
      <c r="BF395" s="373"/>
      <c r="BG395" s="373"/>
      <c r="BH395" s="373"/>
      <c r="BI395" s="373"/>
      <c r="BJ395" s="373"/>
      <c r="BK395" s="373"/>
      <c r="BL395" s="373"/>
      <c r="BM395" s="373"/>
      <c r="BN395" s="373"/>
      <c r="BO395" s="373"/>
      <c r="BP395" s="373"/>
      <c r="BQ395" s="373"/>
      <c r="BR395" s="373"/>
      <c r="BS395" s="373"/>
      <c r="BT395" s="373"/>
      <c r="BU395" s="373"/>
      <c r="BV395" s="373"/>
      <c r="BW395" s="373"/>
      <c r="BX395" s="373"/>
      <c r="BY395" s="373"/>
      <c r="BZ395" s="373"/>
      <c r="CA395" s="373"/>
      <c r="CB395" s="373"/>
      <c r="CC395" s="373"/>
      <c r="CD395" s="373"/>
      <c r="CE395" s="373"/>
      <c r="CF395" s="373"/>
      <c r="CG395" s="373"/>
      <c r="CH395" s="373"/>
      <c r="CI395" s="373"/>
      <c r="CJ395" s="373"/>
      <c r="CK395" s="373"/>
      <c r="CL395" s="373"/>
      <c r="CM395" s="373"/>
      <c r="CN395" s="373"/>
      <c r="CO395" s="373"/>
      <c r="CP395" s="373"/>
      <c r="CQ395" s="373"/>
      <c r="CR395" s="373"/>
      <c r="CS395" s="373"/>
      <c r="CT395" s="373"/>
      <c r="CU395" s="373"/>
      <c r="CV395" s="373"/>
      <c r="CW395" s="373"/>
      <c r="CX395" s="373"/>
      <c r="CY395" s="373"/>
      <c r="CZ395" s="373"/>
      <c r="DA395" s="373"/>
      <c r="DB395" s="373"/>
      <c r="DC395" s="373"/>
      <c r="DD395" s="373"/>
      <c r="DE395" s="373"/>
      <c r="DF395" s="373"/>
      <c r="DG395" s="373"/>
      <c r="DH395" s="373"/>
      <c r="DI395" s="373"/>
      <c r="DJ395" s="373"/>
      <c r="DK395" s="373"/>
      <c r="DL395" s="373"/>
      <c r="DM395" s="373"/>
      <c r="DN395" s="373"/>
      <c r="DO395" s="373"/>
      <c r="DP395" s="373"/>
      <c r="DQ395" s="373"/>
      <c r="DR395" s="373"/>
      <c r="DS395" s="373"/>
      <c r="DT395" s="373"/>
      <c r="DU395" s="373"/>
      <c r="DV395" s="373"/>
      <c r="DW395" s="373"/>
      <c r="DX395" s="373"/>
      <c r="DY395" s="373"/>
      <c r="DZ395" s="373"/>
      <c r="EA395" s="373"/>
      <c r="EB395" s="373"/>
      <c r="EC395" s="373"/>
      <c r="ED395" s="373"/>
      <c r="EE395" s="373"/>
      <c r="EF395" s="373"/>
      <c r="EG395" s="373"/>
      <c r="EH395" s="373"/>
      <c r="EI395" s="373"/>
      <c r="EJ395" s="373"/>
      <c r="EK395" s="373"/>
      <c r="EL395" s="373"/>
      <c r="EM395" s="373"/>
      <c r="EN395" s="373"/>
      <c r="EO395" s="373"/>
      <c r="EP395" s="373"/>
      <c r="EQ395" s="373"/>
      <c r="ER395" s="373"/>
      <c r="ES395" s="373"/>
      <c r="ET395" s="373"/>
      <c r="EU395" s="373"/>
      <c r="EV395" s="373"/>
      <c r="EW395" s="373"/>
      <c r="EX395" s="373"/>
      <c r="EY395" s="373"/>
      <c r="EZ395" s="373"/>
      <c r="FA395" s="373"/>
      <c r="FB395" s="373"/>
      <c r="FC395" s="373"/>
      <c r="FD395" s="373"/>
      <c r="FE395" s="373"/>
      <c r="FF395" s="373"/>
      <c r="FG395" s="373"/>
      <c r="FH395" s="373"/>
      <c r="FI395" s="373"/>
      <c r="FJ395" s="373"/>
      <c r="FK395" s="373"/>
      <c r="FL395" s="373"/>
      <c r="FM395" s="373"/>
      <c r="FN395" s="373"/>
      <c r="FO395" s="373"/>
      <c r="FP395" s="373"/>
      <c r="FQ395" s="373"/>
      <c r="FR395" s="373"/>
      <c r="FS395" s="373"/>
      <c r="FT395" s="373"/>
      <c r="FU395" s="373"/>
      <c r="FV395" s="373"/>
      <c r="FW395" s="373"/>
      <c r="FX395" s="373"/>
      <c r="FY395" s="373"/>
      <c r="FZ395" s="373"/>
      <c r="GA395" s="373"/>
      <c r="GB395" s="373"/>
      <c r="GC395" s="373"/>
      <c r="GD395" s="373"/>
      <c r="GE395" s="373"/>
      <c r="GF395" s="373"/>
      <c r="GG395" s="373"/>
      <c r="GH395" s="373"/>
      <c r="GI395" s="373"/>
      <c r="GJ395" s="373"/>
      <c r="GK395" s="373"/>
      <c r="GL395" s="373"/>
      <c r="GM395" s="373"/>
      <c r="GN395" s="373"/>
      <c r="GO395" s="373"/>
      <c r="GP395" s="373"/>
      <c r="GQ395" s="373"/>
      <c r="GR395" s="373"/>
      <c r="GS395" s="373"/>
      <c r="GT395" s="373"/>
      <c r="GU395" s="373"/>
      <c r="GV395" s="373"/>
      <c r="GW395" s="373"/>
      <c r="GX395" s="373"/>
      <c r="GY395" s="373"/>
      <c r="GZ395" s="373"/>
      <c r="HA395" s="373"/>
      <c r="HB395" s="373"/>
      <c r="HC395" s="373"/>
      <c r="HD395" s="373"/>
      <c r="HE395" s="373"/>
      <c r="HF395" s="373"/>
      <c r="HG395" s="373"/>
      <c r="HH395" s="373"/>
      <c r="HI395" s="373"/>
      <c r="HJ395" s="373"/>
      <c r="HK395" s="373"/>
      <c r="HL395" s="373"/>
      <c r="HM395" s="373"/>
      <c r="HN395" s="373"/>
      <c r="HO395" s="373"/>
      <c r="HP395" s="373"/>
      <c r="HQ395" s="373"/>
      <c r="HR395" s="373"/>
      <c r="HS395" s="373"/>
      <c r="HT395" s="373"/>
      <c r="HU395" s="373"/>
      <c r="HV395" s="373"/>
      <c r="HW395" s="373"/>
      <c r="HX395" s="373"/>
      <c r="HY395" s="373"/>
      <c r="HZ395" s="373"/>
      <c r="IA395" s="373"/>
      <c r="IB395" s="373"/>
      <c r="IC395" s="373"/>
      <c r="ID395" s="373"/>
      <c r="IE395" s="373"/>
      <c r="IF395" s="373"/>
      <c r="IG395" s="373"/>
      <c r="IH395" s="373"/>
      <c r="II395" s="373"/>
      <c r="IJ395" s="373"/>
      <c r="IK395" s="373"/>
      <c r="IL395" s="373"/>
      <c r="IM395" s="373"/>
      <c r="IN395" s="373"/>
      <c r="IO395" s="373"/>
      <c r="IP395" s="373"/>
      <c r="IQ395" s="373"/>
      <c r="IR395" s="373"/>
      <c r="IS395" s="373"/>
      <c r="IT395" s="373"/>
      <c r="IU395" s="373"/>
      <c r="IV395" s="373"/>
    </row>
    <row r="396" spans="1:256" x14ac:dyDescent="0.2">
      <c r="A396" s="375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4"/>
      <c r="N396" s="375"/>
      <c r="O396" s="375"/>
      <c r="P396" s="375"/>
      <c r="Q396" s="375"/>
      <c r="R396" s="375"/>
      <c r="S396" s="375"/>
      <c r="T396" s="375"/>
      <c r="U396" s="375"/>
      <c r="V396" s="375"/>
      <c r="W396" s="375"/>
      <c r="X396" s="375"/>
      <c r="Y396" s="375"/>
      <c r="Z396" s="375"/>
      <c r="AA396" s="375"/>
      <c r="AB396" s="375"/>
      <c r="AC396" s="375"/>
      <c r="AD396" s="375"/>
      <c r="AE396" s="375"/>
      <c r="AF396" s="375"/>
      <c r="AG396" s="375"/>
      <c r="AH396" s="375"/>
      <c r="AI396" s="375"/>
      <c r="AJ396" s="375"/>
      <c r="AK396" s="375"/>
      <c r="AL396" s="375"/>
      <c r="AM396" s="375"/>
      <c r="AN396" s="375"/>
      <c r="AO396" s="375"/>
      <c r="AP396" s="375"/>
      <c r="AQ396" s="375"/>
      <c r="AR396" s="375"/>
      <c r="AS396" s="375"/>
      <c r="AT396" s="375"/>
      <c r="AU396" s="375"/>
      <c r="AV396" s="375"/>
      <c r="AW396" s="375"/>
      <c r="AX396" s="375"/>
      <c r="AY396" s="375"/>
      <c r="AZ396" s="375"/>
      <c r="BA396" s="375"/>
      <c r="BB396" s="375"/>
      <c r="BC396" s="375"/>
      <c r="BD396" s="375"/>
      <c r="BE396" s="375"/>
      <c r="BF396" s="375"/>
      <c r="BG396" s="375"/>
      <c r="BH396" s="375"/>
      <c r="BI396" s="375"/>
      <c r="BJ396" s="375"/>
      <c r="BK396" s="375"/>
      <c r="BL396" s="375"/>
      <c r="BM396" s="375"/>
      <c r="BN396" s="375"/>
      <c r="BO396" s="375"/>
      <c r="BP396" s="375"/>
      <c r="BQ396" s="375"/>
      <c r="BR396" s="375"/>
      <c r="BS396" s="375"/>
      <c r="BT396" s="375"/>
      <c r="BU396" s="375"/>
      <c r="BV396" s="375"/>
      <c r="BW396" s="375"/>
      <c r="BX396" s="375"/>
      <c r="BY396" s="375"/>
      <c r="BZ396" s="375"/>
      <c r="CA396" s="375"/>
      <c r="CB396" s="375"/>
      <c r="CC396" s="375"/>
      <c r="CD396" s="375"/>
      <c r="CE396" s="375"/>
      <c r="CF396" s="375"/>
      <c r="CG396" s="375"/>
      <c r="CH396" s="375"/>
      <c r="CI396" s="375"/>
      <c r="CJ396" s="375"/>
      <c r="CK396" s="375"/>
      <c r="CL396" s="375"/>
      <c r="CM396" s="375"/>
      <c r="CN396" s="375"/>
      <c r="CO396" s="375"/>
      <c r="CP396" s="375"/>
      <c r="CQ396" s="375"/>
      <c r="CR396" s="375"/>
      <c r="CS396" s="375"/>
      <c r="CT396" s="375"/>
      <c r="CU396" s="375"/>
      <c r="CV396" s="375"/>
      <c r="CW396" s="375"/>
      <c r="CX396" s="375"/>
      <c r="CY396" s="375"/>
      <c r="CZ396" s="375"/>
      <c r="DA396" s="375"/>
      <c r="DB396" s="375"/>
      <c r="DC396" s="375"/>
      <c r="DD396" s="375"/>
      <c r="DE396" s="375"/>
      <c r="DF396" s="375"/>
      <c r="DG396" s="375"/>
      <c r="DH396" s="375"/>
      <c r="DI396" s="375"/>
      <c r="DJ396" s="375"/>
      <c r="DK396" s="375"/>
      <c r="DL396" s="375"/>
      <c r="DM396" s="375"/>
      <c r="DN396" s="375"/>
      <c r="DO396" s="375"/>
      <c r="DP396" s="375"/>
      <c r="DQ396" s="375"/>
      <c r="DR396" s="375"/>
      <c r="DS396" s="375"/>
      <c r="DT396" s="375"/>
      <c r="DU396" s="375"/>
      <c r="DV396" s="375"/>
      <c r="DW396" s="375"/>
      <c r="DX396" s="375"/>
      <c r="DY396" s="375"/>
      <c r="DZ396" s="375"/>
      <c r="EA396" s="375"/>
      <c r="EB396" s="375"/>
      <c r="EC396" s="375"/>
      <c r="ED396" s="375"/>
      <c r="EE396" s="375"/>
      <c r="EF396" s="375"/>
      <c r="EG396" s="375"/>
      <c r="EH396" s="375"/>
      <c r="EI396" s="375"/>
      <c r="EJ396" s="375"/>
      <c r="EK396" s="375"/>
      <c r="EL396" s="375"/>
      <c r="EM396" s="375"/>
      <c r="EN396" s="375"/>
      <c r="EO396" s="375"/>
      <c r="EP396" s="375"/>
      <c r="EQ396" s="375"/>
      <c r="ER396" s="375"/>
      <c r="ES396" s="375"/>
      <c r="ET396" s="375"/>
      <c r="EU396" s="375"/>
      <c r="EV396" s="375"/>
      <c r="EW396" s="375"/>
      <c r="EX396" s="375"/>
      <c r="EY396" s="375"/>
      <c r="EZ396" s="375"/>
      <c r="FA396" s="375"/>
      <c r="FB396" s="375"/>
      <c r="FC396" s="375"/>
      <c r="FD396" s="375"/>
      <c r="FE396" s="375"/>
      <c r="FF396" s="375"/>
      <c r="FG396" s="375"/>
      <c r="FH396" s="375"/>
      <c r="FI396" s="375"/>
      <c r="FJ396" s="375"/>
      <c r="FK396" s="375"/>
      <c r="FL396" s="375"/>
      <c r="FM396" s="375"/>
      <c r="FN396" s="375"/>
      <c r="FO396" s="375"/>
      <c r="FP396" s="375"/>
      <c r="FQ396" s="375"/>
      <c r="FR396" s="375"/>
      <c r="FS396" s="375"/>
      <c r="FT396" s="375"/>
      <c r="FU396" s="375"/>
      <c r="FV396" s="375"/>
      <c r="FW396" s="375"/>
      <c r="FX396" s="375"/>
      <c r="FY396" s="375"/>
      <c r="FZ396" s="375"/>
      <c r="GA396" s="375"/>
      <c r="GB396" s="375"/>
      <c r="GC396" s="375"/>
      <c r="GD396" s="375"/>
      <c r="GE396" s="375"/>
      <c r="GF396" s="375"/>
      <c r="GG396" s="375"/>
      <c r="GH396" s="375"/>
      <c r="GI396" s="375"/>
      <c r="GJ396" s="375"/>
      <c r="GK396" s="375"/>
      <c r="GL396" s="375"/>
      <c r="GM396" s="375"/>
      <c r="GN396" s="375"/>
      <c r="GO396" s="375"/>
      <c r="GP396" s="375"/>
      <c r="GQ396" s="375"/>
      <c r="GR396" s="375"/>
      <c r="GS396" s="375"/>
      <c r="GT396" s="375"/>
      <c r="GU396" s="375"/>
      <c r="GV396" s="375"/>
      <c r="GW396" s="375"/>
      <c r="GX396" s="375"/>
      <c r="GY396" s="375"/>
      <c r="GZ396" s="375"/>
      <c r="HA396" s="375"/>
      <c r="HB396" s="375"/>
      <c r="HC396" s="375"/>
      <c r="HD396" s="375"/>
      <c r="HE396" s="375"/>
      <c r="HF396" s="375"/>
      <c r="HG396" s="375"/>
      <c r="HH396" s="375"/>
      <c r="HI396" s="375"/>
      <c r="HJ396" s="375"/>
      <c r="HK396" s="375"/>
      <c r="HL396" s="375"/>
      <c r="HM396" s="375"/>
      <c r="HN396" s="375"/>
      <c r="HO396" s="375"/>
      <c r="HP396" s="375"/>
      <c r="HQ396" s="375"/>
      <c r="HR396" s="375"/>
      <c r="HS396" s="375"/>
      <c r="HT396" s="375"/>
      <c r="HU396" s="375"/>
      <c r="HV396" s="375"/>
      <c r="HW396" s="375"/>
      <c r="HX396" s="375"/>
      <c r="HY396" s="375"/>
      <c r="HZ396" s="375"/>
      <c r="IA396" s="375"/>
      <c r="IB396" s="375"/>
      <c r="IC396" s="375"/>
      <c r="ID396" s="375"/>
      <c r="IE396" s="375"/>
      <c r="IF396" s="375"/>
      <c r="IG396" s="375"/>
      <c r="IH396" s="375"/>
      <c r="II396" s="375"/>
      <c r="IJ396" s="375"/>
      <c r="IK396" s="375"/>
      <c r="IL396" s="375"/>
      <c r="IM396" s="375"/>
      <c r="IN396" s="375"/>
      <c r="IO396" s="375"/>
      <c r="IP396" s="375"/>
      <c r="IQ396" s="375"/>
      <c r="IR396" s="375"/>
      <c r="IS396" s="375"/>
      <c r="IT396" s="375"/>
      <c r="IU396" s="375"/>
      <c r="IV396" s="375"/>
    </row>
    <row r="397" spans="1:256" ht="30" x14ac:dyDescent="0.25">
      <c r="A397" s="405"/>
      <c r="B397" s="405"/>
      <c r="C397" s="405"/>
      <c r="D397" s="242" t="s">
        <v>194</v>
      </c>
      <c r="E397" s="242"/>
      <c r="F397" s="242"/>
      <c r="G397" s="242"/>
      <c r="H397" s="242"/>
      <c r="I397" s="243"/>
      <c r="J397" s="244">
        <f>I384</f>
        <v>230597.44</v>
      </c>
      <c r="K397" s="245"/>
      <c r="L397" s="244">
        <f>K384</f>
        <v>1589636.16</v>
      </c>
      <c r="M397" s="374"/>
      <c r="N397" s="373"/>
      <c r="O397" s="373"/>
      <c r="P397" s="373"/>
      <c r="Q397" s="373"/>
      <c r="R397" s="373"/>
      <c r="S397" s="373"/>
      <c r="T397" s="373"/>
      <c r="U397" s="373"/>
      <c r="V397" s="373"/>
      <c r="W397" s="373"/>
      <c r="X397" s="373"/>
      <c r="Y397" s="373"/>
      <c r="Z397" s="373"/>
      <c r="AA397" s="373"/>
      <c r="AB397" s="373"/>
      <c r="AC397" s="373"/>
      <c r="AD397" s="373"/>
      <c r="AE397" s="373"/>
      <c r="AF397" s="373"/>
      <c r="AG397" s="373"/>
      <c r="AH397" s="373"/>
      <c r="AI397" s="373"/>
      <c r="AJ397" s="373"/>
      <c r="AK397" s="373"/>
      <c r="AL397" s="373"/>
      <c r="AM397" s="373"/>
      <c r="AN397" s="373"/>
      <c r="AO397" s="373"/>
      <c r="AP397" s="373"/>
      <c r="AQ397" s="373"/>
      <c r="AR397" s="373"/>
      <c r="AS397" s="373"/>
      <c r="AT397" s="373"/>
      <c r="AU397" s="373"/>
      <c r="AV397" s="373"/>
      <c r="AW397" s="373"/>
      <c r="AX397" s="373"/>
      <c r="AY397" s="373"/>
      <c r="AZ397" s="373"/>
      <c r="BA397" s="373"/>
      <c r="BB397" s="373"/>
      <c r="BC397" s="373"/>
      <c r="BD397" s="373"/>
      <c r="BE397" s="373"/>
      <c r="BF397" s="373"/>
      <c r="BG397" s="373"/>
      <c r="BH397" s="373"/>
      <c r="BI397" s="373"/>
      <c r="BJ397" s="373"/>
      <c r="BK397" s="373"/>
      <c r="BL397" s="373"/>
      <c r="BM397" s="373"/>
      <c r="BN397" s="373"/>
      <c r="BO397" s="373"/>
      <c r="BP397" s="373"/>
      <c r="BQ397" s="373"/>
      <c r="BR397" s="373"/>
      <c r="BS397" s="373"/>
      <c r="BT397" s="373"/>
      <c r="BU397" s="373"/>
      <c r="BV397" s="373"/>
      <c r="BW397" s="373"/>
      <c r="BX397" s="373"/>
      <c r="BY397" s="373"/>
      <c r="BZ397" s="373"/>
      <c r="CA397" s="373"/>
      <c r="CB397" s="373"/>
      <c r="CC397" s="373"/>
      <c r="CD397" s="373"/>
      <c r="CE397" s="373"/>
      <c r="CF397" s="373"/>
      <c r="CG397" s="373"/>
      <c r="CH397" s="373"/>
      <c r="CI397" s="373"/>
      <c r="CJ397" s="373"/>
      <c r="CK397" s="373"/>
      <c r="CL397" s="373"/>
      <c r="CM397" s="373"/>
      <c r="CN397" s="373"/>
      <c r="CO397" s="373"/>
      <c r="CP397" s="373"/>
      <c r="CQ397" s="373"/>
      <c r="CR397" s="373"/>
      <c r="CS397" s="373"/>
      <c r="CT397" s="373"/>
      <c r="CU397" s="373"/>
      <c r="CV397" s="373"/>
      <c r="CW397" s="373"/>
      <c r="CX397" s="373"/>
      <c r="CY397" s="373"/>
      <c r="CZ397" s="373"/>
      <c r="DA397" s="373"/>
      <c r="DB397" s="373"/>
      <c r="DC397" s="373"/>
      <c r="DD397" s="373"/>
      <c r="DE397" s="373"/>
      <c r="DF397" s="373"/>
      <c r="DG397" s="373"/>
      <c r="DH397" s="373"/>
      <c r="DI397" s="373"/>
      <c r="DJ397" s="373"/>
      <c r="DK397" s="373"/>
      <c r="DL397" s="373"/>
      <c r="DM397" s="373"/>
      <c r="DN397" s="373"/>
      <c r="DO397" s="373"/>
      <c r="DP397" s="373"/>
      <c r="DQ397" s="373"/>
      <c r="DR397" s="373"/>
      <c r="DS397" s="373"/>
      <c r="DT397" s="373"/>
      <c r="DU397" s="373"/>
      <c r="DV397" s="373"/>
      <c r="DW397" s="373"/>
      <c r="DX397" s="373"/>
      <c r="DY397" s="373"/>
      <c r="DZ397" s="373"/>
      <c r="EA397" s="373"/>
      <c r="EB397" s="373"/>
      <c r="EC397" s="373"/>
      <c r="ED397" s="373"/>
      <c r="EE397" s="373"/>
      <c r="EF397" s="373"/>
      <c r="EG397" s="373"/>
      <c r="EH397" s="373"/>
      <c r="EI397" s="373"/>
      <c r="EJ397" s="373"/>
      <c r="EK397" s="373"/>
      <c r="EL397" s="373"/>
      <c r="EM397" s="373"/>
      <c r="EN397" s="373"/>
      <c r="EO397" s="373"/>
      <c r="EP397" s="373"/>
      <c r="EQ397" s="373"/>
      <c r="ER397" s="373"/>
      <c r="ES397" s="373"/>
      <c r="ET397" s="373"/>
      <c r="EU397" s="373"/>
      <c r="EV397" s="373"/>
      <c r="EW397" s="373"/>
      <c r="EX397" s="373"/>
      <c r="EY397" s="373"/>
      <c r="EZ397" s="373"/>
      <c r="FA397" s="373"/>
      <c r="FB397" s="373"/>
      <c r="FC397" s="373"/>
      <c r="FD397" s="373"/>
      <c r="FE397" s="373"/>
      <c r="FF397" s="373"/>
      <c r="FG397" s="373"/>
      <c r="FH397" s="373"/>
      <c r="FI397" s="373"/>
      <c r="FJ397" s="373"/>
      <c r="FK397" s="373"/>
      <c r="FL397" s="373"/>
      <c r="FM397" s="373"/>
      <c r="FN397" s="373"/>
      <c r="FO397" s="373"/>
      <c r="FP397" s="373"/>
      <c r="FQ397" s="373"/>
      <c r="FR397" s="373"/>
      <c r="FS397" s="373"/>
      <c r="FT397" s="373"/>
      <c r="FU397" s="373"/>
      <c r="FV397" s="373"/>
      <c r="FW397" s="373"/>
      <c r="FX397" s="373"/>
      <c r="FY397" s="373"/>
      <c r="FZ397" s="373"/>
      <c r="GA397" s="373"/>
      <c r="GB397" s="373"/>
      <c r="GC397" s="373"/>
      <c r="GD397" s="373"/>
      <c r="GE397" s="373"/>
      <c r="GF397" s="373"/>
      <c r="GG397" s="373"/>
      <c r="GH397" s="373"/>
      <c r="GI397" s="373"/>
      <c r="GJ397" s="373"/>
      <c r="GK397" s="373"/>
      <c r="GL397" s="373"/>
      <c r="GM397" s="373"/>
      <c r="GN397" s="373"/>
      <c r="GO397" s="373"/>
      <c r="GP397" s="373"/>
      <c r="GQ397" s="373"/>
      <c r="GR397" s="373"/>
      <c r="GS397" s="373"/>
      <c r="GT397" s="373"/>
      <c r="GU397" s="373"/>
      <c r="GV397" s="373"/>
      <c r="GW397" s="373"/>
      <c r="GX397" s="373"/>
      <c r="GY397" s="373"/>
      <c r="GZ397" s="373"/>
      <c r="HA397" s="373"/>
      <c r="HB397" s="373"/>
      <c r="HC397" s="373"/>
      <c r="HD397" s="373"/>
      <c r="HE397" s="373"/>
      <c r="HF397" s="373"/>
      <c r="HG397" s="373"/>
      <c r="HH397" s="373"/>
      <c r="HI397" s="373"/>
      <c r="HJ397" s="373"/>
      <c r="HK397" s="373"/>
      <c r="HL397" s="373"/>
      <c r="HM397" s="373"/>
      <c r="HN397" s="373"/>
      <c r="HO397" s="373"/>
      <c r="HP397" s="373"/>
      <c r="HQ397" s="373"/>
      <c r="HR397" s="373"/>
      <c r="HS397" s="373"/>
      <c r="HT397" s="373"/>
      <c r="HU397" s="373"/>
      <c r="HV397" s="373"/>
      <c r="HW397" s="373"/>
      <c r="HX397" s="373"/>
      <c r="HY397" s="373"/>
      <c r="HZ397" s="373"/>
      <c r="IA397" s="373"/>
      <c r="IB397" s="373"/>
      <c r="IC397" s="373"/>
      <c r="ID397" s="373"/>
      <c r="IE397" s="373"/>
      <c r="IF397" s="373"/>
      <c r="IG397" s="373"/>
      <c r="IH397" s="373"/>
      <c r="II397" s="373"/>
      <c r="IJ397" s="373"/>
      <c r="IK397" s="373"/>
      <c r="IL397" s="373"/>
      <c r="IM397" s="373"/>
      <c r="IN397" s="373"/>
      <c r="IO397" s="373"/>
      <c r="IP397" s="373"/>
      <c r="IQ397" s="373"/>
      <c r="IR397" s="373"/>
      <c r="IS397" s="373"/>
      <c r="IT397" s="373"/>
      <c r="IU397" s="373"/>
      <c r="IV397" s="373"/>
    </row>
    <row r="398" spans="1:256" ht="14.25" x14ac:dyDescent="0.2">
      <c r="A398" s="405"/>
      <c r="B398" s="405"/>
      <c r="C398" s="405"/>
      <c r="D398" s="246" t="s">
        <v>69</v>
      </c>
      <c r="E398" s="246"/>
      <c r="F398" s="246"/>
      <c r="G398" s="246"/>
      <c r="H398" s="246"/>
      <c r="I398" s="247"/>
      <c r="J398" s="248">
        <f>J397-J401</f>
        <v>230597.44</v>
      </c>
      <c r="K398" s="249"/>
      <c r="L398" s="248">
        <f>L397-L401</f>
        <v>1589636.16</v>
      </c>
      <c r="M398" s="374"/>
      <c r="N398" s="373"/>
      <c r="O398" s="373"/>
      <c r="P398" s="373"/>
      <c r="Q398" s="373"/>
      <c r="R398" s="373"/>
      <c r="S398" s="373"/>
      <c r="T398" s="373"/>
      <c r="U398" s="373"/>
      <c r="V398" s="373"/>
      <c r="W398" s="373"/>
      <c r="X398" s="373"/>
      <c r="Y398" s="373"/>
      <c r="Z398" s="373"/>
      <c r="AA398" s="373"/>
      <c r="AB398" s="373"/>
      <c r="AC398" s="373"/>
      <c r="AD398" s="373"/>
      <c r="AE398" s="373"/>
      <c r="AF398" s="373"/>
      <c r="AG398" s="373"/>
      <c r="AH398" s="373"/>
      <c r="AI398" s="373"/>
      <c r="AJ398" s="373"/>
      <c r="AK398" s="373"/>
      <c r="AL398" s="373"/>
      <c r="AM398" s="373"/>
      <c r="AN398" s="373"/>
      <c r="AO398" s="373"/>
      <c r="AP398" s="373"/>
      <c r="AQ398" s="373"/>
      <c r="AR398" s="373"/>
      <c r="AS398" s="373"/>
      <c r="AT398" s="373"/>
      <c r="AU398" s="373"/>
      <c r="AV398" s="373"/>
      <c r="AW398" s="373"/>
      <c r="AX398" s="373"/>
      <c r="AY398" s="373"/>
      <c r="AZ398" s="373"/>
      <c r="BA398" s="373"/>
      <c r="BB398" s="373"/>
      <c r="BC398" s="373"/>
      <c r="BD398" s="373"/>
      <c r="BE398" s="373"/>
      <c r="BF398" s="373"/>
      <c r="BG398" s="373"/>
      <c r="BH398" s="373"/>
      <c r="BI398" s="373"/>
      <c r="BJ398" s="373"/>
      <c r="BK398" s="373"/>
      <c r="BL398" s="373"/>
      <c r="BM398" s="373"/>
      <c r="BN398" s="373"/>
      <c r="BO398" s="373"/>
      <c r="BP398" s="373"/>
      <c r="BQ398" s="373"/>
      <c r="BR398" s="373"/>
      <c r="BS398" s="373"/>
      <c r="BT398" s="373"/>
      <c r="BU398" s="373"/>
      <c r="BV398" s="373"/>
      <c r="BW398" s="373"/>
      <c r="BX398" s="373"/>
      <c r="BY398" s="373"/>
      <c r="BZ398" s="373"/>
      <c r="CA398" s="373"/>
      <c r="CB398" s="373"/>
      <c r="CC398" s="373"/>
      <c r="CD398" s="373"/>
      <c r="CE398" s="373"/>
      <c r="CF398" s="373"/>
      <c r="CG398" s="373"/>
      <c r="CH398" s="373"/>
      <c r="CI398" s="373"/>
      <c r="CJ398" s="373"/>
      <c r="CK398" s="373"/>
      <c r="CL398" s="373"/>
      <c r="CM398" s="373"/>
      <c r="CN398" s="373"/>
      <c r="CO398" s="373"/>
      <c r="CP398" s="373"/>
      <c r="CQ398" s="373"/>
      <c r="CR398" s="373"/>
      <c r="CS398" s="373"/>
      <c r="CT398" s="373"/>
      <c r="CU398" s="373"/>
      <c r="CV398" s="373"/>
      <c r="CW398" s="373"/>
      <c r="CX398" s="373"/>
      <c r="CY398" s="373"/>
      <c r="CZ398" s="373"/>
      <c r="DA398" s="373"/>
      <c r="DB398" s="373"/>
      <c r="DC398" s="373"/>
      <c r="DD398" s="373"/>
      <c r="DE398" s="373"/>
      <c r="DF398" s="373"/>
      <c r="DG398" s="373"/>
      <c r="DH398" s="373"/>
      <c r="DI398" s="373"/>
      <c r="DJ398" s="373"/>
      <c r="DK398" s="373"/>
      <c r="DL398" s="373"/>
      <c r="DM398" s="373"/>
      <c r="DN398" s="373"/>
      <c r="DO398" s="373"/>
      <c r="DP398" s="373"/>
      <c r="DQ398" s="373"/>
      <c r="DR398" s="373"/>
      <c r="DS398" s="373"/>
      <c r="DT398" s="373"/>
      <c r="DU398" s="373"/>
      <c r="DV398" s="373"/>
      <c r="DW398" s="373"/>
      <c r="DX398" s="373"/>
      <c r="DY398" s="373"/>
      <c r="DZ398" s="373"/>
      <c r="EA398" s="373"/>
      <c r="EB398" s="373"/>
      <c r="EC398" s="373"/>
      <c r="ED398" s="373"/>
      <c r="EE398" s="373"/>
      <c r="EF398" s="373"/>
      <c r="EG398" s="373"/>
      <c r="EH398" s="373"/>
      <c r="EI398" s="373"/>
      <c r="EJ398" s="373"/>
      <c r="EK398" s="373"/>
      <c r="EL398" s="373"/>
      <c r="EM398" s="373"/>
      <c r="EN398" s="373"/>
      <c r="EO398" s="373"/>
      <c r="EP398" s="373"/>
      <c r="EQ398" s="373"/>
      <c r="ER398" s="373"/>
      <c r="ES398" s="373"/>
      <c r="ET398" s="373"/>
      <c r="EU398" s="373"/>
      <c r="EV398" s="373"/>
      <c r="EW398" s="373"/>
      <c r="EX398" s="373"/>
      <c r="EY398" s="373"/>
      <c r="EZ398" s="373"/>
      <c r="FA398" s="373"/>
      <c r="FB398" s="373"/>
      <c r="FC398" s="373"/>
      <c r="FD398" s="373"/>
      <c r="FE398" s="373"/>
      <c r="FF398" s="373"/>
      <c r="FG398" s="373"/>
      <c r="FH398" s="373"/>
      <c r="FI398" s="373"/>
      <c r="FJ398" s="373"/>
      <c r="FK398" s="373"/>
      <c r="FL398" s="373"/>
      <c r="FM398" s="373"/>
      <c r="FN398" s="373"/>
      <c r="FO398" s="373"/>
      <c r="FP398" s="373"/>
      <c r="FQ398" s="373"/>
      <c r="FR398" s="373"/>
      <c r="FS398" s="373"/>
      <c r="FT398" s="373"/>
      <c r="FU398" s="373"/>
      <c r="FV398" s="373"/>
      <c r="FW398" s="373"/>
      <c r="FX398" s="373"/>
      <c r="FY398" s="373"/>
      <c r="FZ398" s="373"/>
      <c r="GA398" s="373"/>
      <c r="GB398" s="373"/>
      <c r="GC398" s="373"/>
      <c r="GD398" s="373"/>
      <c r="GE398" s="373"/>
      <c r="GF398" s="373"/>
      <c r="GG398" s="373"/>
      <c r="GH398" s="373"/>
      <c r="GI398" s="373"/>
      <c r="GJ398" s="373"/>
      <c r="GK398" s="373"/>
      <c r="GL398" s="373"/>
      <c r="GM398" s="373"/>
      <c r="GN398" s="373"/>
      <c r="GO398" s="373"/>
      <c r="GP398" s="373"/>
      <c r="GQ398" s="373"/>
      <c r="GR398" s="373"/>
      <c r="GS398" s="373"/>
      <c r="GT398" s="373"/>
      <c r="GU398" s="373"/>
      <c r="GV398" s="373"/>
      <c r="GW398" s="373"/>
      <c r="GX398" s="373"/>
      <c r="GY398" s="373"/>
      <c r="GZ398" s="373"/>
      <c r="HA398" s="373"/>
      <c r="HB398" s="373"/>
      <c r="HC398" s="373"/>
      <c r="HD398" s="373"/>
      <c r="HE398" s="373"/>
      <c r="HF398" s="373"/>
      <c r="HG398" s="373"/>
      <c r="HH398" s="373"/>
      <c r="HI398" s="373"/>
      <c r="HJ398" s="373"/>
      <c r="HK398" s="373"/>
      <c r="HL398" s="373"/>
      <c r="HM398" s="373"/>
      <c r="HN398" s="373"/>
      <c r="HO398" s="373"/>
      <c r="HP398" s="373"/>
      <c r="HQ398" s="373"/>
      <c r="HR398" s="373"/>
      <c r="HS398" s="373"/>
      <c r="HT398" s="373"/>
      <c r="HU398" s="373"/>
      <c r="HV398" s="373"/>
      <c r="HW398" s="373"/>
      <c r="HX398" s="373"/>
      <c r="HY398" s="373"/>
      <c r="HZ398" s="373"/>
      <c r="IA398" s="373"/>
      <c r="IB398" s="373"/>
      <c r="IC398" s="373"/>
      <c r="ID398" s="373"/>
      <c r="IE398" s="373"/>
      <c r="IF398" s="373"/>
      <c r="IG398" s="373"/>
      <c r="IH398" s="373"/>
      <c r="II398" s="373"/>
      <c r="IJ398" s="373"/>
      <c r="IK398" s="373"/>
      <c r="IL398" s="373"/>
      <c r="IM398" s="373"/>
      <c r="IN398" s="373"/>
      <c r="IO398" s="373"/>
      <c r="IP398" s="373"/>
      <c r="IQ398" s="373"/>
      <c r="IR398" s="373"/>
      <c r="IS398" s="373"/>
      <c r="IT398" s="373"/>
      <c r="IU398" s="373"/>
      <c r="IV398" s="373"/>
    </row>
    <row r="399" spans="1:256" ht="14.25" x14ac:dyDescent="0.2">
      <c r="A399" s="405"/>
      <c r="B399" s="405"/>
      <c r="C399" s="405"/>
      <c r="D399" s="246" t="s">
        <v>70</v>
      </c>
      <c r="E399" s="246"/>
      <c r="F399" s="246"/>
      <c r="G399" s="246"/>
      <c r="H399" s="246"/>
      <c r="I399" s="247"/>
      <c r="J399" s="248">
        <f>I389+I388</f>
        <v>8214.11</v>
      </c>
      <c r="K399" s="249"/>
      <c r="L399" s="248">
        <f>K389+K388</f>
        <v>199027.91</v>
      </c>
      <c r="M399" s="374"/>
      <c r="N399" s="373"/>
      <c r="O399" s="373"/>
      <c r="P399" s="373"/>
      <c r="Q399" s="373"/>
      <c r="R399" s="373"/>
      <c r="S399" s="373"/>
      <c r="T399" s="373"/>
      <c r="U399" s="373"/>
      <c r="V399" s="373"/>
      <c r="W399" s="373"/>
      <c r="X399" s="373"/>
      <c r="Y399" s="373"/>
      <c r="Z399" s="373"/>
      <c r="AA399" s="373"/>
      <c r="AB399" s="373"/>
      <c r="AC399" s="373"/>
      <c r="AD399" s="373"/>
      <c r="AE399" s="373"/>
      <c r="AF399" s="373"/>
      <c r="AG399" s="373"/>
      <c r="AH399" s="373"/>
      <c r="AI399" s="373"/>
      <c r="AJ399" s="373"/>
      <c r="AK399" s="373"/>
      <c r="AL399" s="373"/>
      <c r="AM399" s="373"/>
      <c r="AN399" s="373"/>
      <c r="AO399" s="373"/>
      <c r="AP399" s="373"/>
      <c r="AQ399" s="373"/>
      <c r="AR399" s="373"/>
      <c r="AS399" s="373"/>
      <c r="AT399" s="373"/>
      <c r="AU399" s="373"/>
      <c r="AV399" s="373"/>
      <c r="AW399" s="373"/>
      <c r="AX399" s="373"/>
      <c r="AY399" s="373"/>
      <c r="AZ399" s="373"/>
      <c r="BA399" s="373"/>
      <c r="BB399" s="373"/>
      <c r="BC399" s="373"/>
      <c r="BD399" s="373"/>
      <c r="BE399" s="373"/>
      <c r="BF399" s="373"/>
      <c r="BG399" s="373"/>
      <c r="BH399" s="373"/>
      <c r="BI399" s="373"/>
      <c r="BJ399" s="373"/>
      <c r="BK399" s="373"/>
      <c r="BL399" s="373"/>
      <c r="BM399" s="373"/>
      <c r="BN399" s="373"/>
      <c r="BO399" s="373"/>
      <c r="BP399" s="373"/>
      <c r="BQ399" s="373"/>
      <c r="BR399" s="373"/>
      <c r="BS399" s="373"/>
      <c r="BT399" s="373"/>
      <c r="BU399" s="373"/>
      <c r="BV399" s="373"/>
      <c r="BW399" s="373"/>
      <c r="BX399" s="373"/>
      <c r="BY399" s="373"/>
      <c r="BZ399" s="373"/>
      <c r="CA399" s="373"/>
      <c r="CB399" s="373"/>
      <c r="CC399" s="373"/>
      <c r="CD399" s="373"/>
      <c r="CE399" s="373"/>
      <c r="CF399" s="373"/>
      <c r="CG399" s="373"/>
      <c r="CH399" s="373"/>
      <c r="CI399" s="373"/>
      <c r="CJ399" s="373"/>
      <c r="CK399" s="373"/>
      <c r="CL399" s="373"/>
      <c r="CM399" s="373"/>
      <c r="CN399" s="373"/>
      <c r="CO399" s="373"/>
      <c r="CP399" s="373"/>
      <c r="CQ399" s="373"/>
      <c r="CR399" s="373"/>
      <c r="CS399" s="373"/>
      <c r="CT399" s="373"/>
      <c r="CU399" s="373"/>
      <c r="CV399" s="373"/>
      <c r="CW399" s="373"/>
      <c r="CX399" s="373"/>
      <c r="CY399" s="373"/>
      <c r="CZ399" s="373"/>
      <c r="DA399" s="373"/>
      <c r="DB399" s="373"/>
      <c r="DC399" s="373"/>
      <c r="DD399" s="373"/>
      <c r="DE399" s="373"/>
      <c r="DF399" s="373"/>
      <c r="DG399" s="373"/>
      <c r="DH399" s="373"/>
      <c r="DI399" s="373"/>
      <c r="DJ399" s="373"/>
      <c r="DK399" s="373"/>
      <c r="DL399" s="373"/>
      <c r="DM399" s="373"/>
      <c r="DN399" s="373"/>
      <c r="DO399" s="373"/>
      <c r="DP399" s="373"/>
      <c r="DQ399" s="373"/>
      <c r="DR399" s="373"/>
      <c r="DS399" s="373"/>
      <c r="DT399" s="373"/>
      <c r="DU399" s="373"/>
      <c r="DV399" s="373"/>
      <c r="DW399" s="373"/>
      <c r="DX399" s="373"/>
      <c r="DY399" s="373"/>
      <c r="DZ399" s="373"/>
      <c r="EA399" s="373"/>
      <c r="EB399" s="373"/>
      <c r="EC399" s="373"/>
      <c r="ED399" s="373"/>
      <c r="EE399" s="373"/>
      <c r="EF399" s="373"/>
      <c r="EG399" s="373"/>
      <c r="EH399" s="373"/>
      <c r="EI399" s="373"/>
      <c r="EJ399" s="373"/>
      <c r="EK399" s="373"/>
      <c r="EL399" s="373"/>
      <c r="EM399" s="373"/>
      <c r="EN399" s="373"/>
      <c r="EO399" s="373"/>
      <c r="EP399" s="373"/>
      <c r="EQ399" s="373"/>
      <c r="ER399" s="373"/>
      <c r="ES399" s="373"/>
      <c r="ET399" s="373"/>
      <c r="EU399" s="373"/>
      <c r="EV399" s="373"/>
      <c r="EW399" s="373"/>
      <c r="EX399" s="373"/>
      <c r="EY399" s="373"/>
      <c r="EZ399" s="373"/>
      <c r="FA399" s="373"/>
      <c r="FB399" s="373"/>
      <c r="FC399" s="373"/>
      <c r="FD399" s="373"/>
      <c r="FE399" s="373"/>
      <c r="FF399" s="373"/>
      <c r="FG399" s="373"/>
      <c r="FH399" s="373"/>
      <c r="FI399" s="373"/>
      <c r="FJ399" s="373"/>
      <c r="FK399" s="373"/>
      <c r="FL399" s="373"/>
      <c r="FM399" s="373"/>
      <c r="FN399" s="373"/>
      <c r="FO399" s="373"/>
      <c r="FP399" s="373"/>
      <c r="FQ399" s="373"/>
      <c r="FR399" s="373"/>
      <c r="FS399" s="373"/>
      <c r="FT399" s="373"/>
      <c r="FU399" s="373"/>
      <c r="FV399" s="373"/>
      <c r="FW399" s="373"/>
      <c r="FX399" s="373"/>
      <c r="FY399" s="373"/>
      <c r="FZ399" s="373"/>
      <c r="GA399" s="373"/>
      <c r="GB399" s="373"/>
      <c r="GC399" s="373"/>
      <c r="GD399" s="373"/>
      <c r="GE399" s="373"/>
      <c r="GF399" s="373"/>
      <c r="GG399" s="373"/>
      <c r="GH399" s="373"/>
      <c r="GI399" s="373"/>
      <c r="GJ399" s="373"/>
      <c r="GK399" s="373"/>
      <c r="GL399" s="373"/>
      <c r="GM399" s="373"/>
      <c r="GN399" s="373"/>
      <c r="GO399" s="373"/>
      <c r="GP399" s="373"/>
      <c r="GQ399" s="373"/>
      <c r="GR399" s="373"/>
      <c r="GS399" s="373"/>
      <c r="GT399" s="373"/>
      <c r="GU399" s="373"/>
      <c r="GV399" s="373"/>
      <c r="GW399" s="373"/>
      <c r="GX399" s="373"/>
      <c r="GY399" s="373"/>
      <c r="GZ399" s="373"/>
      <c r="HA399" s="373"/>
      <c r="HB399" s="373"/>
      <c r="HC399" s="373"/>
      <c r="HD399" s="373"/>
      <c r="HE399" s="373"/>
      <c r="HF399" s="373"/>
      <c r="HG399" s="373"/>
      <c r="HH399" s="373"/>
      <c r="HI399" s="373"/>
      <c r="HJ399" s="373"/>
      <c r="HK399" s="373"/>
      <c r="HL399" s="373"/>
      <c r="HM399" s="373"/>
      <c r="HN399" s="373"/>
      <c r="HO399" s="373"/>
      <c r="HP399" s="373"/>
      <c r="HQ399" s="373"/>
      <c r="HR399" s="373"/>
      <c r="HS399" s="373"/>
      <c r="HT399" s="373"/>
      <c r="HU399" s="373"/>
      <c r="HV399" s="373"/>
      <c r="HW399" s="373"/>
      <c r="HX399" s="373"/>
      <c r="HY399" s="373"/>
      <c r="HZ399" s="373"/>
      <c r="IA399" s="373"/>
      <c r="IB399" s="373"/>
      <c r="IC399" s="373"/>
      <c r="ID399" s="373"/>
      <c r="IE399" s="373"/>
      <c r="IF399" s="373"/>
      <c r="IG399" s="373"/>
      <c r="IH399" s="373"/>
      <c r="II399" s="373"/>
      <c r="IJ399" s="373"/>
      <c r="IK399" s="373"/>
      <c r="IL399" s="373"/>
      <c r="IM399" s="373"/>
      <c r="IN399" s="373"/>
      <c r="IO399" s="373"/>
      <c r="IP399" s="373"/>
      <c r="IQ399" s="373"/>
      <c r="IR399" s="373"/>
      <c r="IS399" s="373"/>
      <c r="IT399" s="373"/>
      <c r="IU399" s="373"/>
      <c r="IV399" s="373"/>
    </row>
    <row r="400" spans="1:256" ht="14.25" x14ac:dyDescent="0.2">
      <c r="A400" s="405"/>
      <c r="B400" s="405"/>
      <c r="C400" s="405"/>
      <c r="D400" s="246" t="s">
        <v>195</v>
      </c>
      <c r="E400" s="246"/>
      <c r="F400" s="246"/>
      <c r="G400" s="246"/>
      <c r="H400" s="246"/>
      <c r="I400" s="247"/>
      <c r="J400" s="248">
        <f>I387</f>
        <v>204866.01</v>
      </c>
      <c r="K400" s="249"/>
      <c r="L400" s="248">
        <f>K387</f>
        <v>1108519.47</v>
      </c>
      <c r="M400" s="374"/>
      <c r="N400" s="373"/>
      <c r="O400" s="373"/>
      <c r="P400" s="373"/>
      <c r="Q400" s="373"/>
      <c r="R400" s="373"/>
      <c r="S400" s="373"/>
      <c r="T400" s="373"/>
      <c r="U400" s="373"/>
      <c r="V400" s="373"/>
      <c r="W400" s="373"/>
      <c r="X400" s="373"/>
      <c r="Y400" s="373"/>
      <c r="Z400" s="373"/>
      <c r="AA400" s="373"/>
      <c r="AB400" s="373"/>
      <c r="AC400" s="373"/>
      <c r="AD400" s="373"/>
      <c r="AE400" s="373"/>
      <c r="AF400" s="373"/>
      <c r="AG400" s="373"/>
      <c r="AH400" s="373"/>
      <c r="AI400" s="373"/>
      <c r="AJ400" s="373"/>
      <c r="AK400" s="373"/>
      <c r="AL400" s="373"/>
      <c r="AM400" s="373"/>
      <c r="AN400" s="373"/>
      <c r="AO400" s="373"/>
      <c r="AP400" s="373"/>
      <c r="AQ400" s="373"/>
      <c r="AR400" s="373"/>
      <c r="AS400" s="373"/>
      <c r="AT400" s="373"/>
      <c r="AU400" s="373"/>
      <c r="AV400" s="373"/>
      <c r="AW400" s="373"/>
      <c r="AX400" s="373"/>
      <c r="AY400" s="373"/>
      <c r="AZ400" s="373"/>
      <c r="BA400" s="373"/>
      <c r="BB400" s="373"/>
      <c r="BC400" s="373"/>
      <c r="BD400" s="373"/>
      <c r="BE400" s="373"/>
      <c r="BF400" s="373"/>
      <c r="BG400" s="373"/>
      <c r="BH400" s="373"/>
      <c r="BI400" s="373"/>
      <c r="BJ400" s="373"/>
      <c r="BK400" s="373"/>
      <c r="BL400" s="373"/>
      <c r="BM400" s="373"/>
      <c r="BN400" s="373"/>
      <c r="BO400" s="373"/>
      <c r="BP400" s="373"/>
      <c r="BQ400" s="373"/>
      <c r="BR400" s="373"/>
      <c r="BS400" s="373"/>
      <c r="BT400" s="373"/>
      <c r="BU400" s="373"/>
      <c r="BV400" s="373"/>
      <c r="BW400" s="373"/>
      <c r="BX400" s="373"/>
      <c r="BY400" s="373"/>
      <c r="BZ400" s="373"/>
      <c r="CA400" s="373"/>
      <c r="CB400" s="373"/>
      <c r="CC400" s="373"/>
      <c r="CD400" s="373"/>
      <c r="CE400" s="373"/>
      <c r="CF400" s="373"/>
      <c r="CG400" s="373"/>
      <c r="CH400" s="373"/>
      <c r="CI400" s="373"/>
      <c r="CJ400" s="373"/>
      <c r="CK400" s="373"/>
      <c r="CL400" s="373"/>
      <c r="CM400" s="373"/>
      <c r="CN400" s="373"/>
      <c r="CO400" s="373"/>
      <c r="CP400" s="373"/>
      <c r="CQ400" s="373"/>
      <c r="CR400" s="373"/>
      <c r="CS400" s="373"/>
      <c r="CT400" s="373"/>
      <c r="CU400" s="373"/>
      <c r="CV400" s="373"/>
      <c r="CW400" s="373"/>
      <c r="CX400" s="373"/>
      <c r="CY400" s="373"/>
      <c r="CZ400" s="373"/>
      <c r="DA400" s="373"/>
      <c r="DB400" s="373"/>
      <c r="DC400" s="373"/>
      <c r="DD400" s="373"/>
      <c r="DE400" s="373"/>
      <c r="DF400" s="373"/>
      <c r="DG400" s="373"/>
      <c r="DH400" s="373"/>
      <c r="DI400" s="373"/>
      <c r="DJ400" s="373"/>
      <c r="DK400" s="373"/>
      <c r="DL400" s="373"/>
      <c r="DM400" s="373"/>
      <c r="DN400" s="373"/>
      <c r="DO400" s="373"/>
      <c r="DP400" s="373"/>
      <c r="DQ400" s="373"/>
      <c r="DR400" s="373"/>
      <c r="DS400" s="373"/>
      <c r="DT400" s="373"/>
      <c r="DU400" s="373"/>
      <c r="DV400" s="373"/>
      <c r="DW400" s="373"/>
      <c r="DX400" s="373"/>
      <c r="DY400" s="373"/>
      <c r="DZ400" s="373"/>
      <c r="EA400" s="373"/>
      <c r="EB400" s="373"/>
      <c r="EC400" s="373"/>
      <c r="ED400" s="373"/>
      <c r="EE400" s="373"/>
      <c r="EF400" s="373"/>
      <c r="EG400" s="373"/>
      <c r="EH400" s="373"/>
      <c r="EI400" s="373"/>
      <c r="EJ400" s="373"/>
      <c r="EK400" s="373"/>
      <c r="EL400" s="373"/>
      <c r="EM400" s="373"/>
      <c r="EN400" s="373"/>
      <c r="EO400" s="373"/>
      <c r="EP400" s="373"/>
      <c r="EQ400" s="373"/>
      <c r="ER400" s="373"/>
      <c r="ES400" s="373"/>
      <c r="ET400" s="373"/>
      <c r="EU400" s="373"/>
      <c r="EV400" s="373"/>
      <c r="EW400" s="373"/>
      <c r="EX400" s="373"/>
      <c r="EY400" s="373"/>
      <c r="EZ400" s="373"/>
      <c r="FA400" s="373"/>
      <c r="FB400" s="373"/>
      <c r="FC400" s="373"/>
      <c r="FD400" s="373"/>
      <c r="FE400" s="373"/>
      <c r="FF400" s="373"/>
      <c r="FG400" s="373"/>
      <c r="FH400" s="373"/>
      <c r="FI400" s="373"/>
      <c r="FJ400" s="373"/>
      <c r="FK400" s="373"/>
      <c r="FL400" s="373"/>
      <c r="FM400" s="373"/>
      <c r="FN400" s="373"/>
      <c r="FO400" s="373"/>
      <c r="FP400" s="373"/>
      <c r="FQ400" s="373"/>
      <c r="FR400" s="373"/>
      <c r="FS400" s="373"/>
      <c r="FT400" s="373"/>
      <c r="FU400" s="373"/>
      <c r="FV400" s="373"/>
      <c r="FW400" s="373"/>
      <c r="FX400" s="373"/>
      <c r="FY400" s="373"/>
      <c r="FZ400" s="373"/>
      <c r="GA400" s="373"/>
      <c r="GB400" s="373"/>
      <c r="GC400" s="373"/>
      <c r="GD400" s="373"/>
      <c r="GE400" s="373"/>
      <c r="GF400" s="373"/>
      <c r="GG400" s="373"/>
      <c r="GH400" s="373"/>
      <c r="GI400" s="373"/>
      <c r="GJ400" s="373"/>
      <c r="GK400" s="373"/>
      <c r="GL400" s="373"/>
      <c r="GM400" s="373"/>
      <c r="GN400" s="373"/>
      <c r="GO400" s="373"/>
      <c r="GP400" s="373"/>
      <c r="GQ400" s="373"/>
      <c r="GR400" s="373"/>
      <c r="GS400" s="373"/>
      <c r="GT400" s="373"/>
      <c r="GU400" s="373"/>
      <c r="GV400" s="373"/>
      <c r="GW400" s="373"/>
      <c r="GX400" s="373"/>
      <c r="GY400" s="373"/>
      <c r="GZ400" s="373"/>
      <c r="HA400" s="373"/>
      <c r="HB400" s="373"/>
      <c r="HC400" s="373"/>
      <c r="HD400" s="373"/>
      <c r="HE400" s="373"/>
      <c r="HF400" s="373"/>
      <c r="HG400" s="373"/>
      <c r="HH400" s="373"/>
      <c r="HI400" s="373"/>
      <c r="HJ400" s="373"/>
      <c r="HK400" s="373"/>
      <c r="HL400" s="373"/>
      <c r="HM400" s="373"/>
      <c r="HN400" s="373"/>
      <c r="HO400" s="373"/>
      <c r="HP400" s="373"/>
      <c r="HQ400" s="373"/>
      <c r="HR400" s="373"/>
      <c r="HS400" s="373"/>
      <c r="HT400" s="373"/>
      <c r="HU400" s="373"/>
      <c r="HV400" s="373"/>
      <c r="HW400" s="373"/>
      <c r="HX400" s="373"/>
      <c r="HY400" s="373"/>
      <c r="HZ400" s="373"/>
      <c r="IA400" s="373"/>
      <c r="IB400" s="373"/>
      <c r="IC400" s="373"/>
      <c r="ID400" s="373"/>
      <c r="IE400" s="373"/>
      <c r="IF400" s="373"/>
      <c r="IG400" s="373"/>
      <c r="IH400" s="373"/>
      <c r="II400" s="373"/>
      <c r="IJ400" s="373"/>
      <c r="IK400" s="373"/>
      <c r="IL400" s="373"/>
      <c r="IM400" s="373"/>
      <c r="IN400" s="373"/>
      <c r="IO400" s="373"/>
      <c r="IP400" s="373"/>
      <c r="IQ400" s="373"/>
      <c r="IR400" s="373"/>
      <c r="IS400" s="373"/>
      <c r="IT400" s="373"/>
      <c r="IU400" s="373"/>
      <c r="IV400" s="373"/>
    </row>
    <row r="401" spans="1:256" ht="14.25" x14ac:dyDescent="0.2">
      <c r="A401" s="407"/>
      <c r="B401" s="407"/>
      <c r="C401" s="407"/>
      <c r="D401" s="251" t="s">
        <v>157</v>
      </c>
      <c r="E401" s="251"/>
      <c r="F401" s="251"/>
      <c r="G401" s="251"/>
      <c r="H401" s="251"/>
      <c r="I401" s="252"/>
      <c r="J401" s="253">
        <v>0</v>
      </c>
      <c r="K401" s="254"/>
      <c r="L401" s="253">
        <v>0</v>
      </c>
      <c r="M401" s="374"/>
      <c r="N401" s="376"/>
      <c r="O401" s="376"/>
      <c r="P401" s="376"/>
      <c r="Q401" s="376"/>
      <c r="R401" s="376"/>
      <c r="S401" s="376"/>
      <c r="T401" s="376"/>
      <c r="U401" s="376"/>
      <c r="V401" s="376"/>
      <c r="W401" s="376"/>
      <c r="X401" s="376"/>
      <c r="Y401" s="376"/>
      <c r="Z401" s="376"/>
      <c r="AA401" s="376"/>
      <c r="AB401" s="376"/>
      <c r="AC401" s="376"/>
      <c r="AD401" s="376"/>
      <c r="AE401" s="376"/>
      <c r="AF401" s="376"/>
      <c r="AG401" s="376"/>
      <c r="AH401" s="376"/>
      <c r="AI401" s="376"/>
      <c r="AJ401" s="376"/>
      <c r="AK401" s="376"/>
      <c r="AL401" s="376"/>
      <c r="AM401" s="376"/>
      <c r="AN401" s="376"/>
      <c r="AO401" s="376"/>
      <c r="AP401" s="376"/>
      <c r="AQ401" s="376"/>
      <c r="AR401" s="376"/>
      <c r="AS401" s="376"/>
      <c r="AT401" s="376"/>
      <c r="AU401" s="376"/>
      <c r="AV401" s="376"/>
      <c r="AW401" s="376"/>
      <c r="AX401" s="376"/>
      <c r="AY401" s="376"/>
      <c r="AZ401" s="376"/>
      <c r="BA401" s="376"/>
      <c r="BB401" s="376"/>
      <c r="BC401" s="376"/>
      <c r="BD401" s="376"/>
      <c r="BE401" s="376"/>
      <c r="BF401" s="376"/>
      <c r="BG401" s="376"/>
      <c r="BH401" s="376"/>
      <c r="BI401" s="376"/>
      <c r="BJ401" s="376"/>
      <c r="BK401" s="376"/>
      <c r="BL401" s="376"/>
      <c r="BM401" s="376"/>
      <c r="BN401" s="376"/>
      <c r="BO401" s="376"/>
      <c r="BP401" s="376"/>
      <c r="BQ401" s="376"/>
      <c r="BR401" s="376"/>
      <c r="BS401" s="376"/>
      <c r="BT401" s="376"/>
      <c r="BU401" s="376"/>
      <c r="BV401" s="376"/>
      <c r="BW401" s="376"/>
      <c r="BX401" s="376"/>
      <c r="BY401" s="376"/>
      <c r="BZ401" s="376"/>
      <c r="CA401" s="376"/>
      <c r="CB401" s="376"/>
      <c r="CC401" s="376"/>
      <c r="CD401" s="376"/>
      <c r="CE401" s="376"/>
      <c r="CF401" s="376"/>
      <c r="CG401" s="376"/>
      <c r="CH401" s="376"/>
      <c r="CI401" s="376"/>
      <c r="CJ401" s="376"/>
      <c r="CK401" s="376"/>
      <c r="CL401" s="376"/>
      <c r="CM401" s="376"/>
      <c r="CN401" s="376"/>
      <c r="CO401" s="376"/>
      <c r="CP401" s="376"/>
      <c r="CQ401" s="376"/>
      <c r="CR401" s="376"/>
      <c r="CS401" s="376"/>
      <c r="CT401" s="376"/>
      <c r="CU401" s="376"/>
      <c r="CV401" s="376"/>
      <c r="CW401" s="376"/>
      <c r="CX401" s="376"/>
      <c r="CY401" s="376"/>
      <c r="CZ401" s="376"/>
      <c r="DA401" s="376"/>
      <c r="DB401" s="376"/>
      <c r="DC401" s="376"/>
      <c r="DD401" s="376"/>
      <c r="DE401" s="376"/>
      <c r="DF401" s="376"/>
      <c r="DG401" s="376"/>
      <c r="DH401" s="376"/>
      <c r="DI401" s="376"/>
      <c r="DJ401" s="376"/>
      <c r="DK401" s="376"/>
      <c r="DL401" s="376"/>
      <c r="DM401" s="376"/>
      <c r="DN401" s="376"/>
      <c r="DO401" s="376"/>
      <c r="DP401" s="376"/>
      <c r="DQ401" s="376"/>
      <c r="DR401" s="376"/>
      <c r="DS401" s="376"/>
      <c r="DT401" s="376"/>
      <c r="DU401" s="376"/>
      <c r="DV401" s="376"/>
      <c r="DW401" s="376"/>
      <c r="DX401" s="376"/>
      <c r="DY401" s="376"/>
      <c r="DZ401" s="376"/>
      <c r="EA401" s="376"/>
      <c r="EB401" s="376"/>
      <c r="EC401" s="376"/>
      <c r="ED401" s="376"/>
      <c r="EE401" s="376"/>
      <c r="EF401" s="376"/>
      <c r="EG401" s="376"/>
      <c r="EH401" s="376"/>
      <c r="EI401" s="376"/>
      <c r="EJ401" s="376"/>
      <c r="EK401" s="376"/>
      <c r="EL401" s="376"/>
      <c r="EM401" s="376"/>
      <c r="EN401" s="376"/>
      <c r="EO401" s="376"/>
      <c r="EP401" s="376"/>
      <c r="EQ401" s="376"/>
      <c r="ER401" s="376"/>
      <c r="ES401" s="376"/>
      <c r="ET401" s="376"/>
      <c r="EU401" s="376"/>
      <c r="EV401" s="376"/>
      <c r="EW401" s="376"/>
      <c r="EX401" s="376"/>
      <c r="EY401" s="376"/>
      <c r="EZ401" s="376"/>
      <c r="FA401" s="376"/>
      <c r="FB401" s="376"/>
      <c r="FC401" s="376"/>
      <c r="FD401" s="376"/>
      <c r="FE401" s="376"/>
      <c r="FF401" s="376"/>
      <c r="FG401" s="376"/>
      <c r="FH401" s="376"/>
      <c r="FI401" s="376"/>
      <c r="FJ401" s="376"/>
      <c r="FK401" s="376"/>
      <c r="FL401" s="376"/>
      <c r="FM401" s="376"/>
      <c r="FN401" s="376"/>
      <c r="FO401" s="376"/>
      <c r="FP401" s="376"/>
      <c r="FQ401" s="376"/>
      <c r="FR401" s="376"/>
      <c r="FS401" s="376"/>
      <c r="FT401" s="376"/>
      <c r="FU401" s="376"/>
      <c r="FV401" s="376"/>
      <c r="FW401" s="376"/>
      <c r="FX401" s="376"/>
      <c r="FY401" s="376"/>
      <c r="FZ401" s="376"/>
      <c r="GA401" s="376"/>
      <c r="GB401" s="376"/>
      <c r="GC401" s="376"/>
      <c r="GD401" s="376"/>
      <c r="GE401" s="376"/>
      <c r="GF401" s="376"/>
      <c r="GG401" s="376"/>
      <c r="GH401" s="376"/>
      <c r="GI401" s="376"/>
      <c r="GJ401" s="376"/>
      <c r="GK401" s="376"/>
      <c r="GL401" s="376"/>
      <c r="GM401" s="376"/>
      <c r="GN401" s="376"/>
      <c r="GO401" s="376"/>
      <c r="GP401" s="376"/>
      <c r="GQ401" s="376"/>
      <c r="GR401" s="376"/>
      <c r="GS401" s="376"/>
      <c r="GT401" s="376"/>
      <c r="GU401" s="376"/>
      <c r="GV401" s="376"/>
      <c r="GW401" s="376"/>
      <c r="GX401" s="376"/>
      <c r="GY401" s="376"/>
      <c r="GZ401" s="376"/>
      <c r="HA401" s="376"/>
      <c r="HB401" s="376"/>
      <c r="HC401" s="376"/>
      <c r="HD401" s="376"/>
      <c r="HE401" s="376"/>
      <c r="HF401" s="376"/>
      <c r="HG401" s="376"/>
      <c r="HH401" s="376"/>
      <c r="HI401" s="376"/>
      <c r="HJ401" s="376"/>
      <c r="HK401" s="376"/>
      <c r="HL401" s="376"/>
      <c r="HM401" s="376"/>
      <c r="HN401" s="376"/>
      <c r="HO401" s="376"/>
      <c r="HP401" s="376"/>
      <c r="HQ401" s="376"/>
      <c r="HR401" s="376"/>
      <c r="HS401" s="376"/>
      <c r="HT401" s="376"/>
      <c r="HU401" s="376"/>
      <c r="HV401" s="376"/>
      <c r="HW401" s="376"/>
      <c r="HX401" s="376"/>
      <c r="HY401" s="376"/>
      <c r="HZ401" s="376"/>
      <c r="IA401" s="376"/>
      <c r="IB401" s="376"/>
      <c r="IC401" s="376"/>
      <c r="ID401" s="376"/>
      <c r="IE401" s="376"/>
      <c r="IF401" s="376"/>
      <c r="IG401" s="376"/>
      <c r="IH401" s="376"/>
      <c r="II401" s="376"/>
      <c r="IJ401" s="376"/>
      <c r="IK401" s="376"/>
      <c r="IL401" s="376"/>
      <c r="IM401" s="376"/>
      <c r="IN401" s="376"/>
      <c r="IO401" s="376"/>
      <c r="IP401" s="376"/>
      <c r="IQ401" s="376"/>
      <c r="IR401" s="376"/>
      <c r="IS401" s="376"/>
      <c r="IT401" s="376"/>
      <c r="IU401" s="376"/>
      <c r="IV401" s="376"/>
    </row>
    <row r="402" spans="1:256" ht="14.25" x14ac:dyDescent="0.2">
      <c r="A402" s="371"/>
      <c r="B402" s="371"/>
      <c r="C402" s="371"/>
      <c r="D402" s="255" t="s">
        <v>196</v>
      </c>
      <c r="E402" s="255"/>
      <c r="F402" s="255"/>
      <c r="G402" s="255"/>
      <c r="H402" s="255"/>
      <c r="I402" s="255"/>
      <c r="J402" s="256">
        <f>J399*15%</f>
        <v>1232.1199999999999</v>
      </c>
      <c r="K402" s="256"/>
      <c r="L402" s="256">
        <f>L399*15%</f>
        <v>29854.19</v>
      </c>
      <c r="M402" s="370"/>
      <c r="N402" s="371"/>
      <c r="O402" s="371"/>
      <c r="P402" s="371"/>
      <c r="Q402" s="371"/>
      <c r="R402" s="371"/>
      <c r="S402" s="371"/>
      <c r="T402" s="371"/>
      <c r="U402" s="371"/>
      <c r="V402" s="371"/>
      <c r="W402" s="371"/>
      <c r="X402" s="371"/>
      <c r="Y402" s="371"/>
      <c r="Z402" s="371"/>
      <c r="AA402" s="371"/>
      <c r="AB402" s="371"/>
      <c r="AC402" s="371"/>
      <c r="AD402" s="371"/>
      <c r="AE402" s="371"/>
      <c r="AF402" s="371"/>
      <c r="AG402" s="371"/>
      <c r="AH402" s="371"/>
      <c r="AI402" s="371"/>
      <c r="AJ402" s="371"/>
      <c r="AK402" s="371"/>
      <c r="AL402" s="371"/>
      <c r="AM402" s="371"/>
      <c r="AN402" s="371"/>
      <c r="AO402" s="371"/>
      <c r="AP402" s="371"/>
      <c r="AQ402" s="371"/>
      <c r="AR402" s="371"/>
      <c r="AS402" s="371"/>
      <c r="AT402" s="371"/>
      <c r="AU402" s="371"/>
      <c r="AV402" s="371"/>
      <c r="AW402" s="371"/>
      <c r="AX402" s="371"/>
      <c r="AY402" s="371"/>
      <c r="AZ402" s="371"/>
      <c r="BA402" s="371"/>
      <c r="BB402" s="371"/>
      <c r="BC402" s="371"/>
      <c r="BD402" s="371"/>
      <c r="BE402" s="371"/>
      <c r="BF402" s="371"/>
      <c r="BG402" s="371"/>
      <c r="BH402" s="371"/>
      <c r="BI402" s="371"/>
      <c r="BJ402" s="371"/>
      <c r="BK402" s="371"/>
      <c r="BL402" s="371"/>
      <c r="BM402" s="371"/>
      <c r="BN402" s="371"/>
      <c r="BO402" s="371"/>
      <c r="BP402" s="371"/>
      <c r="BQ402" s="371"/>
      <c r="BR402" s="371"/>
      <c r="BS402" s="371"/>
      <c r="BT402" s="371"/>
      <c r="BU402" s="371"/>
      <c r="BV402" s="371"/>
      <c r="BW402" s="371"/>
      <c r="BX402" s="371"/>
      <c r="BY402" s="371"/>
      <c r="BZ402" s="371"/>
      <c r="CA402" s="371"/>
      <c r="CB402" s="371"/>
      <c r="CC402" s="371"/>
      <c r="CD402" s="371"/>
      <c r="CE402" s="371"/>
      <c r="CF402" s="371"/>
      <c r="CG402" s="371"/>
      <c r="CH402" s="371"/>
      <c r="CI402" s="371"/>
      <c r="CJ402" s="371"/>
      <c r="CK402" s="371"/>
      <c r="CL402" s="371"/>
      <c r="CM402" s="371"/>
      <c r="CN402" s="371"/>
      <c r="CO402" s="371"/>
      <c r="CP402" s="371"/>
      <c r="CQ402" s="371"/>
      <c r="CR402" s="371"/>
      <c r="CS402" s="371"/>
      <c r="CT402" s="371"/>
      <c r="CU402" s="371"/>
      <c r="CV402" s="371"/>
      <c r="CW402" s="371"/>
      <c r="CX402" s="371"/>
      <c r="CY402" s="371"/>
      <c r="CZ402" s="371"/>
      <c r="DA402" s="371"/>
      <c r="DB402" s="371"/>
      <c r="DC402" s="371"/>
      <c r="DD402" s="371"/>
      <c r="DE402" s="371"/>
      <c r="DF402" s="371"/>
      <c r="DG402" s="371"/>
      <c r="DH402" s="371"/>
      <c r="DI402" s="371"/>
      <c r="DJ402" s="371"/>
      <c r="DK402" s="371"/>
      <c r="DL402" s="371"/>
      <c r="DM402" s="371"/>
      <c r="DN402" s="371"/>
      <c r="DO402" s="371"/>
      <c r="DP402" s="371"/>
      <c r="DQ402" s="371"/>
      <c r="DR402" s="371"/>
      <c r="DS402" s="371"/>
      <c r="DT402" s="371"/>
      <c r="DU402" s="371"/>
      <c r="DV402" s="371"/>
      <c r="DW402" s="371"/>
      <c r="DX402" s="371"/>
      <c r="DY402" s="371"/>
      <c r="DZ402" s="371"/>
      <c r="EA402" s="371"/>
      <c r="EB402" s="371"/>
      <c r="EC402" s="371"/>
      <c r="ED402" s="371"/>
      <c r="EE402" s="371"/>
      <c r="EF402" s="371"/>
      <c r="EG402" s="371"/>
      <c r="EH402" s="371"/>
      <c r="EI402" s="371"/>
      <c r="EJ402" s="371"/>
      <c r="EK402" s="371"/>
      <c r="EL402" s="371"/>
      <c r="EM402" s="371"/>
      <c r="EN402" s="371"/>
      <c r="EO402" s="371"/>
      <c r="EP402" s="371"/>
      <c r="EQ402" s="371"/>
      <c r="ER402" s="371"/>
      <c r="ES402" s="371"/>
      <c r="ET402" s="371"/>
      <c r="EU402" s="371"/>
      <c r="EV402" s="371"/>
      <c r="EW402" s="371"/>
      <c r="EX402" s="371"/>
      <c r="EY402" s="371"/>
      <c r="EZ402" s="371"/>
      <c r="FA402" s="371"/>
      <c r="FB402" s="371"/>
      <c r="FC402" s="371"/>
      <c r="FD402" s="371"/>
      <c r="FE402" s="371"/>
      <c r="FF402" s="371"/>
      <c r="FG402" s="371"/>
      <c r="FH402" s="371"/>
      <c r="FI402" s="371"/>
      <c r="FJ402" s="371"/>
      <c r="FK402" s="371"/>
      <c r="FL402" s="371"/>
      <c r="FM402" s="371"/>
      <c r="FN402" s="371"/>
      <c r="FO402" s="371"/>
      <c r="FP402" s="371"/>
      <c r="FQ402" s="371"/>
      <c r="FR402" s="371"/>
      <c r="FS402" s="371"/>
      <c r="FT402" s="371"/>
      <c r="FU402" s="371"/>
      <c r="FV402" s="371"/>
      <c r="FW402" s="371"/>
      <c r="FX402" s="371"/>
      <c r="FY402" s="371"/>
      <c r="FZ402" s="371"/>
      <c r="GA402" s="371"/>
      <c r="GB402" s="371"/>
      <c r="GC402" s="371"/>
      <c r="GD402" s="371"/>
      <c r="GE402" s="371"/>
      <c r="GF402" s="371"/>
      <c r="GG402" s="371"/>
      <c r="GH402" s="371"/>
      <c r="GI402" s="371"/>
      <c r="GJ402" s="371"/>
      <c r="GK402" s="371"/>
      <c r="GL402" s="371"/>
      <c r="GM402" s="371"/>
      <c r="GN402" s="371"/>
      <c r="GO402" s="371"/>
      <c r="GP402" s="371"/>
      <c r="GQ402" s="371"/>
      <c r="GR402" s="371"/>
      <c r="GS402" s="371"/>
      <c r="GT402" s="371"/>
      <c r="GU402" s="371"/>
      <c r="GV402" s="371"/>
      <c r="GW402" s="371"/>
      <c r="GX402" s="371"/>
      <c r="GY402" s="371"/>
      <c r="GZ402" s="371"/>
      <c r="HA402" s="371"/>
      <c r="HB402" s="371"/>
      <c r="HC402" s="371"/>
      <c r="HD402" s="371"/>
      <c r="HE402" s="371"/>
      <c r="HF402" s="371"/>
      <c r="HG402" s="371"/>
      <c r="HH402" s="371"/>
      <c r="HI402" s="371"/>
      <c r="HJ402" s="371"/>
      <c r="HK402" s="371"/>
      <c r="HL402" s="371"/>
      <c r="HM402" s="371"/>
      <c r="HN402" s="371"/>
      <c r="HO402" s="371"/>
      <c r="HP402" s="371"/>
      <c r="HQ402" s="371"/>
      <c r="HR402" s="371"/>
      <c r="HS402" s="371"/>
      <c r="HT402" s="371"/>
      <c r="HU402" s="371"/>
      <c r="HV402" s="371"/>
      <c r="HW402" s="371"/>
      <c r="HX402" s="371"/>
      <c r="HY402" s="371"/>
      <c r="HZ402" s="371"/>
      <c r="IA402" s="371"/>
      <c r="IB402" s="371"/>
      <c r="IC402" s="371"/>
      <c r="ID402" s="371"/>
      <c r="IE402" s="371"/>
      <c r="IF402" s="371"/>
      <c r="IG402" s="371"/>
      <c r="IH402" s="371"/>
      <c r="II402" s="371"/>
      <c r="IJ402" s="371"/>
      <c r="IK402" s="371"/>
      <c r="IL402" s="371"/>
      <c r="IM402" s="371"/>
      <c r="IN402" s="371"/>
      <c r="IO402" s="371"/>
      <c r="IP402" s="371"/>
      <c r="IQ402" s="371"/>
      <c r="IR402" s="371"/>
      <c r="IS402" s="371"/>
      <c r="IT402" s="371"/>
      <c r="IU402" s="371"/>
      <c r="IV402" s="371"/>
    </row>
    <row r="403" spans="1:256" ht="15" x14ac:dyDescent="0.25">
      <c r="A403" s="371"/>
      <c r="B403" s="371"/>
      <c r="C403" s="371"/>
      <c r="D403" s="257" t="s">
        <v>197</v>
      </c>
      <c r="E403" s="258"/>
      <c r="F403" s="258"/>
      <c r="G403" s="258"/>
      <c r="H403" s="258"/>
      <c r="I403" s="258"/>
      <c r="J403" s="259">
        <f>J397+J402</f>
        <v>231829.56</v>
      </c>
      <c r="K403" s="259"/>
      <c r="L403" s="259">
        <f>L397+L402</f>
        <v>1619490.35</v>
      </c>
      <c r="M403" s="370"/>
      <c r="N403" s="371"/>
      <c r="O403" s="371"/>
      <c r="P403" s="371"/>
      <c r="Q403" s="371"/>
      <c r="R403" s="371"/>
      <c r="S403" s="371"/>
      <c r="T403" s="371"/>
      <c r="U403" s="371"/>
      <c r="V403" s="371"/>
      <c r="W403" s="371"/>
      <c r="X403" s="371"/>
      <c r="Y403" s="371"/>
      <c r="Z403" s="371"/>
      <c r="AA403" s="371"/>
      <c r="AB403" s="371"/>
      <c r="AC403" s="371"/>
      <c r="AD403" s="371"/>
      <c r="AE403" s="371"/>
      <c r="AF403" s="371"/>
      <c r="AG403" s="371"/>
      <c r="AH403" s="371"/>
      <c r="AI403" s="371"/>
      <c r="AJ403" s="371"/>
      <c r="AK403" s="371"/>
      <c r="AL403" s="371"/>
      <c r="AM403" s="371"/>
      <c r="AN403" s="371"/>
      <c r="AO403" s="371"/>
      <c r="AP403" s="371"/>
      <c r="AQ403" s="371"/>
      <c r="AR403" s="371"/>
      <c r="AS403" s="371"/>
      <c r="AT403" s="371"/>
      <c r="AU403" s="371"/>
      <c r="AV403" s="371"/>
      <c r="AW403" s="371"/>
      <c r="AX403" s="371"/>
      <c r="AY403" s="371"/>
      <c r="AZ403" s="371"/>
      <c r="BA403" s="371"/>
      <c r="BB403" s="371"/>
      <c r="BC403" s="371"/>
      <c r="BD403" s="371"/>
      <c r="BE403" s="371"/>
      <c r="BF403" s="371"/>
      <c r="BG403" s="371"/>
      <c r="BH403" s="371"/>
      <c r="BI403" s="371"/>
      <c r="BJ403" s="371"/>
      <c r="BK403" s="371"/>
      <c r="BL403" s="371"/>
      <c r="BM403" s="371"/>
      <c r="BN403" s="371"/>
      <c r="BO403" s="371"/>
      <c r="BP403" s="371"/>
      <c r="BQ403" s="371"/>
      <c r="BR403" s="371"/>
      <c r="BS403" s="371"/>
      <c r="BT403" s="371"/>
      <c r="BU403" s="371"/>
      <c r="BV403" s="371"/>
      <c r="BW403" s="371"/>
      <c r="BX403" s="371"/>
      <c r="BY403" s="371"/>
      <c r="BZ403" s="371"/>
      <c r="CA403" s="371"/>
      <c r="CB403" s="371"/>
      <c r="CC403" s="371"/>
      <c r="CD403" s="371"/>
      <c r="CE403" s="371"/>
      <c r="CF403" s="371"/>
      <c r="CG403" s="371"/>
      <c r="CH403" s="371"/>
      <c r="CI403" s="371"/>
      <c r="CJ403" s="371"/>
      <c r="CK403" s="371"/>
      <c r="CL403" s="371"/>
      <c r="CM403" s="371"/>
      <c r="CN403" s="371"/>
      <c r="CO403" s="371"/>
      <c r="CP403" s="371"/>
      <c r="CQ403" s="371"/>
      <c r="CR403" s="371"/>
      <c r="CS403" s="371"/>
      <c r="CT403" s="371"/>
      <c r="CU403" s="371"/>
      <c r="CV403" s="371"/>
      <c r="CW403" s="371"/>
      <c r="CX403" s="371"/>
      <c r="CY403" s="371"/>
      <c r="CZ403" s="371"/>
      <c r="DA403" s="371"/>
      <c r="DB403" s="371"/>
      <c r="DC403" s="371"/>
      <c r="DD403" s="371"/>
      <c r="DE403" s="371"/>
      <c r="DF403" s="371"/>
      <c r="DG403" s="371"/>
      <c r="DH403" s="371"/>
      <c r="DI403" s="371"/>
      <c r="DJ403" s="371"/>
      <c r="DK403" s="371"/>
      <c r="DL403" s="371"/>
      <c r="DM403" s="371"/>
      <c r="DN403" s="371"/>
      <c r="DO403" s="371"/>
      <c r="DP403" s="371"/>
      <c r="DQ403" s="371"/>
      <c r="DR403" s="371"/>
      <c r="DS403" s="371"/>
      <c r="DT403" s="371"/>
      <c r="DU403" s="371"/>
      <c r="DV403" s="371"/>
      <c r="DW403" s="371"/>
      <c r="DX403" s="371"/>
      <c r="DY403" s="371"/>
      <c r="DZ403" s="371"/>
      <c r="EA403" s="371"/>
      <c r="EB403" s="371"/>
      <c r="EC403" s="371"/>
      <c r="ED403" s="371"/>
      <c r="EE403" s="371"/>
      <c r="EF403" s="371"/>
      <c r="EG403" s="371"/>
      <c r="EH403" s="371"/>
      <c r="EI403" s="371"/>
      <c r="EJ403" s="371"/>
      <c r="EK403" s="371"/>
      <c r="EL403" s="371"/>
      <c r="EM403" s="371"/>
      <c r="EN403" s="371"/>
      <c r="EO403" s="371"/>
      <c r="EP403" s="371"/>
      <c r="EQ403" s="371"/>
      <c r="ER403" s="371"/>
      <c r="ES403" s="371"/>
      <c r="ET403" s="371"/>
      <c r="EU403" s="371"/>
      <c r="EV403" s="371"/>
      <c r="EW403" s="371"/>
      <c r="EX403" s="371"/>
      <c r="EY403" s="371"/>
      <c r="EZ403" s="371"/>
      <c r="FA403" s="371"/>
      <c r="FB403" s="371"/>
      <c r="FC403" s="371"/>
      <c r="FD403" s="371"/>
      <c r="FE403" s="371"/>
      <c r="FF403" s="371"/>
      <c r="FG403" s="371"/>
      <c r="FH403" s="371"/>
      <c r="FI403" s="371"/>
      <c r="FJ403" s="371"/>
      <c r="FK403" s="371"/>
      <c r="FL403" s="371"/>
      <c r="FM403" s="371"/>
      <c r="FN403" s="371"/>
      <c r="FO403" s="371"/>
      <c r="FP403" s="371"/>
      <c r="FQ403" s="371"/>
      <c r="FR403" s="371"/>
      <c r="FS403" s="371"/>
      <c r="FT403" s="371"/>
      <c r="FU403" s="371"/>
      <c r="FV403" s="371"/>
      <c r="FW403" s="371"/>
      <c r="FX403" s="371"/>
      <c r="FY403" s="371"/>
      <c r="FZ403" s="371"/>
      <c r="GA403" s="371"/>
      <c r="GB403" s="371"/>
      <c r="GC403" s="371"/>
      <c r="GD403" s="371"/>
      <c r="GE403" s="371"/>
      <c r="GF403" s="371"/>
      <c r="GG403" s="371"/>
      <c r="GH403" s="371"/>
      <c r="GI403" s="371"/>
      <c r="GJ403" s="371"/>
      <c r="GK403" s="371"/>
      <c r="GL403" s="371"/>
      <c r="GM403" s="371"/>
      <c r="GN403" s="371"/>
      <c r="GO403" s="371"/>
      <c r="GP403" s="371"/>
      <c r="GQ403" s="371"/>
      <c r="GR403" s="371"/>
      <c r="GS403" s="371"/>
      <c r="GT403" s="371"/>
      <c r="GU403" s="371"/>
      <c r="GV403" s="371"/>
      <c r="GW403" s="371"/>
      <c r="GX403" s="371"/>
      <c r="GY403" s="371"/>
      <c r="GZ403" s="371"/>
      <c r="HA403" s="371"/>
      <c r="HB403" s="371"/>
      <c r="HC403" s="371"/>
      <c r="HD403" s="371"/>
      <c r="HE403" s="371"/>
      <c r="HF403" s="371"/>
      <c r="HG403" s="371"/>
      <c r="HH403" s="371"/>
      <c r="HI403" s="371"/>
      <c r="HJ403" s="371"/>
      <c r="HK403" s="371"/>
      <c r="HL403" s="371"/>
      <c r="HM403" s="371"/>
      <c r="HN403" s="371"/>
      <c r="HO403" s="371"/>
      <c r="HP403" s="371"/>
      <c r="HQ403" s="371"/>
      <c r="HR403" s="371"/>
      <c r="HS403" s="371"/>
      <c r="HT403" s="371"/>
      <c r="HU403" s="371"/>
      <c r="HV403" s="371"/>
      <c r="HW403" s="371"/>
      <c r="HX403" s="371"/>
      <c r="HY403" s="371"/>
      <c r="HZ403" s="371"/>
      <c r="IA403" s="371"/>
      <c r="IB403" s="371"/>
      <c r="IC403" s="371"/>
      <c r="ID403" s="371"/>
      <c r="IE403" s="371"/>
      <c r="IF403" s="371"/>
      <c r="IG403" s="371"/>
      <c r="IH403" s="371"/>
      <c r="II403" s="371"/>
      <c r="IJ403" s="371"/>
      <c r="IK403" s="371"/>
      <c r="IL403" s="371"/>
      <c r="IM403" s="371"/>
      <c r="IN403" s="371"/>
      <c r="IO403" s="371"/>
      <c r="IP403" s="371"/>
      <c r="IQ403" s="371"/>
      <c r="IR403" s="371"/>
      <c r="IS403" s="371"/>
      <c r="IT403" s="371"/>
      <c r="IU403" s="371"/>
      <c r="IV403" s="371"/>
    </row>
    <row r="404" spans="1:256" ht="14.25" x14ac:dyDescent="0.2">
      <c r="A404" s="375"/>
      <c r="B404" s="375"/>
      <c r="C404" s="375"/>
      <c r="D404" s="241"/>
      <c r="E404" s="241"/>
      <c r="F404" s="241"/>
      <c r="G404" s="241"/>
      <c r="H404" s="241"/>
      <c r="I404" s="241"/>
      <c r="J404" s="241"/>
      <c r="K404" s="241"/>
      <c r="L404" s="241"/>
      <c r="M404" s="374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75"/>
      <c r="AA404" s="375"/>
      <c r="AB404" s="375"/>
      <c r="AC404" s="375"/>
      <c r="AD404" s="375"/>
      <c r="AE404" s="375"/>
      <c r="AF404" s="375"/>
      <c r="AG404" s="375"/>
      <c r="AH404" s="375"/>
      <c r="AI404" s="375"/>
      <c r="AJ404" s="375"/>
      <c r="AK404" s="375"/>
      <c r="AL404" s="375"/>
      <c r="AM404" s="375"/>
      <c r="AN404" s="375"/>
      <c r="AO404" s="375"/>
      <c r="AP404" s="375"/>
      <c r="AQ404" s="375"/>
      <c r="AR404" s="375"/>
      <c r="AS404" s="375"/>
      <c r="AT404" s="375"/>
      <c r="AU404" s="375"/>
      <c r="AV404" s="375"/>
      <c r="AW404" s="375"/>
      <c r="AX404" s="375"/>
      <c r="AY404" s="375"/>
      <c r="AZ404" s="375"/>
      <c r="BA404" s="375"/>
      <c r="BB404" s="375"/>
      <c r="BC404" s="375"/>
      <c r="BD404" s="375"/>
      <c r="BE404" s="375"/>
      <c r="BF404" s="375"/>
      <c r="BG404" s="375"/>
      <c r="BH404" s="375"/>
      <c r="BI404" s="375"/>
      <c r="BJ404" s="375"/>
      <c r="BK404" s="375"/>
      <c r="BL404" s="375"/>
      <c r="BM404" s="375"/>
      <c r="BN404" s="375"/>
      <c r="BO404" s="375"/>
      <c r="BP404" s="375"/>
      <c r="BQ404" s="375"/>
      <c r="BR404" s="375"/>
      <c r="BS404" s="375"/>
      <c r="BT404" s="375"/>
      <c r="BU404" s="375"/>
      <c r="BV404" s="375"/>
      <c r="BW404" s="375"/>
      <c r="BX404" s="375"/>
      <c r="BY404" s="375"/>
      <c r="BZ404" s="375"/>
      <c r="CA404" s="375"/>
      <c r="CB404" s="375"/>
      <c r="CC404" s="375"/>
      <c r="CD404" s="375"/>
      <c r="CE404" s="375"/>
      <c r="CF404" s="375"/>
      <c r="CG404" s="375"/>
      <c r="CH404" s="375"/>
      <c r="CI404" s="375"/>
      <c r="CJ404" s="375"/>
      <c r="CK404" s="375"/>
      <c r="CL404" s="375"/>
      <c r="CM404" s="375"/>
      <c r="CN404" s="375"/>
      <c r="CO404" s="375"/>
      <c r="CP404" s="375"/>
      <c r="CQ404" s="375"/>
      <c r="CR404" s="375"/>
      <c r="CS404" s="375"/>
      <c r="CT404" s="375"/>
      <c r="CU404" s="375"/>
      <c r="CV404" s="375"/>
      <c r="CW404" s="375"/>
      <c r="CX404" s="375"/>
      <c r="CY404" s="375"/>
      <c r="CZ404" s="375"/>
      <c r="DA404" s="375"/>
      <c r="DB404" s="375"/>
      <c r="DC404" s="375"/>
      <c r="DD404" s="375"/>
      <c r="DE404" s="375"/>
      <c r="DF404" s="375"/>
      <c r="DG404" s="375"/>
      <c r="DH404" s="375"/>
      <c r="DI404" s="375"/>
      <c r="DJ404" s="375"/>
      <c r="DK404" s="375"/>
      <c r="DL404" s="375"/>
      <c r="DM404" s="375"/>
      <c r="DN404" s="375"/>
      <c r="DO404" s="375"/>
      <c r="DP404" s="375"/>
      <c r="DQ404" s="375"/>
      <c r="DR404" s="375"/>
      <c r="DS404" s="375"/>
      <c r="DT404" s="375"/>
      <c r="DU404" s="375"/>
      <c r="DV404" s="375"/>
      <c r="DW404" s="375"/>
      <c r="DX404" s="375"/>
      <c r="DY404" s="375"/>
      <c r="DZ404" s="375"/>
      <c r="EA404" s="375"/>
      <c r="EB404" s="375"/>
      <c r="EC404" s="375"/>
      <c r="ED404" s="375"/>
      <c r="EE404" s="375"/>
      <c r="EF404" s="375"/>
      <c r="EG404" s="375"/>
      <c r="EH404" s="375"/>
      <c r="EI404" s="375"/>
      <c r="EJ404" s="375"/>
      <c r="EK404" s="375"/>
      <c r="EL404" s="375"/>
      <c r="EM404" s="375"/>
      <c r="EN404" s="375"/>
      <c r="EO404" s="375"/>
      <c r="EP404" s="375"/>
      <c r="EQ404" s="375"/>
      <c r="ER404" s="375"/>
      <c r="ES404" s="375"/>
      <c r="ET404" s="375"/>
      <c r="EU404" s="375"/>
      <c r="EV404" s="375"/>
      <c r="EW404" s="375"/>
      <c r="EX404" s="375"/>
      <c r="EY404" s="375"/>
      <c r="EZ404" s="375"/>
      <c r="FA404" s="375"/>
      <c r="FB404" s="375"/>
      <c r="FC404" s="375"/>
      <c r="FD404" s="375"/>
      <c r="FE404" s="375"/>
      <c r="FF404" s="375"/>
      <c r="FG404" s="375"/>
      <c r="FH404" s="375"/>
      <c r="FI404" s="375"/>
      <c r="FJ404" s="375"/>
      <c r="FK404" s="375"/>
      <c r="FL404" s="375"/>
      <c r="FM404" s="375"/>
      <c r="FN404" s="375"/>
      <c r="FO404" s="375"/>
      <c r="FP404" s="375"/>
      <c r="FQ404" s="375"/>
      <c r="FR404" s="375"/>
      <c r="FS404" s="375"/>
      <c r="FT404" s="375"/>
      <c r="FU404" s="375"/>
      <c r="FV404" s="375"/>
      <c r="FW404" s="375"/>
      <c r="FX404" s="375"/>
      <c r="FY404" s="375"/>
      <c r="FZ404" s="375"/>
      <c r="GA404" s="375"/>
      <c r="GB404" s="375"/>
      <c r="GC404" s="375"/>
      <c r="GD404" s="375"/>
      <c r="GE404" s="375"/>
      <c r="GF404" s="375"/>
      <c r="GG404" s="375"/>
      <c r="GH404" s="375"/>
      <c r="GI404" s="375"/>
      <c r="GJ404" s="375"/>
      <c r="GK404" s="375"/>
      <c r="GL404" s="375"/>
      <c r="GM404" s="375"/>
      <c r="GN404" s="375"/>
      <c r="GO404" s="375"/>
      <c r="GP404" s="375"/>
      <c r="GQ404" s="375"/>
      <c r="GR404" s="375"/>
      <c r="GS404" s="375"/>
      <c r="GT404" s="375"/>
      <c r="GU404" s="375"/>
      <c r="GV404" s="375"/>
      <c r="GW404" s="375"/>
      <c r="GX404" s="375"/>
      <c r="GY404" s="375"/>
      <c r="GZ404" s="375"/>
      <c r="HA404" s="375"/>
      <c r="HB404" s="375"/>
      <c r="HC404" s="375"/>
      <c r="HD404" s="375"/>
      <c r="HE404" s="375"/>
      <c r="HF404" s="375"/>
      <c r="HG404" s="375"/>
      <c r="HH404" s="375"/>
      <c r="HI404" s="375"/>
      <c r="HJ404" s="375"/>
      <c r="HK404" s="375"/>
      <c r="HL404" s="375"/>
      <c r="HM404" s="375"/>
      <c r="HN404" s="375"/>
      <c r="HO404" s="375"/>
      <c r="HP404" s="375"/>
      <c r="HQ404" s="375"/>
      <c r="HR404" s="375"/>
      <c r="HS404" s="375"/>
      <c r="HT404" s="375"/>
      <c r="HU404" s="375"/>
      <c r="HV404" s="375"/>
      <c r="HW404" s="375"/>
      <c r="HX404" s="375"/>
      <c r="HY404" s="375"/>
      <c r="HZ404" s="375"/>
      <c r="IA404" s="375"/>
      <c r="IB404" s="375"/>
      <c r="IC404" s="375"/>
      <c r="ID404" s="375"/>
      <c r="IE404" s="375"/>
      <c r="IF404" s="375"/>
      <c r="IG404" s="375"/>
      <c r="IH404" s="375"/>
      <c r="II404" s="375"/>
      <c r="IJ404" s="375"/>
      <c r="IK404" s="375"/>
      <c r="IL404" s="375"/>
      <c r="IM404" s="375"/>
      <c r="IN404" s="375"/>
      <c r="IO404" s="375"/>
      <c r="IP404" s="375"/>
      <c r="IQ404" s="375"/>
      <c r="IR404" s="375"/>
      <c r="IS404" s="375"/>
      <c r="IT404" s="375"/>
      <c r="IU404" s="375"/>
      <c r="IV404" s="375"/>
    </row>
    <row r="405" spans="1:256" ht="14.25" x14ac:dyDescent="0.2">
      <c r="A405" s="375"/>
      <c r="B405" s="375"/>
      <c r="C405" s="375"/>
      <c r="D405" s="241"/>
      <c r="E405" s="241"/>
      <c r="F405" s="241"/>
      <c r="G405" s="241"/>
      <c r="H405" s="241"/>
      <c r="I405" s="241"/>
      <c r="J405" s="241"/>
      <c r="K405" s="241"/>
      <c r="L405" s="241"/>
      <c r="M405" s="374"/>
      <c r="N405" s="375"/>
      <c r="O405" s="375"/>
      <c r="P405" s="375"/>
      <c r="Q405" s="375"/>
      <c r="R405" s="375"/>
      <c r="S405" s="375"/>
      <c r="T405" s="375"/>
      <c r="U405" s="375"/>
      <c r="V405" s="375"/>
      <c r="W405" s="375"/>
      <c r="X405" s="375"/>
      <c r="Y405" s="375"/>
      <c r="Z405" s="375"/>
      <c r="AA405" s="375"/>
      <c r="AB405" s="375"/>
      <c r="AC405" s="375"/>
      <c r="AD405" s="375"/>
      <c r="AE405" s="375"/>
      <c r="AF405" s="375"/>
      <c r="AG405" s="375"/>
      <c r="AH405" s="375"/>
      <c r="AI405" s="375"/>
      <c r="AJ405" s="375"/>
      <c r="AK405" s="375"/>
      <c r="AL405" s="375"/>
      <c r="AM405" s="375"/>
      <c r="AN405" s="375"/>
      <c r="AO405" s="375"/>
      <c r="AP405" s="375"/>
      <c r="AQ405" s="375"/>
      <c r="AR405" s="375"/>
      <c r="AS405" s="375"/>
      <c r="AT405" s="375"/>
      <c r="AU405" s="375"/>
      <c r="AV405" s="375"/>
      <c r="AW405" s="375"/>
      <c r="AX405" s="375"/>
      <c r="AY405" s="375"/>
      <c r="AZ405" s="375"/>
      <c r="BA405" s="375"/>
      <c r="BB405" s="375"/>
      <c r="BC405" s="375"/>
      <c r="BD405" s="375"/>
      <c r="BE405" s="375"/>
      <c r="BF405" s="375"/>
      <c r="BG405" s="375"/>
      <c r="BH405" s="375"/>
      <c r="BI405" s="375"/>
      <c r="BJ405" s="375"/>
      <c r="BK405" s="375"/>
      <c r="BL405" s="375"/>
      <c r="BM405" s="375"/>
      <c r="BN405" s="375"/>
      <c r="BO405" s="375"/>
      <c r="BP405" s="375"/>
      <c r="BQ405" s="375"/>
      <c r="BR405" s="375"/>
      <c r="BS405" s="375"/>
      <c r="BT405" s="375"/>
      <c r="BU405" s="375"/>
      <c r="BV405" s="375"/>
      <c r="BW405" s="375"/>
      <c r="BX405" s="375"/>
      <c r="BY405" s="375"/>
      <c r="BZ405" s="375"/>
      <c r="CA405" s="375"/>
      <c r="CB405" s="375"/>
      <c r="CC405" s="375"/>
      <c r="CD405" s="375"/>
      <c r="CE405" s="375"/>
      <c r="CF405" s="375"/>
      <c r="CG405" s="375"/>
      <c r="CH405" s="375"/>
      <c r="CI405" s="375"/>
      <c r="CJ405" s="375"/>
      <c r="CK405" s="375"/>
      <c r="CL405" s="375"/>
      <c r="CM405" s="375"/>
      <c r="CN405" s="375"/>
      <c r="CO405" s="375"/>
      <c r="CP405" s="375"/>
      <c r="CQ405" s="375"/>
      <c r="CR405" s="375"/>
      <c r="CS405" s="375"/>
      <c r="CT405" s="375"/>
      <c r="CU405" s="375"/>
      <c r="CV405" s="375"/>
      <c r="CW405" s="375"/>
      <c r="CX405" s="375"/>
      <c r="CY405" s="375"/>
      <c r="CZ405" s="375"/>
      <c r="DA405" s="375"/>
      <c r="DB405" s="375"/>
      <c r="DC405" s="375"/>
      <c r="DD405" s="375"/>
      <c r="DE405" s="375"/>
      <c r="DF405" s="375"/>
      <c r="DG405" s="375"/>
      <c r="DH405" s="375"/>
      <c r="DI405" s="375"/>
      <c r="DJ405" s="375"/>
      <c r="DK405" s="375"/>
      <c r="DL405" s="375"/>
      <c r="DM405" s="375"/>
      <c r="DN405" s="375"/>
      <c r="DO405" s="375"/>
      <c r="DP405" s="375"/>
      <c r="DQ405" s="375"/>
      <c r="DR405" s="375"/>
      <c r="DS405" s="375"/>
      <c r="DT405" s="375"/>
      <c r="DU405" s="375"/>
      <c r="DV405" s="375"/>
      <c r="DW405" s="375"/>
      <c r="DX405" s="375"/>
      <c r="DY405" s="375"/>
      <c r="DZ405" s="375"/>
      <c r="EA405" s="375"/>
      <c r="EB405" s="375"/>
      <c r="EC405" s="375"/>
      <c r="ED405" s="375"/>
      <c r="EE405" s="375"/>
      <c r="EF405" s="375"/>
      <c r="EG405" s="375"/>
      <c r="EH405" s="375"/>
      <c r="EI405" s="375"/>
      <c r="EJ405" s="375"/>
      <c r="EK405" s="375"/>
      <c r="EL405" s="375"/>
      <c r="EM405" s="375"/>
      <c r="EN405" s="375"/>
      <c r="EO405" s="375"/>
      <c r="EP405" s="375"/>
      <c r="EQ405" s="375"/>
      <c r="ER405" s="375"/>
      <c r="ES405" s="375"/>
      <c r="ET405" s="375"/>
      <c r="EU405" s="375"/>
      <c r="EV405" s="375"/>
      <c r="EW405" s="375"/>
      <c r="EX405" s="375"/>
      <c r="EY405" s="375"/>
      <c r="EZ405" s="375"/>
      <c r="FA405" s="375"/>
      <c r="FB405" s="375"/>
      <c r="FC405" s="375"/>
      <c r="FD405" s="375"/>
      <c r="FE405" s="375"/>
      <c r="FF405" s="375"/>
      <c r="FG405" s="375"/>
      <c r="FH405" s="375"/>
      <c r="FI405" s="375"/>
      <c r="FJ405" s="375"/>
      <c r="FK405" s="375"/>
      <c r="FL405" s="375"/>
      <c r="FM405" s="375"/>
      <c r="FN405" s="375"/>
      <c r="FO405" s="375"/>
      <c r="FP405" s="375"/>
      <c r="FQ405" s="375"/>
      <c r="FR405" s="375"/>
      <c r="FS405" s="375"/>
      <c r="FT405" s="375"/>
      <c r="FU405" s="375"/>
      <c r="FV405" s="375"/>
      <c r="FW405" s="375"/>
      <c r="FX405" s="375"/>
      <c r="FY405" s="375"/>
      <c r="FZ405" s="375"/>
      <c r="GA405" s="375"/>
      <c r="GB405" s="375"/>
      <c r="GC405" s="375"/>
      <c r="GD405" s="375"/>
      <c r="GE405" s="375"/>
      <c r="GF405" s="375"/>
      <c r="GG405" s="375"/>
      <c r="GH405" s="375"/>
      <c r="GI405" s="375"/>
      <c r="GJ405" s="375"/>
      <c r="GK405" s="375"/>
      <c r="GL405" s="375"/>
      <c r="GM405" s="375"/>
      <c r="GN405" s="375"/>
      <c r="GO405" s="375"/>
      <c r="GP405" s="375"/>
      <c r="GQ405" s="375"/>
      <c r="GR405" s="375"/>
      <c r="GS405" s="375"/>
      <c r="GT405" s="375"/>
      <c r="GU405" s="375"/>
      <c r="GV405" s="375"/>
      <c r="GW405" s="375"/>
      <c r="GX405" s="375"/>
      <c r="GY405" s="375"/>
      <c r="GZ405" s="375"/>
      <c r="HA405" s="375"/>
      <c r="HB405" s="375"/>
      <c r="HC405" s="375"/>
      <c r="HD405" s="375"/>
      <c r="HE405" s="375"/>
      <c r="HF405" s="375"/>
      <c r="HG405" s="375"/>
      <c r="HH405" s="375"/>
      <c r="HI405" s="375"/>
      <c r="HJ405" s="375"/>
      <c r="HK405" s="375"/>
      <c r="HL405" s="375"/>
      <c r="HM405" s="375"/>
      <c r="HN405" s="375"/>
      <c r="HO405" s="375"/>
      <c r="HP405" s="375"/>
      <c r="HQ405" s="375"/>
      <c r="HR405" s="375"/>
      <c r="HS405" s="375"/>
      <c r="HT405" s="375"/>
      <c r="HU405" s="375"/>
      <c r="HV405" s="375"/>
      <c r="HW405" s="375"/>
      <c r="HX405" s="375"/>
      <c r="HY405" s="375"/>
      <c r="HZ405" s="375"/>
      <c r="IA405" s="375"/>
      <c r="IB405" s="375"/>
      <c r="IC405" s="375"/>
      <c r="ID405" s="375"/>
      <c r="IE405" s="375"/>
      <c r="IF405" s="375"/>
      <c r="IG405" s="375"/>
      <c r="IH405" s="375"/>
      <c r="II405" s="375"/>
      <c r="IJ405" s="375"/>
      <c r="IK405" s="375"/>
      <c r="IL405" s="375"/>
      <c r="IM405" s="375"/>
      <c r="IN405" s="375"/>
      <c r="IO405" s="375"/>
      <c r="IP405" s="375"/>
      <c r="IQ405" s="375"/>
      <c r="IR405" s="375"/>
      <c r="IS405" s="375"/>
      <c r="IT405" s="375"/>
      <c r="IU405" s="375"/>
      <c r="IV405" s="375"/>
    </row>
    <row r="406" spans="1:256" ht="15" x14ac:dyDescent="0.25">
      <c r="A406" s="403"/>
      <c r="B406" s="403"/>
      <c r="C406" s="403"/>
      <c r="D406" s="257" t="s">
        <v>198</v>
      </c>
      <c r="E406" s="255"/>
      <c r="F406" s="255"/>
      <c r="G406" s="255"/>
      <c r="H406" s="255"/>
      <c r="I406" s="255"/>
      <c r="J406" s="260">
        <f>(J397-J400)*0.925+J400</f>
        <v>228667.58</v>
      </c>
      <c r="K406" s="260"/>
      <c r="L406" s="260">
        <f>L397*0.925</f>
        <v>1470413.45</v>
      </c>
      <c r="M406" s="287"/>
      <c r="N406" s="275"/>
      <c r="O406" s="275"/>
      <c r="P406" s="275"/>
      <c r="Q406" s="275"/>
      <c r="R406" s="275"/>
      <c r="S406" s="275"/>
      <c r="T406" s="275"/>
      <c r="U406" s="275"/>
      <c r="V406" s="275"/>
      <c r="W406" s="275"/>
      <c r="X406" s="275"/>
      <c r="Y406" s="275"/>
      <c r="Z406" s="275"/>
      <c r="AA406" s="275"/>
      <c r="AB406" s="275"/>
      <c r="AC406" s="275"/>
      <c r="AD406" s="275"/>
      <c r="AE406" s="275"/>
      <c r="AF406" s="275"/>
      <c r="AG406" s="275"/>
      <c r="AH406" s="275"/>
      <c r="AI406" s="275"/>
      <c r="AJ406" s="275"/>
      <c r="AK406" s="275"/>
      <c r="AL406" s="275"/>
      <c r="AM406" s="275"/>
      <c r="AN406" s="275"/>
      <c r="AO406" s="275"/>
      <c r="AP406" s="275"/>
      <c r="AQ406" s="275"/>
      <c r="AR406" s="275"/>
      <c r="AS406" s="275"/>
      <c r="AT406" s="275"/>
      <c r="AU406" s="275"/>
      <c r="AV406" s="275"/>
      <c r="AW406" s="275"/>
      <c r="AX406" s="275"/>
      <c r="AY406" s="275"/>
      <c r="AZ406" s="275"/>
      <c r="BA406" s="275"/>
      <c r="BB406" s="275"/>
      <c r="BC406" s="275"/>
      <c r="BD406" s="275"/>
      <c r="BE406" s="275"/>
      <c r="BF406" s="275"/>
      <c r="BG406" s="275"/>
      <c r="BH406" s="275"/>
      <c r="BI406" s="275"/>
      <c r="BJ406" s="275"/>
      <c r="BK406" s="275"/>
      <c r="BL406" s="275"/>
      <c r="BM406" s="275"/>
      <c r="BN406" s="275"/>
      <c r="BO406" s="275"/>
      <c r="BP406" s="275"/>
      <c r="BQ406" s="275"/>
      <c r="BR406" s="275"/>
      <c r="BS406" s="275"/>
      <c r="BT406" s="275"/>
      <c r="BU406" s="275"/>
      <c r="BV406" s="275"/>
      <c r="BW406" s="275"/>
      <c r="BX406" s="275"/>
      <c r="BY406" s="275"/>
      <c r="BZ406" s="275"/>
      <c r="CA406" s="275"/>
      <c r="CB406" s="275"/>
      <c r="CC406" s="275"/>
      <c r="CD406" s="275"/>
      <c r="CE406" s="275"/>
      <c r="CF406" s="275"/>
      <c r="CG406" s="275"/>
      <c r="CH406" s="275"/>
      <c r="CI406" s="275"/>
      <c r="CJ406" s="275"/>
      <c r="CK406" s="275"/>
      <c r="CL406" s="275"/>
      <c r="CM406" s="275"/>
      <c r="CN406" s="275"/>
      <c r="CO406" s="275"/>
      <c r="CP406" s="275"/>
      <c r="CQ406" s="275"/>
      <c r="CR406" s="275"/>
      <c r="CS406" s="275"/>
      <c r="CT406" s="275"/>
      <c r="CU406" s="275"/>
      <c r="CV406" s="275"/>
      <c r="CW406" s="275"/>
      <c r="CX406" s="275"/>
      <c r="CY406" s="275"/>
      <c r="CZ406" s="275"/>
      <c r="DA406" s="275"/>
      <c r="DB406" s="275"/>
      <c r="DC406" s="275"/>
      <c r="DD406" s="275"/>
      <c r="DE406" s="275"/>
      <c r="DF406" s="275"/>
      <c r="DG406" s="275"/>
      <c r="DH406" s="275"/>
      <c r="DI406" s="275"/>
      <c r="DJ406" s="275"/>
      <c r="DK406" s="275"/>
      <c r="DL406" s="275"/>
      <c r="DM406" s="275"/>
      <c r="DN406" s="275"/>
      <c r="DO406" s="275"/>
      <c r="DP406" s="275"/>
      <c r="DQ406" s="275"/>
      <c r="DR406" s="275"/>
      <c r="DS406" s="275"/>
      <c r="DT406" s="275"/>
      <c r="DU406" s="275"/>
      <c r="DV406" s="275"/>
      <c r="DW406" s="275"/>
      <c r="DX406" s="275"/>
      <c r="DY406" s="275"/>
      <c r="DZ406" s="275"/>
      <c r="EA406" s="275"/>
      <c r="EB406" s="275"/>
      <c r="EC406" s="275"/>
      <c r="ED406" s="275"/>
      <c r="EE406" s="275"/>
      <c r="EF406" s="275"/>
      <c r="EG406" s="275"/>
      <c r="EH406" s="275"/>
      <c r="EI406" s="275"/>
      <c r="EJ406" s="275"/>
      <c r="EK406" s="275"/>
      <c r="EL406" s="275"/>
      <c r="EM406" s="275"/>
      <c r="EN406" s="275"/>
      <c r="EO406" s="275"/>
      <c r="EP406" s="275"/>
      <c r="EQ406" s="275"/>
      <c r="ER406" s="275"/>
      <c r="ES406" s="275"/>
      <c r="ET406" s="275"/>
      <c r="EU406" s="275"/>
      <c r="EV406" s="275"/>
      <c r="EW406" s="275"/>
      <c r="EX406" s="275"/>
      <c r="EY406" s="275"/>
      <c r="EZ406" s="275"/>
      <c r="FA406" s="275"/>
      <c r="FB406" s="275"/>
      <c r="FC406" s="275"/>
      <c r="FD406" s="275"/>
      <c r="FE406" s="275"/>
      <c r="FF406" s="275"/>
      <c r="FG406" s="275"/>
      <c r="FH406" s="275"/>
      <c r="FI406" s="275"/>
      <c r="FJ406" s="275"/>
      <c r="FK406" s="275"/>
      <c r="FL406" s="275"/>
      <c r="FM406" s="275"/>
      <c r="FN406" s="275"/>
      <c r="FO406" s="275"/>
      <c r="FP406" s="275"/>
      <c r="FQ406" s="275"/>
      <c r="FR406" s="275"/>
      <c r="FS406" s="275"/>
      <c r="FT406" s="275"/>
      <c r="FU406" s="275"/>
      <c r="FV406" s="275"/>
      <c r="FW406" s="275"/>
      <c r="FX406" s="275"/>
      <c r="FY406" s="275"/>
      <c r="FZ406" s="275"/>
      <c r="GA406" s="275"/>
      <c r="GB406" s="275"/>
      <c r="GC406" s="275"/>
      <c r="GD406" s="275"/>
      <c r="GE406" s="275"/>
      <c r="GF406" s="275"/>
      <c r="GG406" s="275"/>
      <c r="GH406" s="275"/>
      <c r="GI406" s="275"/>
      <c r="GJ406" s="275"/>
      <c r="GK406" s="275"/>
      <c r="GL406" s="275"/>
      <c r="GM406" s="275"/>
      <c r="GN406" s="275"/>
      <c r="GO406" s="275"/>
      <c r="GP406" s="275"/>
      <c r="GQ406" s="275"/>
      <c r="GR406" s="275"/>
      <c r="GS406" s="275"/>
      <c r="GT406" s="275"/>
      <c r="GU406" s="275"/>
      <c r="GV406" s="275"/>
      <c r="GW406" s="275"/>
      <c r="GX406" s="275"/>
      <c r="GY406" s="275"/>
      <c r="GZ406" s="275"/>
      <c r="HA406" s="275"/>
      <c r="HB406" s="275"/>
      <c r="HC406" s="275"/>
      <c r="HD406" s="275"/>
      <c r="HE406" s="275"/>
      <c r="HF406" s="275"/>
      <c r="HG406" s="275"/>
      <c r="HH406" s="275"/>
      <c r="HI406" s="275"/>
      <c r="HJ406" s="275"/>
      <c r="HK406" s="275"/>
      <c r="HL406" s="275"/>
      <c r="HM406" s="275"/>
      <c r="HN406" s="275"/>
      <c r="HO406" s="275"/>
      <c r="HP406" s="275"/>
      <c r="HQ406" s="275"/>
      <c r="HR406" s="275"/>
      <c r="HS406" s="275"/>
      <c r="HT406" s="275"/>
      <c r="HU406" s="275"/>
      <c r="HV406" s="275"/>
      <c r="HW406" s="275"/>
      <c r="HX406" s="275"/>
      <c r="HY406" s="275"/>
      <c r="HZ406" s="275"/>
      <c r="IA406" s="275"/>
      <c r="IB406" s="275"/>
      <c r="IC406" s="275"/>
      <c r="ID406" s="275"/>
      <c r="IE406" s="275"/>
      <c r="IF406" s="275"/>
      <c r="IG406" s="275"/>
      <c r="IH406" s="275"/>
      <c r="II406" s="275"/>
      <c r="IJ406" s="275"/>
      <c r="IK406" s="275"/>
      <c r="IL406" s="275"/>
      <c r="IM406" s="275"/>
      <c r="IN406" s="275"/>
      <c r="IO406" s="275"/>
      <c r="IP406" s="275"/>
      <c r="IQ406" s="275"/>
      <c r="IR406" s="275"/>
      <c r="IS406" s="275"/>
      <c r="IT406" s="275"/>
      <c r="IU406" s="275"/>
      <c r="IV406" s="275"/>
    </row>
    <row r="407" spans="1:256" ht="14.25" x14ac:dyDescent="0.2">
      <c r="A407" s="403"/>
      <c r="B407" s="403"/>
      <c r="C407" s="403"/>
      <c r="D407" s="255" t="s">
        <v>69</v>
      </c>
      <c r="E407" s="255"/>
      <c r="F407" s="255"/>
      <c r="G407" s="255"/>
      <c r="H407" s="255"/>
      <c r="I407" s="255"/>
      <c r="J407" s="256">
        <f>J406</f>
        <v>228667.58</v>
      </c>
      <c r="K407" s="256"/>
      <c r="L407" s="256">
        <f>L406</f>
        <v>1470413.45</v>
      </c>
      <c r="M407" s="287"/>
      <c r="N407" s="275"/>
      <c r="O407" s="275"/>
      <c r="P407" s="275"/>
      <c r="Q407" s="275"/>
      <c r="R407" s="275"/>
      <c r="S407" s="275"/>
      <c r="T407" s="275"/>
      <c r="U407" s="275"/>
      <c r="V407" s="275"/>
      <c r="W407" s="275"/>
      <c r="X407" s="275"/>
      <c r="Y407" s="275"/>
      <c r="Z407" s="275"/>
      <c r="AA407" s="275"/>
      <c r="AB407" s="275"/>
      <c r="AC407" s="275"/>
      <c r="AD407" s="275"/>
      <c r="AE407" s="275"/>
      <c r="AF407" s="275"/>
      <c r="AG407" s="275"/>
      <c r="AH407" s="275"/>
      <c r="AI407" s="275"/>
      <c r="AJ407" s="275"/>
      <c r="AK407" s="275"/>
      <c r="AL407" s="275"/>
      <c r="AM407" s="275"/>
      <c r="AN407" s="275"/>
      <c r="AO407" s="275"/>
      <c r="AP407" s="275"/>
      <c r="AQ407" s="275"/>
      <c r="AR407" s="275"/>
      <c r="AS407" s="275"/>
      <c r="AT407" s="275"/>
      <c r="AU407" s="275"/>
      <c r="AV407" s="275"/>
      <c r="AW407" s="275"/>
      <c r="AX407" s="275"/>
      <c r="AY407" s="275"/>
      <c r="AZ407" s="275"/>
      <c r="BA407" s="275"/>
      <c r="BB407" s="275"/>
      <c r="BC407" s="275"/>
      <c r="BD407" s="275"/>
      <c r="BE407" s="275"/>
      <c r="BF407" s="275"/>
      <c r="BG407" s="275"/>
      <c r="BH407" s="275"/>
      <c r="BI407" s="275"/>
      <c r="BJ407" s="275"/>
      <c r="BK407" s="275"/>
      <c r="BL407" s="275"/>
      <c r="BM407" s="275"/>
      <c r="BN407" s="275"/>
      <c r="BO407" s="275"/>
      <c r="BP407" s="275"/>
      <c r="BQ407" s="275"/>
      <c r="BR407" s="275"/>
      <c r="BS407" s="275"/>
      <c r="BT407" s="275"/>
      <c r="BU407" s="275"/>
      <c r="BV407" s="275"/>
      <c r="BW407" s="275"/>
      <c r="BX407" s="275"/>
      <c r="BY407" s="275"/>
      <c r="BZ407" s="275"/>
      <c r="CA407" s="275"/>
      <c r="CB407" s="275"/>
      <c r="CC407" s="275"/>
      <c r="CD407" s="275"/>
      <c r="CE407" s="275"/>
      <c r="CF407" s="275"/>
      <c r="CG407" s="275"/>
      <c r="CH407" s="275"/>
      <c r="CI407" s="275"/>
      <c r="CJ407" s="275"/>
      <c r="CK407" s="275"/>
      <c r="CL407" s="275"/>
      <c r="CM407" s="275"/>
      <c r="CN407" s="275"/>
      <c r="CO407" s="275"/>
      <c r="CP407" s="275"/>
      <c r="CQ407" s="275"/>
      <c r="CR407" s="275"/>
      <c r="CS407" s="275"/>
      <c r="CT407" s="275"/>
      <c r="CU407" s="275"/>
      <c r="CV407" s="275"/>
      <c r="CW407" s="275"/>
      <c r="CX407" s="275"/>
      <c r="CY407" s="275"/>
      <c r="CZ407" s="275"/>
      <c r="DA407" s="275"/>
      <c r="DB407" s="275"/>
      <c r="DC407" s="275"/>
      <c r="DD407" s="275"/>
      <c r="DE407" s="275"/>
      <c r="DF407" s="275"/>
      <c r="DG407" s="275"/>
      <c r="DH407" s="275"/>
      <c r="DI407" s="275"/>
      <c r="DJ407" s="275"/>
      <c r="DK407" s="275"/>
      <c r="DL407" s="275"/>
      <c r="DM407" s="275"/>
      <c r="DN407" s="275"/>
      <c r="DO407" s="275"/>
      <c r="DP407" s="275"/>
      <c r="DQ407" s="275"/>
      <c r="DR407" s="275"/>
      <c r="DS407" s="275"/>
      <c r="DT407" s="275"/>
      <c r="DU407" s="275"/>
      <c r="DV407" s="275"/>
      <c r="DW407" s="275"/>
      <c r="DX407" s="275"/>
      <c r="DY407" s="275"/>
      <c r="DZ407" s="275"/>
      <c r="EA407" s="275"/>
      <c r="EB407" s="275"/>
      <c r="EC407" s="275"/>
      <c r="ED407" s="275"/>
      <c r="EE407" s="275"/>
      <c r="EF407" s="275"/>
      <c r="EG407" s="275"/>
      <c r="EH407" s="275"/>
      <c r="EI407" s="275"/>
      <c r="EJ407" s="275"/>
      <c r="EK407" s="275"/>
      <c r="EL407" s="275"/>
      <c r="EM407" s="275"/>
      <c r="EN407" s="275"/>
      <c r="EO407" s="275"/>
      <c r="EP407" s="275"/>
      <c r="EQ407" s="275"/>
      <c r="ER407" s="275"/>
      <c r="ES407" s="275"/>
      <c r="ET407" s="275"/>
      <c r="EU407" s="275"/>
      <c r="EV407" s="275"/>
      <c r="EW407" s="275"/>
      <c r="EX407" s="275"/>
      <c r="EY407" s="275"/>
      <c r="EZ407" s="275"/>
      <c r="FA407" s="275"/>
      <c r="FB407" s="275"/>
      <c r="FC407" s="275"/>
      <c r="FD407" s="275"/>
      <c r="FE407" s="275"/>
      <c r="FF407" s="275"/>
      <c r="FG407" s="275"/>
      <c r="FH407" s="275"/>
      <c r="FI407" s="275"/>
      <c r="FJ407" s="275"/>
      <c r="FK407" s="275"/>
      <c r="FL407" s="275"/>
      <c r="FM407" s="275"/>
      <c r="FN407" s="275"/>
      <c r="FO407" s="275"/>
      <c r="FP407" s="275"/>
      <c r="FQ407" s="275"/>
      <c r="FR407" s="275"/>
      <c r="FS407" s="275"/>
      <c r="FT407" s="275"/>
      <c r="FU407" s="275"/>
      <c r="FV407" s="275"/>
      <c r="FW407" s="275"/>
      <c r="FX407" s="275"/>
      <c r="FY407" s="275"/>
      <c r="FZ407" s="275"/>
      <c r="GA407" s="275"/>
      <c r="GB407" s="275"/>
      <c r="GC407" s="275"/>
      <c r="GD407" s="275"/>
      <c r="GE407" s="275"/>
      <c r="GF407" s="275"/>
      <c r="GG407" s="275"/>
      <c r="GH407" s="275"/>
      <c r="GI407" s="275"/>
      <c r="GJ407" s="275"/>
      <c r="GK407" s="275"/>
      <c r="GL407" s="275"/>
      <c r="GM407" s="275"/>
      <c r="GN407" s="275"/>
      <c r="GO407" s="275"/>
      <c r="GP407" s="275"/>
      <c r="GQ407" s="275"/>
      <c r="GR407" s="275"/>
      <c r="GS407" s="275"/>
      <c r="GT407" s="275"/>
      <c r="GU407" s="275"/>
      <c r="GV407" s="275"/>
      <c r="GW407" s="275"/>
      <c r="GX407" s="275"/>
      <c r="GY407" s="275"/>
      <c r="GZ407" s="275"/>
      <c r="HA407" s="275"/>
      <c r="HB407" s="275"/>
      <c r="HC407" s="275"/>
      <c r="HD407" s="275"/>
      <c r="HE407" s="275"/>
      <c r="HF407" s="275"/>
      <c r="HG407" s="275"/>
      <c r="HH407" s="275"/>
      <c r="HI407" s="275"/>
      <c r="HJ407" s="275"/>
      <c r="HK407" s="275"/>
      <c r="HL407" s="275"/>
      <c r="HM407" s="275"/>
      <c r="HN407" s="275"/>
      <c r="HO407" s="275"/>
      <c r="HP407" s="275"/>
      <c r="HQ407" s="275"/>
      <c r="HR407" s="275"/>
      <c r="HS407" s="275"/>
      <c r="HT407" s="275"/>
      <c r="HU407" s="275"/>
      <c r="HV407" s="275"/>
      <c r="HW407" s="275"/>
      <c r="HX407" s="275"/>
      <c r="HY407" s="275"/>
      <c r="HZ407" s="275"/>
      <c r="IA407" s="275"/>
      <c r="IB407" s="275"/>
      <c r="IC407" s="275"/>
      <c r="ID407" s="275"/>
      <c r="IE407" s="275"/>
      <c r="IF407" s="275"/>
      <c r="IG407" s="275"/>
      <c r="IH407" s="275"/>
      <c r="II407" s="275"/>
      <c r="IJ407" s="275"/>
      <c r="IK407" s="275"/>
      <c r="IL407" s="275"/>
      <c r="IM407" s="275"/>
      <c r="IN407" s="275"/>
      <c r="IO407" s="275"/>
      <c r="IP407" s="275"/>
      <c r="IQ407" s="275"/>
      <c r="IR407" s="275"/>
      <c r="IS407" s="275"/>
      <c r="IT407" s="275"/>
      <c r="IU407" s="275"/>
      <c r="IV407" s="275"/>
    </row>
    <row r="408" spans="1:256" ht="14.25" x14ac:dyDescent="0.2">
      <c r="A408" s="403"/>
      <c r="B408" s="403"/>
      <c r="C408" s="403"/>
      <c r="D408" s="255" t="s">
        <v>70</v>
      </c>
      <c r="E408" s="255"/>
      <c r="F408" s="255"/>
      <c r="G408" s="255"/>
      <c r="H408" s="255"/>
      <c r="I408" s="255"/>
      <c r="J408" s="256">
        <f>J399*0.925</f>
        <v>7598.05</v>
      </c>
      <c r="K408" s="256"/>
      <c r="L408" s="256">
        <f>L399*0.925</f>
        <v>184100.82</v>
      </c>
      <c r="M408" s="287"/>
      <c r="N408" s="275"/>
      <c r="O408" s="275"/>
      <c r="P408" s="275"/>
      <c r="Q408" s="275"/>
      <c r="R408" s="275"/>
      <c r="S408" s="275"/>
      <c r="T408" s="275"/>
      <c r="U408" s="275"/>
      <c r="V408" s="275"/>
      <c r="W408" s="275"/>
      <c r="X408" s="275"/>
      <c r="Y408" s="275"/>
      <c r="Z408" s="275"/>
      <c r="AA408" s="275"/>
      <c r="AB408" s="275"/>
      <c r="AC408" s="275"/>
      <c r="AD408" s="275"/>
      <c r="AE408" s="275"/>
      <c r="AF408" s="275"/>
      <c r="AG408" s="275"/>
      <c r="AH408" s="275"/>
      <c r="AI408" s="275"/>
      <c r="AJ408" s="275"/>
      <c r="AK408" s="275"/>
      <c r="AL408" s="275"/>
      <c r="AM408" s="275"/>
      <c r="AN408" s="275"/>
      <c r="AO408" s="275"/>
      <c r="AP408" s="275"/>
      <c r="AQ408" s="275"/>
      <c r="AR408" s="275"/>
      <c r="AS408" s="275"/>
      <c r="AT408" s="275"/>
      <c r="AU408" s="275"/>
      <c r="AV408" s="275"/>
      <c r="AW408" s="275"/>
      <c r="AX408" s="275"/>
      <c r="AY408" s="275"/>
      <c r="AZ408" s="275"/>
      <c r="BA408" s="275"/>
      <c r="BB408" s="275"/>
      <c r="BC408" s="275"/>
      <c r="BD408" s="275"/>
      <c r="BE408" s="275"/>
      <c r="BF408" s="275"/>
      <c r="BG408" s="275"/>
      <c r="BH408" s="275"/>
      <c r="BI408" s="275"/>
      <c r="BJ408" s="275"/>
      <c r="BK408" s="275"/>
      <c r="BL408" s="275"/>
      <c r="BM408" s="275"/>
      <c r="BN408" s="275"/>
      <c r="BO408" s="275"/>
      <c r="BP408" s="275"/>
      <c r="BQ408" s="275"/>
      <c r="BR408" s="275"/>
      <c r="BS408" s="275"/>
      <c r="BT408" s="275"/>
      <c r="BU408" s="275"/>
      <c r="BV408" s="275"/>
      <c r="BW408" s="275"/>
      <c r="BX408" s="275"/>
      <c r="BY408" s="275"/>
      <c r="BZ408" s="275"/>
      <c r="CA408" s="275"/>
      <c r="CB408" s="275"/>
      <c r="CC408" s="275"/>
      <c r="CD408" s="275"/>
      <c r="CE408" s="275"/>
      <c r="CF408" s="275"/>
      <c r="CG408" s="275"/>
      <c r="CH408" s="275"/>
      <c r="CI408" s="275"/>
      <c r="CJ408" s="275"/>
      <c r="CK408" s="275"/>
      <c r="CL408" s="275"/>
      <c r="CM408" s="275"/>
      <c r="CN408" s="275"/>
      <c r="CO408" s="275"/>
      <c r="CP408" s="275"/>
      <c r="CQ408" s="275"/>
      <c r="CR408" s="275"/>
      <c r="CS408" s="275"/>
      <c r="CT408" s="275"/>
      <c r="CU408" s="275"/>
      <c r="CV408" s="275"/>
      <c r="CW408" s="275"/>
      <c r="CX408" s="275"/>
      <c r="CY408" s="275"/>
      <c r="CZ408" s="275"/>
      <c r="DA408" s="275"/>
      <c r="DB408" s="275"/>
      <c r="DC408" s="275"/>
      <c r="DD408" s="275"/>
      <c r="DE408" s="275"/>
      <c r="DF408" s="275"/>
      <c r="DG408" s="275"/>
      <c r="DH408" s="275"/>
      <c r="DI408" s="275"/>
      <c r="DJ408" s="275"/>
      <c r="DK408" s="275"/>
      <c r="DL408" s="275"/>
      <c r="DM408" s="275"/>
      <c r="DN408" s="275"/>
      <c r="DO408" s="275"/>
      <c r="DP408" s="275"/>
      <c r="DQ408" s="275"/>
      <c r="DR408" s="275"/>
      <c r="DS408" s="275"/>
      <c r="DT408" s="275"/>
      <c r="DU408" s="275"/>
      <c r="DV408" s="275"/>
      <c r="DW408" s="275"/>
      <c r="DX408" s="275"/>
      <c r="DY408" s="275"/>
      <c r="DZ408" s="275"/>
      <c r="EA408" s="275"/>
      <c r="EB408" s="275"/>
      <c r="EC408" s="275"/>
      <c r="ED408" s="275"/>
      <c r="EE408" s="275"/>
      <c r="EF408" s="275"/>
      <c r="EG408" s="275"/>
      <c r="EH408" s="275"/>
      <c r="EI408" s="275"/>
      <c r="EJ408" s="275"/>
      <c r="EK408" s="275"/>
      <c r="EL408" s="275"/>
      <c r="EM408" s="275"/>
      <c r="EN408" s="275"/>
      <c r="EO408" s="275"/>
      <c r="EP408" s="275"/>
      <c r="EQ408" s="275"/>
      <c r="ER408" s="275"/>
      <c r="ES408" s="275"/>
      <c r="ET408" s="275"/>
      <c r="EU408" s="275"/>
      <c r="EV408" s="275"/>
      <c r="EW408" s="275"/>
      <c r="EX408" s="275"/>
      <c r="EY408" s="275"/>
      <c r="EZ408" s="275"/>
      <c r="FA408" s="275"/>
      <c r="FB408" s="275"/>
      <c r="FC408" s="275"/>
      <c r="FD408" s="275"/>
      <c r="FE408" s="275"/>
      <c r="FF408" s="275"/>
      <c r="FG408" s="275"/>
      <c r="FH408" s="275"/>
      <c r="FI408" s="275"/>
      <c r="FJ408" s="275"/>
      <c r="FK408" s="275"/>
      <c r="FL408" s="275"/>
      <c r="FM408" s="275"/>
      <c r="FN408" s="275"/>
      <c r="FO408" s="275"/>
      <c r="FP408" s="275"/>
      <c r="FQ408" s="275"/>
      <c r="FR408" s="275"/>
      <c r="FS408" s="275"/>
      <c r="FT408" s="275"/>
      <c r="FU408" s="275"/>
      <c r="FV408" s="275"/>
      <c r="FW408" s="275"/>
      <c r="FX408" s="275"/>
      <c r="FY408" s="275"/>
      <c r="FZ408" s="275"/>
      <c r="GA408" s="275"/>
      <c r="GB408" s="275"/>
      <c r="GC408" s="275"/>
      <c r="GD408" s="275"/>
      <c r="GE408" s="275"/>
      <c r="GF408" s="275"/>
      <c r="GG408" s="275"/>
      <c r="GH408" s="275"/>
      <c r="GI408" s="275"/>
      <c r="GJ408" s="275"/>
      <c r="GK408" s="275"/>
      <c r="GL408" s="275"/>
      <c r="GM408" s="275"/>
      <c r="GN408" s="275"/>
      <c r="GO408" s="275"/>
      <c r="GP408" s="275"/>
      <c r="GQ408" s="275"/>
      <c r="GR408" s="275"/>
      <c r="GS408" s="275"/>
      <c r="GT408" s="275"/>
      <c r="GU408" s="275"/>
      <c r="GV408" s="275"/>
      <c r="GW408" s="275"/>
      <c r="GX408" s="275"/>
      <c r="GY408" s="275"/>
      <c r="GZ408" s="275"/>
      <c r="HA408" s="275"/>
      <c r="HB408" s="275"/>
      <c r="HC408" s="275"/>
      <c r="HD408" s="275"/>
      <c r="HE408" s="275"/>
      <c r="HF408" s="275"/>
      <c r="HG408" s="275"/>
      <c r="HH408" s="275"/>
      <c r="HI408" s="275"/>
      <c r="HJ408" s="275"/>
      <c r="HK408" s="275"/>
      <c r="HL408" s="275"/>
      <c r="HM408" s="275"/>
      <c r="HN408" s="275"/>
      <c r="HO408" s="275"/>
      <c r="HP408" s="275"/>
      <c r="HQ408" s="275"/>
      <c r="HR408" s="275"/>
      <c r="HS408" s="275"/>
      <c r="HT408" s="275"/>
      <c r="HU408" s="275"/>
      <c r="HV408" s="275"/>
      <c r="HW408" s="275"/>
      <c r="HX408" s="275"/>
      <c r="HY408" s="275"/>
      <c r="HZ408" s="275"/>
      <c r="IA408" s="275"/>
      <c r="IB408" s="275"/>
      <c r="IC408" s="275"/>
      <c r="ID408" s="275"/>
      <c r="IE408" s="275"/>
      <c r="IF408" s="275"/>
      <c r="IG408" s="275"/>
      <c r="IH408" s="275"/>
      <c r="II408" s="275"/>
      <c r="IJ408" s="275"/>
      <c r="IK408" s="275"/>
      <c r="IL408" s="275"/>
      <c r="IM408" s="275"/>
      <c r="IN408" s="275"/>
      <c r="IO408" s="275"/>
      <c r="IP408" s="275"/>
      <c r="IQ408" s="275"/>
      <c r="IR408" s="275"/>
      <c r="IS408" s="275"/>
      <c r="IT408" s="275"/>
      <c r="IU408" s="275"/>
      <c r="IV408" s="275"/>
    </row>
    <row r="409" spans="1:256" ht="14.25" x14ac:dyDescent="0.2">
      <c r="A409" s="403"/>
      <c r="B409" s="403"/>
      <c r="C409" s="403"/>
      <c r="D409" s="255" t="s">
        <v>195</v>
      </c>
      <c r="E409" s="255"/>
      <c r="F409" s="255"/>
      <c r="G409" s="255"/>
      <c r="H409" s="255"/>
      <c r="I409" s="255"/>
      <c r="J409" s="256">
        <f>J400</f>
        <v>204866.01</v>
      </c>
      <c r="K409" s="256"/>
      <c r="L409" s="256">
        <f>L400*0.925</f>
        <v>1025380.51</v>
      </c>
      <c r="M409" s="287"/>
    </row>
    <row r="410" spans="1:256" ht="14.25" x14ac:dyDescent="0.2">
      <c r="A410" s="403"/>
      <c r="B410" s="403"/>
      <c r="C410" s="403"/>
      <c r="D410" s="246" t="s">
        <v>157</v>
      </c>
      <c r="E410" s="255"/>
      <c r="F410" s="255"/>
      <c r="G410" s="255"/>
      <c r="H410" s="255"/>
      <c r="I410" s="255"/>
      <c r="J410" s="261">
        <v>0</v>
      </c>
      <c r="K410" s="256"/>
      <c r="L410" s="261">
        <v>0</v>
      </c>
      <c r="M410" s="287"/>
    </row>
    <row r="411" spans="1:256" ht="14.25" x14ac:dyDescent="0.2">
      <c r="A411" s="403"/>
      <c r="B411" s="403"/>
      <c r="C411" s="403"/>
      <c r="D411" s="255" t="s">
        <v>196</v>
      </c>
      <c r="E411" s="255"/>
      <c r="F411" s="255"/>
      <c r="G411" s="255"/>
      <c r="H411" s="255"/>
      <c r="I411" s="255"/>
      <c r="J411" s="256">
        <f>J408*0.15</f>
        <v>1139.71</v>
      </c>
      <c r="K411" s="256"/>
      <c r="L411" s="256">
        <f>L408*0.15</f>
        <v>27615.119999999999</v>
      </c>
      <c r="M411" s="287"/>
    </row>
    <row r="412" spans="1:256" ht="15" x14ac:dyDescent="0.25">
      <c r="A412" s="403"/>
      <c r="B412" s="403"/>
      <c r="C412" s="403"/>
      <c r="D412" s="257" t="s">
        <v>199</v>
      </c>
      <c r="E412" s="258"/>
      <c r="F412" s="258"/>
      <c r="G412" s="258"/>
      <c r="H412" s="258"/>
      <c r="I412" s="258"/>
      <c r="J412" s="260">
        <f>J411+J406</f>
        <v>229807.29</v>
      </c>
      <c r="K412" s="258"/>
      <c r="L412" s="260">
        <f>L411+L406</f>
        <v>1498028.57</v>
      </c>
      <c r="M412" s="287"/>
    </row>
    <row r="413" spans="1:256" ht="14.25" x14ac:dyDescent="0.2">
      <c r="A413" s="403"/>
      <c r="B413" s="403"/>
      <c r="C413" s="403"/>
      <c r="D413" s="262"/>
      <c r="E413" s="262"/>
      <c r="F413" s="262"/>
      <c r="G413" s="262"/>
      <c r="H413" s="262"/>
      <c r="I413" s="262"/>
      <c r="J413" s="262"/>
      <c r="K413" s="262"/>
      <c r="L413" s="262"/>
      <c r="M413" s="287"/>
    </row>
    <row r="414" spans="1:256" ht="14.25" x14ac:dyDescent="0.2">
      <c r="A414" s="403"/>
      <c r="B414" s="403"/>
      <c r="C414" s="403"/>
      <c r="D414" s="262"/>
      <c r="E414" s="262"/>
      <c r="F414" s="262"/>
      <c r="G414" s="262"/>
      <c r="H414" s="262"/>
      <c r="I414" s="262"/>
      <c r="J414" s="262"/>
      <c r="K414" s="262"/>
      <c r="L414" s="262"/>
      <c r="M414" s="287"/>
    </row>
    <row r="415" spans="1:256" ht="15" x14ac:dyDescent="0.25">
      <c r="A415" s="403"/>
      <c r="B415" s="403"/>
      <c r="C415" s="403"/>
      <c r="D415" s="263" t="s">
        <v>200</v>
      </c>
      <c r="E415" s="264"/>
      <c r="F415" s="264"/>
      <c r="G415" s="264"/>
      <c r="H415" s="264"/>
      <c r="I415" s="265"/>
      <c r="J415" s="266">
        <f>J412</f>
        <v>229807.29</v>
      </c>
      <c r="K415" s="267"/>
      <c r="L415" s="266">
        <f>L412</f>
        <v>1498028.57</v>
      </c>
      <c r="M415" s="287"/>
    </row>
    <row r="416" spans="1:256" ht="14.25" x14ac:dyDescent="0.2">
      <c r="A416" s="403"/>
      <c r="B416" s="403"/>
      <c r="C416" s="403"/>
      <c r="D416" s="268" t="s">
        <v>201</v>
      </c>
      <c r="E416" s="269"/>
      <c r="F416" s="269"/>
      <c r="G416" s="269"/>
      <c r="H416" s="269"/>
      <c r="I416" s="270"/>
      <c r="J416" s="271">
        <f>J407</f>
        <v>228667.58</v>
      </c>
      <c r="K416" s="272"/>
      <c r="L416" s="271">
        <f>L407</f>
        <v>1470413.45</v>
      </c>
      <c r="M416" s="287"/>
    </row>
    <row r="417" spans="1:37" ht="14.25" x14ac:dyDescent="0.2">
      <c r="A417" s="403"/>
      <c r="B417" s="403"/>
      <c r="C417" s="403"/>
      <c r="D417" s="268" t="s">
        <v>202</v>
      </c>
      <c r="E417" s="269"/>
      <c r="F417" s="269"/>
      <c r="G417" s="269"/>
      <c r="H417" s="269"/>
      <c r="I417" s="270"/>
      <c r="J417" s="271">
        <f>J411</f>
        <v>1139.71</v>
      </c>
      <c r="K417" s="273"/>
      <c r="L417" s="271">
        <f>L411</f>
        <v>27615.119999999999</v>
      </c>
      <c r="M417" s="287"/>
    </row>
    <row r="418" spans="1:37" ht="14.25" x14ac:dyDescent="0.2">
      <c r="A418" s="403"/>
      <c r="B418" s="403"/>
      <c r="C418" s="403"/>
      <c r="D418" s="268" t="s">
        <v>203</v>
      </c>
      <c r="E418" s="269"/>
      <c r="F418" s="269"/>
      <c r="G418" s="269"/>
      <c r="H418" s="269"/>
      <c r="I418" s="270"/>
      <c r="J418" s="271">
        <v>0</v>
      </c>
      <c r="K418" s="271"/>
      <c r="L418" s="271">
        <v>0</v>
      </c>
      <c r="M418" s="287"/>
    </row>
    <row r="419" spans="1:37" ht="14.25" x14ac:dyDescent="0.2">
      <c r="A419" s="403"/>
      <c r="B419" s="403"/>
      <c r="C419" s="403"/>
      <c r="D419" s="268" t="s">
        <v>204</v>
      </c>
      <c r="E419" s="269"/>
      <c r="F419" s="269"/>
      <c r="G419" s="269"/>
      <c r="H419" s="269"/>
      <c r="I419" s="270"/>
      <c r="J419" s="274">
        <v>0</v>
      </c>
      <c r="K419" s="274"/>
      <c r="L419" s="274">
        <v>0</v>
      </c>
      <c r="M419" s="287"/>
    </row>
    <row r="421" spans="1:37" customFormat="1" ht="15.75" x14ac:dyDescent="0.25">
      <c r="D421" s="760" t="s">
        <v>205</v>
      </c>
      <c r="E421" s="761"/>
      <c r="F421" s="761"/>
      <c r="G421" s="276"/>
      <c r="H421" s="277"/>
      <c r="I421" s="762">
        <f ca="1">Реестр!S23</f>
        <v>1232140</v>
      </c>
      <c r="J421" s="763"/>
      <c r="K421" s="764">
        <f>Реестр!U23</f>
        <v>6268019.6299999999</v>
      </c>
      <c r="L421" s="765"/>
      <c r="N421" s="278"/>
    </row>
    <row r="422" spans="1:37" customFormat="1" ht="15.75" x14ac:dyDescent="0.25">
      <c r="D422" s="279" t="s">
        <v>206</v>
      </c>
      <c r="E422" s="280"/>
      <c r="F422" s="280"/>
      <c r="G422" s="280"/>
      <c r="H422" s="280"/>
      <c r="I422" s="766">
        <f ca="1">I421-I423</f>
        <v>1226712</v>
      </c>
      <c r="J422" s="767"/>
      <c r="K422" s="768">
        <f>K421-K423</f>
        <v>6146353.4500000002</v>
      </c>
      <c r="L422" s="769"/>
      <c r="N422" s="278"/>
    </row>
    <row r="423" spans="1:37" customFormat="1" ht="15.75" x14ac:dyDescent="0.25">
      <c r="D423" s="281" t="s">
        <v>207</v>
      </c>
      <c r="E423" s="280"/>
      <c r="F423" s="280"/>
      <c r="G423" s="280"/>
      <c r="H423" s="280"/>
      <c r="I423" s="770">
        <f ca="1">Реестр!P23</f>
        <v>5428</v>
      </c>
      <c r="J423" s="771"/>
      <c r="K423" s="758">
        <f>Реестр!R23</f>
        <v>121666.18</v>
      </c>
      <c r="L423" s="759"/>
      <c r="N423" s="278"/>
      <c r="AK423" s="282" t="e">
        <f>'[93]1_6.1'!J396+'[93]2_6.2'!J379+'[93]3_6.4'!J363+'[93]4_6.5'!#REF!+'[93]5_6.6'!#REF!+'[93]6_6.7'!J387+'[93]7_6.8'!J716+'[93]8_6.9'!J402</f>
        <v>#REF!</v>
      </c>
    </row>
    <row r="424" spans="1:37" customFormat="1" ht="15.75" x14ac:dyDescent="0.25">
      <c r="D424" s="281" t="s">
        <v>208</v>
      </c>
      <c r="E424" s="280"/>
      <c r="F424" s="280"/>
      <c r="G424" s="280"/>
      <c r="H424" s="280"/>
      <c r="I424" s="752"/>
      <c r="J424" s="753"/>
      <c r="K424" s="752"/>
      <c r="L424" s="753"/>
      <c r="AK424" s="282" t="e">
        <f>'[93]1_6.1'!J395+'[93]2_6.2'!J378+'[93]3_6.4'!J362+'[93]4_6.5'!#REF!+'[93]5_6.6'!#REF!+'[93]6_6.7'!J386+'[93]7_6.8'!J715+'[93]8_6.9'!J401</f>
        <v>#REF!</v>
      </c>
    </row>
    <row r="425" spans="1:37" customFormat="1" ht="15.75" x14ac:dyDescent="0.25">
      <c r="D425" s="281" t="s">
        <v>209</v>
      </c>
      <c r="E425" s="283"/>
      <c r="F425" s="280"/>
      <c r="G425" s="280"/>
      <c r="H425" s="284"/>
      <c r="I425" s="754"/>
      <c r="J425" s="755"/>
      <c r="K425" s="756"/>
      <c r="L425" s="757"/>
    </row>
    <row r="426" spans="1:37" customFormat="1" ht="15" x14ac:dyDescent="0.25"/>
    <row r="427" spans="1:37" customFormat="1" ht="15" x14ac:dyDescent="0.25">
      <c r="L427" s="285"/>
    </row>
    <row r="428" spans="1:37" customFormat="1" ht="15" x14ac:dyDescent="0.25"/>
    <row r="429" spans="1:37" customFormat="1" ht="15" x14ac:dyDescent="0.25"/>
    <row r="430" spans="1:37" customFormat="1" ht="15" x14ac:dyDescent="0.25">
      <c r="A430" s="773" t="s">
        <v>210</v>
      </c>
      <c r="B430" s="773"/>
      <c r="C430" s="773"/>
      <c r="D430" s="773"/>
      <c r="E430" s="773"/>
      <c r="F430" s="773"/>
      <c r="G430" s="773"/>
      <c r="H430" s="773"/>
      <c r="I430" s="773"/>
      <c r="J430" s="286"/>
      <c r="K430" s="774" t="s">
        <v>183</v>
      </c>
      <c r="L430" s="774"/>
      <c r="M430" s="287"/>
      <c r="N430" s="275"/>
    </row>
    <row r="431" spans="1:37" customFormat="1" ht="15" x14ac:dyDescent="0.25">
      <c r="A431" s="288"/>
      <c r="B431" s="288"/>
      <c r="C431" s="288"/>
      <c r="D431" s="775"/>
      <c r="E431" s="775"/>
      <c r="F431" s="288"/>
      <c r="G431" s="288"/>
      <c r="H431" s="776"/>
      <c r="I431" s="776"/>
      <c r="J431" s="776"/>
      <c r="K431" s="776"/>
      <c r="L431" s="776"/>
      <c r="M431" s="287"/>
      <c r="N431" s="275"/>
    </row>
    <row r="432" spans="1:37" customFormat="1" ht="15" x14ac:dyDescent="0.25">
      <c r="A432" s="289"/>
      <c r="B432" s="289"/>
      <c r="C432" s="289"/>
      <c r="D432" s="289"/>
      <c r="E432" s="289"/>
      <c r="F432" s="289"/>
      <c r="G432" s="289"/>
      <c r="H432" s="289"/>
      <c r="I432" s="289"/>
      <c r="J432" s="289"/>
      <c r="K432" s="289"/>
      <c r="L432" s="289"/>
      <c r="M432" s="290"/>
      <c r="N432" s="291"/>
    </row>
    <row r="433" spans="1:14" customFormat="1" ht="15" x14ac:dyDescent="0.25">
      <c r="A433" s="289"/>
      <c r="B433" s="289"/>
      <c r="C433" s="289"/>
      <c r="D433" s="289"/>
      <c r="E433" s="289"/>
      <c r="F433" s="289"/>
      <c r="G433" s="289"/>
      <c r="H433" s="289"/>
      <c r="I433" s="289"/>
      <c r="J433" s="289"/>
      <c r="K433" s="289"/>
      <c r="L433" s="289"/>
      <c r="M433" s="290"/>
      <c r="N433" s="291"/>
    </row>
    <row r="434" spans="1:14" customFormat="1" ht="15" x14ac:dyDescent="0.25">
      <c r="A434" s="292" t="s">
        <v>211</v>
      </c>
      <c r="B434" s="292"/>
      <c r="C434" s="292"/>
      <c r="D434" s="292"/>
      <c r="E434" s="292"/>
      <c r="F434" s="292"/>
      <c r="G434" s="292"/>
      <c r="H434" s="292"/>
      <c r="I434" s="292"/>
      <c r="J434" s="774" t="s">
        <v>212</v>
      </c>
      <c r="K434" s="774"/>
      <c r="L434" s="774"/>
      <c r="M434" s="287"/>
      <c r="N434" s="275"/>
    </row>
  </sheetData>
  <mergeCells count="235">
    <mergeCell ref="A430:I430"/>
    <mergeCell ref="K430:L430"/>
    <mergeCell ref="D431:E431"/>
    <mergeCell ref="H431:L431"/>
    <mergeCell ref="J434:L434"/>
    <mergeCell ref="A9:B9"/>
    <mergeCell ref="C9:H9"/>
    <mergeCell ref="C10:H10"/>
    <mergeCell ref="J10:L11"/>
    <mergeCell ref="A11:B11"/>
    <mergeCell ref="C11:H11"/>
    <mergeCell ref="C18:H18"/>
    <mergeCell ref="J18:L19"/>
    <mergeCell ref="C19:H19"/>
    <mergeCell ref="J24:L24"/>
    <mergeCell ref="I26:I27"/>
    <mergeCell ref="J26:J27"/>
    <mergeCell ref="K26:L26"/>
    <mergeCell ref="A30:L30"/>
    <mergeCell ref="A31:L31"/>
    <mergeCell ref="C20:H20"/>
    <mergeCell ref="G21:I21"/>
    <mergeCell ref="J21:L21"/>
    <mergeCell ref="G22:H22"/>
    <mergeCell ref="I2:L2"/>
    <mergeCell ref="I3:L3"/>
    <mergeCell ref="I4:L4"/>
    <mergeCell ref="J6:L6"/>
    <mergeCell ref="J7:L7"/>
    <mergeCell ref="J8:L9"/>
    <mergeCell ref="C16:H16"/>
    <mergeCell ref="J16:L17"/>
    <mergeCell ref="C17:H17"/>
    <mergeCell ref="C12:H12"/>
    <mergeCell ref="J12:L13"/>
    <mergeCell ref="C13:H13"/>
    <mergeCell ref="C14:H14"/>
    <mergeCell ref="J14:L15"/>
    <mergeCell ref="C15:H15"/>
    <mergeCell ref="J22:L22"/>
    <mergeCell ref="J23:L23"/>
    <mergeCell ref="A35:L35"/>
    <mergeCell ref="A36:B36"/>
    <mergeCell ref="C36:C40"/>
    <mergeCell ref="D36:D40"/>
    <mergeCell ref="E36:E40"/>
    <mergeCell ref="F36:F40"/>
    <mergeCell ref="G36:G40"/>
    <mergeCell ref="H36:H40"/>
    <mergeCell ref="A33:L33"/>
    <mergeCell ref="A34:L34"/>
    <mergeCell ref="A43:L43"/>
    <mergeCell ref="A44:L44"/>
    <mergeCell ref="A54:L54"/>
    <mergeCell ref="A56:L56"/>
    <mergeCell ref="I66:J66"/>
    <mergeCell ref="K66:L66"/>
    <mergeCell ref="I36:I40"/>
    <mergeCell ref="J36:J40"/>
    <mergeCell ref="K36:K40"/>
    <mergeCell ref="L36:L40"/>
    <mergeCell ref="A37:A40"/>
    <mergeCell ref="B37:B40"/>
    <mergeCell ref="A46:L46"/>
    <mergeCell ref="A47:L47"/>
    <mergeCell ref="A48:L48"/>
    <mergeCell ref="A49:L49"/>
    <mergeCell ref="A50:L50"/>
    <mergeCell ref="A51:L51"/>
    <mergeCell ref="I85:J85"/>
    <mergeCell ref="K85:L85"/>
    <mergeCell ref="I90:J90"/>
    <mergeCell ref="K90:L90"/>
    <mergeCell ref="I92:J92"/>
    <mergeCell ref="K92:L92"/>
    <mergeCell ref="I71:J71"/>
    <mergeCell ref="K71:L71"/>
    <mergeCell ref="I73:J73"/>
    <mergeCell ref="K73:L73"/>
    <mergeCell ref="I75:J75"/>
    <mergeCell ref="K75:L75"/>
    <mergeCell ref="I111:J111"/>
    <mergeCell ref="K111:L111"/>
    <mergeCell ref="I113:J113"/>
    <mergeCell ref="K113:L113"/>
    <mergeCell ref="I115:J115"/>
    <mergeCell ref="K115:L115"/>
    <mergeCell ref="I94:J94"/>
    <mergeCell ref="K94:L94"/>
    <mergeCell ref="I96:J96"/>
    <mergeCell ref="K96:L96"/>
    <mergeCell ref="I106:J106"/>
    <mergeCell ref="K106:L106"/>
    <mergeCell ref="I135:J135"/>
    <mergeCell ref="K135:L135"/>
    <mergeCell ref="I138:J138"/>
    <mergeCell ref="K138:L138"/>
    <mergeCell ref="I141:J141"/>
    <mergeCell ref="K141:L141"/>
    <mergeCell ref="I126:J126"/>
    <mergeCell ref="K126:L126"/>
    <mergeCell ref="I131:J131"/>
    <mergeCell ref="K131:L131"/>
    <mergeCell ref="I133:J133"/>
    <mergeCell ref="K133:L133"/>
    <mergeCell ref="I150:J150"/>
    <mergeCell ref="K150:L150"/>
    <mergeCell ref="I152:J152"/>
    <mergeCell ref="K152:L152"/>
    <mergeCell ref="I154:J154"/>
    <mergeCell ref="K154:L154"/>
    <mergeCell ref="I143:J143"/>
    <mergeCell ref="K143:L143"/>
    <mergeCell ref="I145:J145"/>
    <mergeCell ref="K145:L145"/>
    <mergeCell ref="I147:J147"/>
    <mergeCell ref="K147:L147"/>
    <mergeCell ref="I163:J163"/>
    <mergeCell ref="K163:L163"/>
    <mergeCell ref="I178:J178"/>
    <mergeCell ref="K178:L178"/>
    <mergeCell ref="I183:J183"/>
    <mergeCell ref="K183:L183"/>
    <mergeCell ref="I157:J157"/>
    <mergeCell ref="K157:L157"/>
    <mergeCell ref="I159:J159"/>
    <mergeCell ref="K159:L159"/>
    <mergeCell ref="I161:J161"/>
    <mergeCell ref="K161:L161"/>
    <mergeCell ref="I199:J199"/>
    <mergeCell ref="K199:L199"/>
    <mergeCell ref="I204:J204"/>
    <mergeCell ref="K204:L204"/>
    <mergeCell ref="I206:J206"/>
    <mergeCell ref="K206:L206"/>
    <mergeCell ref="I185:J185"/>
    <mergeCell ref="K185:L185"/>
    <mergeCell ref="I187:J187"/>
    <mergeCell ref="K187:L187"/>
    <mergeCell ref="I189:J189"/>
    <mergeCell ref="K189:L189"/>
    <mergeCell ref="I227:J227"/>
    <mergeCell ref="K227:L227"/>
    <mergeCell ref="I229:J229"/>
    <mergeCell ref="K229:L229"/>
    <mergeCell ref="I241:J241"/>
    <mergeCell ref="K241:L241"/>
    <mergeCell ref="I208:J208"/>
    <mergeCell ref="K208:L208"/>
    <mergeCell ref="I210:J210"/>
    <mergeCell ref="K210:L210"/>
    <mergeCell ref="I222:J222"/>
    <mergeCell ref="K222:L222"/>
    <mergeCell ref="I265:J265"/>
    <mergeCell ref="K265:L265"/>
    <mergeCell ref="I267:J267"/>
    <mergeCell ref="K267:L267"/>
    <mergeCell ref="I278:J278"/>
    <mergeCell ref="K278:L278"/>
    <mergeCell ref="I246:J246"/>
    <mergeCell ref="K246:L246"/>
    <mergeCell ref="I248:J248"/>
    <mergeCell ref="K248:L248"/>
    <mergeCell ref="I260:J260"/>
    <mergeCell ref="K260:L260"/>
    <mergeCell ref="I291:J291"/>
    <mergeCell ref="K291:L291"/>
    <mergeCell ref="I303:J303"/>
    <mergeCell ref="K303:L303"/>
    <mergeCell ref="I308:J308"/>
    <mergeCell ref="K308:L308"/>
    <mergeCell ref="I283:J283"/>
    <mergeCell ref="K283:L283"/>
    <mergeCell ref="I285:J285"/>
    <mergeCell ref="K285:L285"/>
    <mergeCell ref="I288:J288"/>
    <mergeCell ref="K288:L288"/>
    <mergeCell ref="I328:J328"/>
    <mergeCell ref="K328:L328"/>
    <mergeCell ref="I331:J331"/>
    <mergeCell ref="K331:L331"/>
    <mergeCell ref="I334:J334"/>
    <mergeCell ref="K334:L334"/>
    <mergeCell ref="I310:J310"/>
    <mergeCell ref="K310:L310"/>
    <mergeCell ref="I321:J321"/>
    <mergeCell ref="K321:L321"/>
    <mergeCell ref="I326:J326"/>
    <mergeCell ref="K326:L326"/>
    <mergeCell ref="I364:J364"/>
    <mergeCell ref="K364:L364"/>
    <mergeCell ref="I369:J369"/>
    <mergeCell ref="K369:L369"/>
    <mergeCell ref="I371:J371"/>
    <mergeCell ref="K371:L371"/>
    <mergeCell ref="I346:J346"/>
    <mergeCell ref="K346:L346"/>
    <mergeCell ref="I351:J351"/>
    <mergeCell ref="K351:L351"/>
    <mergeCell ref="I353:J353"/>
    <mergeCell ref="K353:L353"/>
    <mergeCell ref="A384:H384"/>
    <mergeCell ref="I384:J384"/>
    <mergeCell ref="K384:L384"/>
    <mergeCell ref="I387:J387"/>
    <mergeCell ref="K387:L387"/>
    <mergeCell ref="I388:J388"/>
    <mergeCell ref="K388:L388"/>
    <mergeCell ref="I374:J374"/>
    <mergeCell ref="K374:L374"/>
    <mergeCell ref="A376:H376"/>
    <mergeCell ref="I376:J376"/>
    <mergeCell ref="K376:L376"/>
    <mergeCell ref="A380:H380"/>
    <mergeCell ref="I380:J380"/>
    <mergeCell ref="K380:L380"/>
    <mergeCell ref="I424:J424"/>
    <mergeCell ref="K424:L424"/>
    <mergeCell ref="I425:J425"/>
    <mergeCell ref="K425:L425"/>
    <mergeCell ref="D393:H393"/>
    <mergeCell ref="D394:H394"/>
    <mergeCell ref="K423:L423"/>
    <mergeCell ref="I389:J389"/>
    <mergeCell ref="K389:L389"/>
    <mergeCell ref="I390:J390"/>
    <mergeCell ref="K390:L390"/>
    <mergeCell ref="I391:J391"/>
    <mergeCell ref="K391:L391"/>
    <mergeCell ref="D421:F421"/>
    <mergeCell ref="I421:J421"/>
    <mergeCell ref="K421:L421"/>
    <mergeCell ref="I422:J422"/>
    <mergeCell ref="K422:L422"/>
    <mergeCell ref="I423:J423"/>
  </mergeCells>
  <pageMargins left="0.4" right="0.2" top="0.2" bottom="0.4" header="0.2" footer="0.2"/>
  <pageSetup paperSize="9" scale="57" fitToHeight="0" orientation="portrait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5"/>
  <sheetViews>
    <sheetView view="pageBreakPreview" topLeftCell="E12" zoomScale="55" zoomScaleNormal="55" zoomScaleSheetLayoutView="55" workbookViewId="0">
      <selection activeCell="AE13" sqref="AE13"/>
    </sheetView>
  </sheetViews>
  <sheetFormatPr defaultRowHeight="25.5" x14ac:dyDescent="0.25"/>
  <cols>
    <col min="1" max="1" width="5.28515625" style="83" customWidth="1"/>
    <col min="2" max="2" width="12.140625" style="86" customWidth="1"/>
    <col min="3" max="3" width="32.42578125" style="87" customWidth="1"/>
    <col min="4" max="4" width="43.42578125" style="84" customWidth="1"/>
    <col min="5" max="5" width="25.7109375" style="84" customWidth="1"/>
    <col min="6" max="6" width="22.42578125" style="84" customWidth="1"/>
    <col min="7" max="7" width="23" style="84" customWidth="1"/>
    <col min="8" max="8" width="16.42578125" style="84" hidden="1" customWidth="1"/>
    <col min="9" max="9" width="18.85546875" style="84" hidden="1" customWidth="1"/>
    <col min="10" max="10" width="19" style="84" hidden="1" customWidth="1"/>
    <col min="11" max="11" width="20.28515625" style="84" hidden="1" customWidth="1"/>
    <col min="12" max="12" width="18.85546875" style="84" hidden="1" customWidth="1"/>
    <col min="13" max="13" width="19.42578125" style="84" hidden="1" customWidth="1"/>
    <col min="14" max="14" width="23.7109375" style="84" customWidth="1"/>
    <col min="15" max="15" width="21.85546875" style="84" customWidth="1"/>
    <col min="16" max="16" width="23.5703125" style="84" customWidth="1"/>
    <col min="17" max="17" width="20.42578125" style="84" customWidth="1"/>
    <col min="18" max="18" width="20.7109375" style="84" customWidth="1"/>
    <col min="19" max="19" width="25.7109375" style="84" customWidth="1"/>
    <col min="20" max="20" width="26.5703125" style="84" customWidth="1"/>
    <col min="21" max="23" width="28.7109375" style="84" customWidth="1"/>
    <col min="24" max="24" width="24.28515625" style="85" customWidth="1"/>
    <col min="25" max="25" width="22.85546875" style="85" customWidth="1"/>
    <col min="26" max="30" width="9.140625" style="85"/>
    <col min="31" max="31" width="23.7109375" style="85" bestFit="1" customWidth="1"/>
    <col min="32" max="242" width="9.140625" style="85"/>
    <col min="243" max="243" width="5.28515625" style="85" customWidth="1"/>
    <col min="244" max="244" width="7.85546875" style="85" customWidth="1"/>
    <col min="245" max="245" width="25.140625" style="85" customWidth="1"/>
    <col min="246" max="246" width="37.42578125" style="85" customWidth="1"/>
    <col min="247" max="247" width="17.140625" style="85" bestFit="1" customWidth="1"/>
    <col min="248" max="248" width="15.42578125" style="85" bestFit="1" customWidth="1"/>
    <col min="249" max="249" width="16.5703125" style="85" customWidth="1"/>
    <col min="250" max="250" width="16.28515625" style="85" bestFit="1" customWidth="1"/>
    <col min="251" max="251" width="14.28515625" style="85" bestFit="1" customWidth="1"/>
    <col min="252" max="252" width="16.5703125" style="85" bestFit="1" customWidth="1"/>
    <col min="253" max="253" width="13.140625" style="85" bestFit="1" customWidth="1"/>
    <col min="254" max="256" width="14.28515625" style="85" bestFit="1" customWidth="1"/>
    <col min="257" max="257" width="15.42578125" style="85" bestFit="1" customWidth="1"/>
    <col min="258" max="260" width="0" style="85" hidden="1" customWidth="1"/>
    <col min="261" max="261" width="14.140625" style="85" bestFit="1" customWidth="1"/>
    <col min="262" max="262" width="14.85546875" style="85" customWidth="1"/>
    <col min="263" max="263" width="14.28515625" style="85" customWidth="1"/>
    <col min="264" max="264" width="12.140625" style="85" bestFit="1" customWidth="1"/>
    <col min="265" max="265" width="14.28515625" style="85" bestFit="1" customWidth="1"/>
    <col min="266" max="266" width="14.140625" style="85" bestFit="1" customWidth="1"/>
    <col min="267" max="267" width="15.42578125" style="85" bestFit="1" customWidth="1"/>
    <col min="268" max="268" width="16.5703125" style="85" bestFit="1" customWidth="1"/>
    <col min="269" max="269" width="17.42578125" style="85" bestFit="1" customWidth="1"/>
    <col min="270" max="270" width="24.85546875" style="85" customWidth="1"/>
    <col min="271" max="272" width="25.5703125" style="85" bestFit="1" customWidth="1"/>
    <col min="273" max="273" width="9.140625" style="85"/>
    <col min="274" max="274" width="27" style="85" customWidth="1"/>
    <col min="275" max="498" width="9.140625" style="85"/>
    <col min="499" max="499" width="5.28515625" style="85" customWidth="1"/>
    <col min="500" max="500" width="7.85546875" style="85" customWidth="1"/>
    <col min="501" max="501" width="25.140625" style="85" customWidth="1"/>
    <col min="502" max="502" width="37.42578125" style="85" customWidth="1"/>
    <col min="503" max="503" width="17.140625" style="85" bestFit="1" customWidth="1"/>
    <col min="504" max="504" width="15.42578125" style="85" bestFit="1" customWidth="1"/>
    <col min="505" max="505" width="16.5703125" style="85" customWidth="1"/>
    <col min="506" max="506" width="16.28515625" style="85" bestFit="1" customWidth="1"/>
    <col min="507" max="507" width="14.28515625" style="85" bestFit="1" customWidth="1"/>
    <col min="508" max="508" width="16.5703125" style="85" bestFit="1" customWidth="1"/>
    <col min="509" max="509" width="13.140625" style="85" bestFit="1" customWidth="1"/>
    <col min="510" max="512" width="14.28515625" style="85" bestFit="1" customWidth="1"/>
    <col min="513" max="513" width="15.42578125" style="85" bestFit="1" customWidth="1"/>
    <col min="514" max="516" width="0" style="85" hidden="1" customWidth="1"/>
    <col min="517" max="517" width="14.140625" style="85" bestFit="1" customWidth="1"/>
    <col min="518" max="518" width="14.85546875" style="85" customWidth="1"/>
    <col min="519" max="519" width="14.28515625" style="85" customWidth="1"/>
    <col min="520" max="520" width="12.140625" style="85" bestFit="1" customWidth="1"/>
    <col min="521" max="521" width="14.28515625" style="85" bestFit="1" customWidth="1"/>
    <col min="522" max="522" width="14.140625" style="85" bestFit="1" customWidth="1"/>
    <col min="523" max="523" width="15.42578125" style="85" bestFit="1" customWidth="1"/>
    <col min="524" max="524" width="16.5703125" style="85" bestFit="1" customWidth="1"/>
    <col min="525" max="525" width="17.42578125" style="85" bestFit="1" customWidth="1"/>
    <col min="526" max="526" width="24.85546875" style="85" customWidth="1"/>
    <col min="527" max="528" width="25.5703125" style="85" bestFit="1" customWidth="1"/>
    <col min="529" max="529" width="9.140625" style="85"/>
    <col min="530" max="530" width="27" style="85" customWidth="1"/>
    <col min="531" max="754" width="9.140625" style="85"/>
    <col min="755" max="755" width="5.28515625" style="85" customWidth="1"/>
    <col min="756" max="756" width="7.85546875" style="85" customWidth="1"/>
    <col min="757" max="757" width="25.140625" style="85" customWidth="1"/>
    <col min="758" max="758" width="37.42578125" style="85" customWidth="1"/>
    <col min="759" max="759" width="17.140625" style="85" bestFit="1" customWidth="1"/>
    <col min="760" max="760" width="15.42578125" style="85" bestFit="1" customWidth="1"/>
    <col min="761" max="761" width="16.5703125" style="85" customWidth="1"/>
    <col min="762" max="762" width="16.28515625" style="85" bestFit="1" customWidth="1"/>
    <col min="763" max="763" width="14.28515625" style="85" bestFit="1" customWidth="1"/>
    <col min="764" max="764" width="16.5703125" style="85" bestFit="1" customWidth="1"/>
    <col min="765" max="765" width="13.140625" style="85" bestFit="1" customWidth="1"/>
    <col min="766" max="768" width="14.28515625" style="85" bestFit="1" customWidth="1"/>
    <col min="769" max="769" width="15.42578125" style="85" bestFit="1" customWidth="1"/>
    <col min="770" max="772" width="0" style="85" hidden="1" customWidth="1"/>
    <col min="773" max="773" width="14.140625" style="85" bestFit="1" customWidth="1"/>
    <col min="774" max="774" width="14.85546875" style="85" customWidth="1"/>
    <col min="775" max="775" width="14.28515625" style="85" customWidth="1"/>
    <col min="776" max="776" width="12.140625" style="85" bestFit="1" customWidth="1"/>
    <col min="777" max="777" width="14.28515625" style="85" bestFit="1" customWidth="1"/>
    <col min="778" max="778" width="14.140625" style="85" bestFit="1" customWidth="1"/>
    <col min="779" max="779" width="15.42578125" style="85" bestFit="1" customWidth="1"/>
    <col min="780" max="780" width="16.5703125" style="85" bestFit="1" customWidth="1"/>
    <col min="781" max="781" width="17.42578125" style="85" bestFit="1" customWidth="1"/>
    <col min="782" max="782" width="24.85546875" style="85" customWidth="1"/>
    <col min="783" max="784" width="25.5703125" style="85" bestFit="1" customWidth="1"/>
    <col min="785" max="785" width="9.140625" style="85"/>
    <col min="786" max="786" width="27" style="85" customWidth="1"/>
    <col min="787" max="1010" width="9.140625" style="85"/>
    <col min="1011" max="1011" width="5.28515625" style="85" customWidth="1"/>
    <col min="1012" max="1012" width="7.85546875" style="85" customWidth="1"/>
    <col min="1013" max="1013" width="25.140625" style="85" customWidth="1"/>
    <col min="1014" max="1014" width="37.42578125" style="85" customWidth="1"/>
    <col min="1015" max="1015" width="17.140625" style="85" bestFit="1" customWidth="1"/>
    <col min="1016" max="1016" width="15.42578125" style="85" bestFit="1" customWidth="1"/>
    <col min="1017" max="1017" width="16.5703125" style="85" customWidth="1"/>
    <col min="1018" max="1018" width="16.28515625" style="85" bestFit="1" customWidth="1"/>
    <col min="1019" max="1019" width="14.28515625" style="85" bestFit="1" customWidth="1"/>
    <col min="1020" max="1020" width="16.5703125" style="85" bestFit="1" customWidth="1"/>
    <col min="1021" max="1021" width="13.140625" style="85" bestFit="1" customWidth="1"/>
    <col min="1022" max="1024" width="14.28515625" style="85" bestFit="1" customWidth="1"/>
    <col min="1025" max="1025" width="15.42578125" style="85" bestFit="1" customWidth="1"/>
    <col min="1026" max="1028" width="0" style="85" hidden="1" customWidth="1"/>
    <col min="1029" max="1029" width="14.140625" style="85" bestFit="1" customWidth="1"/>
    <col min="1030" max="1030" width="14.85546875" style="85" customWidth="1"/>
    <col min="1031" max="1031" width="14.28515625" style="85" customWidth="1"/>
    <col min="1032" max="1032" width="12.140625" style="85" bestFit="1" customWidth="1"/>
    <col min="1033" max="1033" width="14.28515625" style="85" bestFit="1" customWidth="1"/>
    <col min="1034" max="1034" width="14.140625" style="85" bestFit="1" customWidth="1"/>
    <col min="1035" max="1035" width="15.42578125" style="85" bestFit="1" customWidth="1"/>
    <col min="1036" max="1036" width="16.5703125" style="85" bestFit="1" customWidth="1"/>
    <col min="1037" max="1037" width="17.42578125" style="85" bestFit="1" customWidth="1"/>
    <col min="1038" max="1038" width="24.85546875" style="85" customWidth="1"/>
    <col min="1039" max="1040" width="25.5703125" style="85" bestFit="1" customWidth="1"/>
    <col min="1041" max="1041" width="9.140625" style="85"/>
    <col min="1042" max="1042" width="27" style="85" customWidth="1"/>
    <col min="1043" max="1266" width="9.140625" style="85"/>
    <col min="1267" max="1267" width="5.28515625" style="85" customWidth="1"/>
    <col min="1268" max="1268" width="7.85546875" style="85" customWidth="1"/>
    <col min="1269" max="1269" width="25.140625" style="85" customWidth="1"/>
    <col min="1270" max="1270" width="37.42578125" style="85" customWidth="1"/>
    <col min="1271" max="1271" width="17.140625" style="85" bestFit="1" customWidth="1"/>
    <col min="1272" max="1272" width="15.42578125" style="85" bestFit="1" customWidth="1"/>
    <col min="1273" max="1273" width="16.5703125" style="85" customWidth="1"/>
    <col min="1274" max="1274" width="16.28515625" style="85" bestFit="1" customWidth="1"/>
    <col min="1275" max="1275" width="14.28515625" style="85" bestFit="1" customWidth="1"/>
    <col min="1276" max="1276" width="16.5703125" style="85" bestFit="1" customWidth="1"/>
    <col min="1277" max="1277" width="13.140625" style="85" bestFit="1" customWidth="1"/>
    <col min="1278" max="1280" width="14.28515625" style="85" bestFit="1" customWidth="1"/>
    <col min="1281" max="1281" width="15.42578125" style="85" bestFit="1" customWidth="1"/>
    <col min="1282" max="1284" width="0" style="85" hidden="1" customWidth="1"/>
    <col min="1285" max="1285" width="14.140625" style="85" bestFit="1" customWidth="1"/>
    <col min="1286" max="1286" width="14.85546875" style="85" customWidth="1"/>
    <col min="1287" max="1287" width="14.28515625" style="85" customWidth="1"/>
    <col min="1288" max="1288" width="12.140625" style="85" bestFit="1" customWidth="1"/>
    <col min="1289" max="1289" width="14.28515625" style="85" bestFit="1" customWidth="1"/>
    <col min="1290" max="1290" width="14.140625" style="85" bestFit="1" customWidth="1"/>
    <col min="1291" max="1291" width="15.42578125" style="85" bestFit="1" customWidth="1"/>
    <col min="1292" max="1292" width="16.5703125" style="85" bestFit="1" customWidth="1"/>
    <col min="1293" max="1293" width="17.42578125" style="85" bestFit="1" customWidth="1"/>
    <col min="1294" max="1294" width="24.85546875" style="85" customWidth="1"/>
    <col min="1295" max="1296" width="25.5703125" style="85" bestFit="1" customWidth="1"/>
    <col min="1297" max="1297" width="9.140625" style="85"/>
    <col min="1298" max="1298" width="27" style="85" customWidth="1"/>
    <col min="1299" max="1522" width="9.140625" style="85"/>
    <col min="1523" max="1523" width="5.28515625" style="85" customWidth="1"/>
    <col min="1524" max="1524" width="7.85546875" style="85" customWidth="1"/>
    <col min="1525" max="1525" width="25.140625" style="85" customWidth="1"/>
    <col min="1526" max="1526" width="37.42578125" style="85" customWidth="1"/>
    <col min="1527" max="1527" width="17.140625" style="85" bestFit="1" customWidth="1"/>
    <col min="1528" max="1528" width="15.42578125" style="85" bestFit="1" customWidth="1"/>
    <col min="1529" max="1529" width="16.5703125" style="85" customWidth="1"/>
    <col min="1530" max="1530" width="16.28515625" style="85" bestFit="1" customWidth="1"/>
    <col min="1531" max="1531" width="14.28515625" style="85" bestFit="1" customWidth="1"/>
    <col min="1532" max="1532" width="16.5703125" style="85" bestFit="1" customWidth="1"/>
    <col min="1533" max="1533" width="13.140625" style="85" bestFit="1" customWidth="1"/>
    <col min="1534" max="1536" width="14.28515625" style="85" bestFit="1" customWidth="1"/>
    <col min="1537" max="1537" width="15.42578125" style="85" bestFit="1" customWidth="1"/>
    <col min="1538" max="1540" width="0" style="85" hidden="1" customWidth="1"/>
    <col min="1541" max="1541" width="14.140625" style="85" bestFit="1" customWidth="1"/>
    <col min="1542" max="1542" width="14.85546875" style="85" customWidth="1"/>
    <col min="1543" max="1543" width="14.28515625" style="85" customWidth="1"/>
    <col min="1544" max="1544" width="12.140625" style="85" bestFit="1" customWidth="1"/>
    <col min="1545" max="1545" width="14.28515625" style="85" bestFit="1" customWidth="1"/>
    <col min="1546" max="1546" width="14.140625" style="85" bestFit="1" customWidth="1"/>
    <col min="1547" max="1547" width="15.42578125" style="85" bestFit="1" customWidth="1"/>
    <col min="1548" max="1548" width="16.5703125" style="85" bestFit="1" customWidth="1"/>
    <col min="1549" max="1549" width="17.42578125" style="85" bestFit="1" customWidth="1"/>
    <col min="1550" max="1550" width="24.85546875" style="85" customWidth="1"/>
    <col min="1551" max="1552" width="25.5703125" style="85" bestFit="1" customWidth="1"/>
    <col min="1553" max="1553" width="9.140625" style="85"/>
    <col min="1554" max="1554" width="27" style="85" customWidth="1"/>
    <col min="1555" max="1778" width="9.140625" style="85"/>
    <col min="1779" max="1779" width="5.28515625" style="85" customWidth="1"/>
    <col min="1780" max="1780" width="7.85546875" style="85" customWidth="1"/>
    <col min="1781" max="1781" width="25.140625" style="85" customWidth="1"/>
    <col min="1782" max="1782" width="37.42578125" style="85" customWidth="1"/>
    <col min="1783" max="1783" width="17.140625" style="85" bestFit="1" customWidth="1"/>
    <col min="1784" max="1784" width="15.42578125" style="85" bestFit="1" customWidth="1"/>
    <col min="1785" max="1785" width="16.5703125" style="85" customWidth="1"/>
    <col min="1786" max="1786" width="16.28515625" style="85" bestFit="1" customWidth="1"/>
    <col min="1787" max="1787" width="14.28515625" style="85" bestFit="1" customWidth="1"/>
    <col min="1788" max="1788" width="16.5703125" style="85" bestFit="1" customWidth="1"/>
    <col min="1789" max="1789" width="13.140625" style="85" bestFit="1" customWidth="1"/>
    <col min="1790" max="1792" width="14.28515625" style="85" bestFit="1" customWidth="1"/>
    <col min="1793" max="1793" width="15.42578125" style="85" bestFit="1" customWidth="1"/>
    <col min="1794" max="1796" width="0" style="85" hidden="1" customWidth="1"/>
    <col min="1797" max="1797" width="14.140625" style="85" bestFit="1" customWidth="1"/>
    <col min="1798" max="1798" width="14.85546875" style="85" customWidth="1"/>
    <col min="1799" max="1799" width="14.28515625" style="85" customWidth="1"/>
    <col min="1800" max="1800" width="12.140625" style="85" bestFit="1" customWidth="1"/>
    <col min="1801" max="1801" width="14.28515625" style="85" bestFit="1" customWidth="1"/>
    <col min="1802" max="1802" width="14.140625" style="85" bestFit="1" customWidth="1"/>
    <col min="1803" max="1803" width="15.42578125" style="85" bestFit="1" customWidth="1"/>
    <col min="1804" max="1804" width="16.5703125" style="85" bestFit="1" customWidth="1"/>
    <col min="1805" max="1805" width="17.42578125" style="85" bestFit="1" customWidth="1"/>
    <col min="1806" max="1806" width="24.85546875" style="85" customWidth="1"/>
    <col min="1807" max="1808" width="25.5703125" style="85" bestFit="1" customWidth="1"/>
    <col min="1809" max="1809" width="9.140625" style="85"/>
    <col min="1810" max="1810" width="27" style="85" customWidth="1"/>
    <col min="1811" max="2034" width="9.140625" style="85"/>
    <col min="2035" max="2035" width="5.28515625" style="85" customWidth="1"/>
    <col min="2036" max="2036" width="7.85546875" style="85" customWidth="1"/>
    <col min="2037" max="2037" width="25.140625" style="85" customWidth="1"/>
    <col min="2038" max="2038" width="37.42578125" style="85" customWidth="1"/>
    <col min="2039" max="2039" width="17.140625" style="85" bestFit="1" customWidth="1"/>
    <col min="2040" max="2040" width="15.42578125" style="85" bestFit="1" customWidth="1"/>
    <col min="2041" max="2041" width="16.5703125" style="85" customWidth="1"/>
    <col min="2042" max="2042" width="16.28515625" style="85" bestFit="1" customWidth="1"/>
    <col min="2043" max="2043" width="14.28515625" style="85" bestFit="1" customWidth="1"/>
    <col min="2044" max="2044" width="16.5703125" style="85" bestFit="1" customWidth="1"/>
    <col min="2045" max="2045" width="13.140625" style="85" bestFit="1" customWidth="1"/>
    <col min="2046" max="2048" width="14.28515625" style="85" bestFit="1" customWidth="1"/>
    <col min="2049" max="2049" width="15.42578125" style="85" bestFit="1" customWidth="1"/>
    <col min="2050" max="2052" width="0" style="85" hidden="1" customWidth="1"/>
    <col min="2053" max="2053" width="14.140625" style="85" bestFit="1" customWidth="1"/>
    <col min="2054" max="2054" width="14.85546875" style="85" customWidth="1"/>
    <col min="2055" max="2055" width="14.28515625" style="85" customWidth="1"/>
    <col min="2056" max="2056" width="12.140625" style="85" bestFit="1" customWidth="1"/>
    <col min="2057" max="2057" width="14.28515625" style="85" bestFit="1" customWidth="1"/>
    <col min="2058" max="2058" width="14.140625" style="85" bestFit="1" customWidth="1"/>
    <col min="2059" max="2059" width="15.42578125" style="85" bestFit="1" customWidth="1"/>
    <col min="2060" max="2060" width="16.5703125" style="85" bestFit="1" customWidth="1"/>
    <col min="2061" max="2061" width="17.42578125" style="85" bestFit="1" customWidth="1"/>
    <col min="2062" max="2062" width="24.85546875" style="85" customWidth="1"/>
    <col min="2063" max="2064" width="25.5703125" style="85" bestFit="1" customWidth="1"/>
    <col min="2065" max="2065" width="9.140625" style="85"/>
    <col min="2066" max="2066" width="27" style="85" customWidth="1"/>
    <col min="2067" max="2290" width="9.140625" style="85"/>
    <col min="2291" max="2291" width="5.28515625" style="85" customWidth="1"/>
    <col min="2292" max="2292" width="7.85546875" style="85" customWidth="1"/>
    <col min="2293" max="2293" width="25.140625" style="85" customWidth="1"/>
    <col min="2294" max="2294" width="37.42578125" style="85" customWidth="1"/>
    <col min="2295" max="2295" width="17.140625" style="85" bestFit="1" customWidth="1"/>
    <col min="2296" max="2296" width="15.42578125" style="85" bestFit="1" customWidth="1"/>
    <col min="2297" max="2297" width="16.5703125" style="85" customWidth="1"/>
    <col min="2298" max="2298" width="16.28515625" style="85" bestFit="1" customWidth="1"/>
    <col min="2299" max="2299" width="14.28515625" style="85" bestFit="1" customWidth="1"/>
    <col min="2300" max="2300" width="16.5703125" style="85" bestFit="1" customWidth="1"/>
    <col min="2301" max="2301" width="13.140625" style="85" bestFit="1" customWidth="1"/>
    <col min="2302" max="2304" width="14.28515625" style="85" bestFit="1" customWidth="1"/>
    <col min="2305" max="2305" width="15.42578125" style="85" bestFit="1" customWidth="1"/>
    <col min="2306" max="2308" width="0" style="85" hidden="1" customWidth="1"/>
    <col min="2309" max="2309" width="14.140625" style="85" bestFit="1" customWidth="1"/>
    <col min="2310" max="2310" width="14.85546875" style="85" customWidth="1"/>
    <col min="2311" max="2311" width="14.28515625" style="85" customWidth="1"/>
    <col min="2312" max="2312" width="12.140625" style="85" bestFit="1" customWidth="1"/>
    <col min="2313" max="2313" width="14.28515625" style="85" bestFit="1" customWidth="1"/>
    <col min="2314" max="2314" width="14.140625" style="85" bestFit="1" customWidth="1"/>
    <col min="2315" max="2315" width="15.42578125" style="85" bestFit="1" customWidth="1"/>
    <col min="2316" max="2316" width="16.5703125" style="85" bestFit="1" customWidth="1"/>
    <col min="2317" max="2317" width="17.42578125" style="85" bestFit="1" customWidth="1"/>
    <col min="2318" max="2318" width="24.85546875" style="85" customWidth="1"/>
    <col min="2319" max="2320" width="25.5703125" style="85" bestFit="1" customWidth="1"/>
    <col min="2321" max="2321" width="9.140625" style="85"/>
    <col min="2322" max="2322" width="27" style="85" customWidth="1"/>
    <col min="2323" max="2546" width="9.140625" style="85"/>
    <col min="2547" max="2547" width="5.28515625" style="85" customWidth="1"/>
    <col min="2548" max="2548" width="7.85546875" style="85" customWidth="1"/>
    <col min="2549" max="2549" width="25.140625" style="85" customWidth="1"/>
    <col min="2550" max="2550" width="37.42578125" style="85" customWidth="1"/>
    <col min="2551" max="2551" width="17.140625" style="85" bestFit="1" customWidth="1"/>
    <col min="2552" max="2552" width="15.42578125" style="85" bestFit="1" customWidth="1"/>
    <col min="2553" max="2553" width="16.5703125" style="85" customWidth="1"/>
    <col min="2554" max="2554" width="16.28515625" style="85" bestFit="1" customWidth="1"/>
    <col min="2555" max="2555" width="14.28515625" style="85" bestFit="1" customWidth="1"/>
    <col min="2556" max="2556" width="16.5703125" style="85" bestFit="1" customWidth="1"/>
    <col min="2557" max="2557" width="13.140625" style="85" bestFit="1" customWidth="1"/>
    <col min="2558" max="2560" width="14.28515625" style="85" bestFit="1" customWidth="1"/>
    <col min="2561" max="2561" width="15.42578125" style="85" bestFit="1" customWidth="1"/>
    <col min="2562" max="2564" width="0" style="85" hidden="1" customWidth="1"/>
    <col min="2565" max="2565" width="14.140625" style="85" bestFit="1" customWidth="1"/>
    <col min="2566" max="2566" width="14.85546875" style="85" customWidth="1"/>
    <col min="2567" max="2567" width="14.28515625" style="85" customWidth="1"/>
    <col min="2568" max="2568" width="12.140625" style="85" bestFit="1" customWidth="1"/>
    <col min="2569" max="2569" width="14.28515625" style="85" bestFit="1" customWidth="1"/>
    <col min="2570" max="2570" width="14.140625" style="85" bestFit="1" customWidth="1"/>
    <col min="2571" max="2571" width="15.42578125" style="85" bestFit="1" customWidth="1"/>
    <col min="2572" max="2572" width="16.5703125" style="85" bestFit="1" customWidth="1"/>
    <col min="2573" max="2573" width="17.42578125" style="85" bestFit="1" customWidth="1"/>
    <col min="2574" max="2574" width="24.85546875" style="85" customWidth="1"/>
    <col min="2575" max="2576" width="25.5703125" style="85" bestFit="1" customWidth="1"/>
    <col min="2577" max="2577" width="9.140625" style="85"/>
    <col min="2578" max="2578" width="27" style="85" customWidth="1"/>
    <col min="2579" max="2802" width="9.140625" style="85"/>
    <col min="2803" max="2803" width="5.28515625" style="85" customWidth="1"/>
    <col min="2804" max="2804" width="7.85546875" style="85" customWidth="1"/>
    <col min="2805" max="2805" width="25.140625" style="85" customWidth="1"/>
    <col min="2806" max="2806" width="37.42578125" style="85" customWidth="1"/>
    <col min="2807" max="2807" width="17.140625" style="85" bestFit="1" customWidth="1"/>
    <col min="2808" max="2808" width="15.42578125" style="85" bestFit="1" customWidth="1"/>
    <col min="2809" max="2809" width="16.5703125" style="85" customWidth="1"/>
    <col min="2810" max="2810" width="16.28515625" style="85" bestFit="1" customWidth="1"/>
    <col min="2811" max="2811" width="14.28515625" style="85" bestFit="1" customWidth="1"/>
    <col min="2812" max="2812" width="16.5703125" style="85" bestFit="1" customWidth="1"/>
    <col min="2813" max="2813" width="13.140625" style="85" bestFit="1" customWidth="1"/>
    <col min="2814" max="2816" width="14.28515625" style="85" bestFit="1" customWidth="1"/>
    <col min="2817" max="2817" width="15.42578125" style="85" bestFit="1" customWidth="1"/>
    <col min="2818" max="2820" width="0" style="85" hidden="1" customWidth="1"/>
    <col min="2821" max="2821" width="14.140625" style="85" bestFit="1" customWidth="1"/>
    <col min="2822" max="2822" width="14.85546875" style="85" customWidth="1"/>
    <col min="2823" max="2823" width="14.28515625" style="85" customWidth="1"/>
    <col min="2824" max="2824" width="12.140625" style="85" bestFit="1" customWidth="1"/>
    <col min="2825" max="2825" width="14.28515625" style="85" bestFit="1" customWidth="1"/>
    <col min="2826" max="2826" width="14.140625" style="85" bestFit="1" customWidth="1"/>
    <col min="2827" max="2827" width="15.42578125" style="85" bestFit="1" customWidth="1"/>
    <col min="2828" max="2828" width="16.5703125" style="85" bestFit="1" customWidth="1"/>
    <col min="2829" max="2829" width="17.42578125" style="85" bestFit="1" customWidth="1"/>
    <col min="2830" max="2830" width="24.85546875" style="85" customWidth="1"/>
    <col min="2831" max="2832" width="25.5703125" style="85" bestFit="1" customWidth="1"/>
    <col min="2833" max="2833" width="9.140625" style="85"/>
    <col min="2834" max="2834" width="27" style="85" customWidth="1"/>
    <col min="2835" max="3058" width="9.140625" style="85"/>
    <col min="3059" max="3059" width="5.28515625" style="85" customWidth="1"/>
    <col min="3060" max="3060" width="7.85546875" style="85" customWidth="1"/>
    <col min="3061" max="3061" width="25.140625" style="85" customWidth="1"/>
    <col min="3062" max="3062" width="37.42578125" style="85" customWidth="1"/>
    <col min="3063" max="3063" width="17.140625" style="85" bestFit="1" customWidth="1"/>
    <col min="3064" max="3064" width="15.42578125" style="85" bestFit="1" customWidth="1"/>
    <col min="3065" max="3065" width="16.5703125" style="85" customWidth="1"/>
    <col min="3066" max="3066" width="16.28515625" style="85" bestFit="1" customWidth="1"/>
    <col min="3067" max="3067" width="14.28515625" style="85" bestFit="1" customWidth="1"/>
    <col min="3068" max="3068" width="16.5703125" style="85" bestFit="1" customWidth="1"/>
    <col min="3069" max="3069" width="13.140625" style="85" bestFit="1" customWidth="1"/>
    <col min="3070" max="3072" width="14.28515625" style="85" bestFit="1" customWidth="1"/>
    <col min="3073" max="3073" width="15.42578125" style="85" bestFit="1" customWidth="1"/>
    <col min="3074" max="3076" width="0" style="85" hidden="1" customWidth="1"/>
    <col min="3077" max="3077" width="14.140625" style="85" bestFit="1" customWidth="1"/>
    <col min="3078" max="3078" width="14.85546875" style="85" customWidth="1"/>
    <col min="3079" max="3079" width="14.28515625" style="85" customWidth="1"/>
    <col min="3080" max="3080" width="12.140625" style="85" bestFit="1" customWidth="1"/>
    <col min="3081" max="3081" width="14.28515625" style="85" bestFit="1" customWidth="1"/>
    <col min="3082" max="3082" width="14.140625" style="85" bestFit="1" customWidth="1"/>
    <col min="3083" max="3083" width="15.42578125" style="85" bestFit="1" customWidth="1"/>
    <col min="3084" max="3084" width="16.5703125" style="85" bestFit="1" customWidth="1"/>
    <col min="3085" max="3085" width="17.42578125" style="85" bestFit="1" customWidth="1"/>
    <col min="3086" max="3086" width="24.85546875" style="85" customWidth="1"/>
    <col min="3087" max="3088" width="25.5703125" style="85" bestFit="1" customWidth="1"/>
    <col min="3089" max="3089" width="9.140625" style="85"/>
    <col min="3090" max="3090" width="27" style="85" customWidth="1"/>
    <col min="3091" max="3314" width="9.140625" style="85"/>
    <col min="3315" max="3315" width="5.28515625" style="85" customWidth="1"/>
    <col min="3316" max="3316" width="7.85546875" style="85" customWidth="1"/>
    <col min="3317" max="3317" width="25.140625" style="85" customWidth="1"/>
    <col min="3318" max="3318" width="37.42578125" style="85" customWidth="1"/>
    <col min="3319" max="3319" width="17.140625" style="85" bestFit="1" customWidth="1"/>
    <col min="3320" max="3320" width="15.42578125" style="85" bestFit="1" customWidth="1"/>
    <col min="3321" max="3321" width="16.5703125" style="85" customWidth="1"/>
    <col min="3322" max="3322" width="16.28515625" style="85" bestFit="1" customWidth="1"/>
    <col min="3323" max="3323" width="14.28515625" style="85" bestFit="1" customWidth="1"/>
    <col min="3324" max="3324" width="16.5703125" style="85" bestFit="1" customWidth="1"/>
    <col min="3325" max="3325" width="13.140625" style="85" bestFit="1" customWidth="1"/>
    <col min="3326" max="3328" width="14.28515625" style="85" bestFit="1" customWidth="1"/>
    <col min="3329" max="3329" width="15.42578125" style="85" bestFit="1" customWidth="1"/>
    <col min="3330" max="3332" width="0" style="85" hidden="1" customWidth="1"/>
    <col min="3333" max="3333" width="14.140625" style="85" bestFit="1" customWidth="1"/>
    <col min="3334" max="3334" width="14.85546875" style="85" customWidth="1"/>
    <col min="3335" max="3335" width="14.28515625" style="85" customWidth="1"/>
    <col min="3336" max="3336" width="12.140625" style="85" bestFit="1" customWidth="1"/>
    <col min="3337" max="3337" width="14.28515625" style="85" bestFit="1" customWidth="1"/>
    <col min="3338" max="3338" width="14.140625" style="85" bestFit="1" customWidth="1"/>
    <col min="3339" max="3339" width="15.42578125" style="85" bestFit="1" customWidth="1"/>
    <col min="3340" max="3340" width="16.5703125" style="85" bestFit="1" customWidth="1"/>
    <col min="3341" max="3341" width="17.42578125" style="85" bestFit="1" customWidth="1"/>
    <col min="3342" max="3342" width="24.85546875" style="85" customWidth="1"/>
    <col min="3343" max="3344" width="25.5703125" style="85" bestFit="1" customWidth="1"/>
    <col min="3345" max="3345" width="9.140625" style="85"/>
    <col min="3346" max="3346" width="27" style="85" customWidth="1"/>
    <col min="3347" max="3570" width="9.140625" style="85"/>
    <col min="3571" max="3571" width="5.28515625" style="85" customWidth="1"/>
    <col min="3572" max="3572" width="7.85546875" style="85" customWidth="1"/>
    <col min="3573" max="3573" width="25.140625" style="85" customWidth="1"/>
    <col min="3574" max="3574" width="37.42578125" style="85" customWidth="1"/>
    <col min="3575" max="3575" width="17.140625" style="85" bestFit="1" customWidth="1"/>
    <col min="3576" max="3576" width="15.42578125" style="85" bestFit="1" customWidth="1"/>
    <col min="3577" max="3577" width="16.5703125" style="85" customWidth="1"/>
    <col min="3578" max="3578" width="16.28515625" style="85" bestFit="1" customWidth="1"/>
    <col min="3579" max="3579" width="14.28515625" style="85" bestFit="1" customWidth="1"/>
    <col min="3580" max="3580" width="16.5703125" style="85" bestFit="1" customWidth="1"/>
    <col min="3581" max="3581" width="13.140625" style="85" bestFit="1" customWidth="1"/>
    <col min="3582" max="3584" width="14.28515625" style="85" bestFit="1" customWidth="1"/>
    <col min="3585" max="3585" width="15.42578125" style="85" bestFit="1" customWidth="1"/>
    <col min="3586" max="3588" width="0" style="85" hidden="1" customWidth="1"/>
    <col min="3589" max="3589" width="14.140625" style="85" bestFit="1" customWidth="1"/>
    <col min="3590" max="3590" width="14.85546875" style="85" customWidth="1"/>
    <col min="3591" max="3591" width="14.28515625" style="85" customWidth="1"/>
    <col min="3592" max="3592" width="12.140625" style="85" bestFit="1" customWidth="1"/>
    <col min="3593" max="3593" width="14.28515625" style="85" bestFit="1" customWidth="1"/>
    <col min="3594" max="3594" width="14.140625" style="85" bestFit="1" customWidth="1"/>
    <col min="3595" max="3595" width="15.42578125" style="85" bestFit="1" customWidth="1"/>
    <col min="3596" max="3596" width="16.5703125" style="85" bestFit="1" customWidth="1"/>
    <col min="3597" max="3597" width="17.42578125" style="85" bestFit="1" customWidth="1"/>
    <col min="3598" max="3598" width="24.85546875" style="85" customWidth="1"/>
    <col min="3599" max="3600" width="25.5703125" style="85" bestFit="1" customWidth="1"/>
    <col min="3601" max="3601" width="9.140625" style="85"/>
    <col min="3602" max="3602" width="27" style="85" customWidth="1"/>
    <col min="3603" max="3826" width="9.140625" style="85"/>
    <col min="3827" max="3827" width="5.28515625" style="85" customWidth="1"/>
    <col min="3828" max="3828" width="7.85546875" style="85" customWidth="1"/>
    <col min="3829" max="3829" width="25.140625" style="85" customWidth="1"/>
    <col min="3830" max="3830" width="37.42578125" style="85" customWidth="1"/>
    <col min="3831" max="3831" width="17.140625" style="85" bestFit="1" customWidth="1"/>
    <col min="3832" max="3832" width="15.42578125" style="85" bestFit="1" customWidth="1"/>
    <col min="3833" max="3833" width="16.5703125" style="85" customWidth="1"/>
    <col min="3834" max="3834" width="16.28515625" style="85" bestFit="1" customWidth="1"/>
    <col min="3835" max="3835" width="14.28515625" style="85" bestFit="1" customWidth="1"/>
    <col min="3836" max="3836" width="16.5703125" style="85" bestFit="1" customWidth="1"/>
    <col min="3837" max="3837" width="13.140625" style="85" bestFit="1" customWidth="1"/>
    <col min="3838" max="3840" width="14.28515625" style="85" bestFit="1" customWidth="1"/>
    <col min="3841" max="3841" width="15.42578125" style="85" bestFit="1" customWidth="1"/>
    <col min="3842" max="3844" width="0" style="85" hidden="1" customWidth="1"/>
    <col min="3845" max="3845" width="14.140625" style="85" bestFit="1" customWidth="1"/>
    <col min="3846" max="3846" width="14.85546875" style="85" customWidth="1"/>
    <col min="3847" max="3847" width="14.28515625" style="85" customWidth="1"/>
    <col min="3848" max="3848" width="12.140625" style="85" bestFit="1" customWidth="1"/>
    <col min="3849" max="3849" width="14.28515625" style="85" bestFit="1" customWidth="1"/>
    <col min="3850" max="3850" width="14.140625" style="85" bestFit="1" customWidth="1"/>
    <col min="3851" max="3851" width="15.42578125" style="85" bestFit="1" customWidth="1"/>
    <col min="3852" max="3852" width="16.5703125" style="85" bestFit="1" customWidth="1"/>
    <col min="3853" max="3853" width="17.42578125" style="85" bestFit="1" customWidth="1"/>
    <col min="3854" max="3854" width="24.85546875" style="85" customWidth="1"/>
    <col min="3855" max="3856" width="25.5703125" style="85" bestFit="1" customWidth="1"/>
    <col min="3857" max="3857" width="9.140625" style="85"/>
    <col min="3858" max="3858" width="27" style="85" customWidth="1"/>
    <col min="3859" max="4082" width="9.140625" style="85"/>
    <col min="4083" max="4083" width="5.28515625" style="85" customWidth="1"/>
    <col min="4084" max="4084" width="7.85546875" style="85" customWidth="1"/>
    <col min="4085" max="4085" width="25.140625" style="85" customWidth="1"/>
    <col min="4086" max="4086" width="37.42578125" style="85" customWidth="1"/>
    <col min="4087" max="4087" width="17.140625" style="85" bestFit="1" customWidth="1"/>
    <col min="4088" max="4088" width="15.42578125" style="85" bestFit="1" customWidth="1"/>
    <col min="4089" max="4089" width="16.5703125" style="85" customWidth="1"/>
    <col min="4090" max="4090" width="16.28515625" style="85" bestFit="1" customWidth="1"/>
    <col min="4091" max="4091" width="14.28515625" style="85" bestFit="1" customWidth="1"/>
    <col min="4092" max="4092" width="16.5703125" style="85" bestFit="1" customWidth="1"/>
    <col min="4093" max="4093" width="13.140625" style="85" bestFit="1" customWidth="1"/>
    <col min="4094" max="4096" width="14.28515625" style="85" bestFit="1" customWidth="1"/>
    <col min="4097" max="4097" width="15.42578125" style="85" bestFit="1" customWidth="1"/>
    <col min="4098" max="4100" width="0" style="85" hidden="1" customWidth="1"/>
    <col min="4101" max="4101" width="14.140625" style="85" bestFit="1" customWidth="1"/>
    <col min="4102" max="4102" width="14.85546875" style="85" customWidth="1"/>
    <col min="4103" max="4103" width="14.28515625" style="85" customWidth="1"/>
    <col min="4104" max="4104" width="12.140625" style="85" bestFit="1" customWidth="1"/>
    <col min="4105" max="4105" width="14.28515625" style="85" bestFit="1" customWidth="1"/>
    <col min="4106" max="4106" width="14.140625" style="85" bestFit="1" customWidth="1"/>
    <col min="4107" max="4107" width="15.42578125" style="85" bestFit="1" customWidth="1"/>
    <col min="4108" max="4108" width="16.5703125" style="85" bestFit="1" customWidth="1"/>
    <col min="4109" max="4109" width="17.42578125" style="85" bestFit="1" customWidth="1"/>
    <col min="4110" max="4110" width="24.85546875" style="85" customWidth="1"/>
    <col min="4111" max="4112" width="25.5703125" style="85" bestFit="1" customWidth="1"/>
    <col min="4113" max="4113" width="9.140625" style="85"/>
    <col min="4114" max="4114" width="27" style="85" customWidth="1"/>
    <col min="4115" max="4338" width="9.140625" style="85"/>
    <col min="4339" max="4339" width="5.28515625" style="85" customWidth="1"/>
    <col min="4340" max="4340" width="7.85546875" style="85" customWidth="1"/>
    <col min="4341" max="4341" width="25.140625" style="85" customWidth="1"/>
    <col min="4342" max="4342" width="37.42578125" style="85" customWidth="1"/>
    <col min="4343" max="4343" width="17.140625" style="85" bestFit="1" customWidth="1"/>
    <col min="4344" max="4344" width="15.42578125" style="85" bestFit="1" customWidth="1"/>
    <col min="4345" max="4345" width="16.5703125" style="85" customWidth="1"/>
    <col min="4346" max="4346" width="16.28515625" style="85" bestFit="1" customWidth="1"/>
    <col min="4347" max="4347" width="14.28515625" style="85" bestFit="1" customWidth="1"/>
    <col min="4348" max="4348" width="16.5703125" style="85" bestFit="1" customWidth="1"/>
    <col min="4349" max="4349" width="13.140625" style="85" bestFit="1" customWidth="1"/>
    <col min="4350" max="4352" width="14.28515625" style="85" bestFit="1" customWidth="1"/>
    <col min="4353" max="4353" width="15.42578125" style="85" bestFit="1" customWidth="1"/>
    <col min="4354" max="4356" width="0" style="85" hidden="1" customWidth="1"/>
    <col min="4357" max="4357" width="14.140625" style="85" bestFit="1" customWidth="1"/>
    <col min="4358" max="4358" width="14.85546875" style="85" customWidth="1"/>
    <col min="4359" max="4359" width="14.28515625" style="85" customWidth="1"/>
    <col min="4360" max="4360" width="12.140625" style="85" bestFit="1" customWidth="1"/>
    <col min="4361" max="4361" width="14.28515625" style="85" bestFit="1" customWidth="1"/>
    <col min="4362" max="4362" width="14.140625" style="85" bestFit="1" customWidth="1"/>
    <col min="4363" max="4363" width="15.42578125" style="85" bestFit="1" customWidth="1"/>
    <col min="4364" max="4364" width="16.5703125" style="85" bestFit="1" customWidth="1"/>
    <col min="4365" max="4365" width="17.42578125" style="85" bestFit="1" customWidth="1"/>
    <col min="4366" max="4366" width="24.85546875" style="85" customWidth="1"/>
    <col min="4367" max="4368" width="25.5703125" style="85" bestFit="1" customWidth="1"/>
    <col min="4369" max="4369" width="9.140625" style="85"/>
    <col min="4370" max="4370" width="27" style="85" customWidth="1"/>
    <col min="4371" max="4594" width="9.140625" style="85"/>
    <col min="4595" max="4595" width="5.28515625" style="85" customWidth="1"/>
    <col min="4596" max="4596" width="7.85546875" style="85" customWidth="1"/>
    <col min="4597" max="4597" width="25.140625" style="85" customWidth="1"/>
    <col min="4598" max="4598" width="37.42578125" style="85" customWidth="1"/>
    <col min="4599" max="4599" width="17.140625" style="85" bestFit="1" customWidth="1"/>
    <col min="4600" max="4600" width="15.42578125" style="85" bestFit="1" customWidth="1"/>
    <col min="4601" max="4601" width="16.5703125" style="85" customWidth="1"/>
    <col min="4602" max="4602" width="16.28515625" style="85" bestFit="1" customWidth="1"/>
    <col min="4603" max="4603" width="14.28515625" style="85" bestFit="1" customWidth="1"/>
    <col min="4604" max="4604" width="16.5703125" style="85" bestFit="1" customWidth="1"/>
    <col min="4605" max="4605" width="13.140625" style="85" bestFit="1" customWidth="1"/>
    <col min="4606" max="4608" width="14.28515625" style="85" bestFit="1" customWidth="1"/>
    <col min="4609" max="4609" width="15.42578125" style="85" bestFit="1" customWidth="1"/>
    <col min="4610" max="4612" width="0" style="85" hidden="1" customWidth="1"/>
    <col min="4613" max="4613" width="14.140625" style="85" bestFit="1" customWidth="1"/>
    <col min="4614" max="4614" width="14.85546875" style="85" customWidth="1"/>
    <col min="4615" max="4615" width="14.28515625" style="85" customWidth="1"/>
    <col min="4616" max="4616" width="12.140625" style="85" bestFit="1" customWidth="1"/>
    <col min="4617" max="4617" width="14.28515625" style="85" bestFit="1" customWidth="1"/>
    <col min="4618" max="4618" width="14.140625" style="85" bestFit="1" customWidth="1"/>
    <col min="4619" max="4619" width="15.42578125" style="85" bestFit="1" customWidth="1"/>
    <col min="4620" max="4620" width="16.5703125" style="85" bestFit="1" customWidth="1"/>
    <col min="4621" max="4621" width="17.42578125" style="85" bestFit="1" customWidth="1"/>
    <col min="4622" max="4622" width="24.85546875" style="85" customWidth="1"/>
    <col min="4623" max="4624" width="25.5703125" style="85" bestFit="1" customWidth="1"/>
    <col min="4625" max="4625" width="9.140625" style="85"/>
    <col min="4626" max="4626" width="27" style="85" customWidth="1"/>
    <col min="4627" max="4850" width="9.140625" style="85"/>
    <col min="4851" max="4851" width="5.28515625" style="85" customWidth="1"/>
    <col min="4852" max="4852" width="7.85546875" style="85" customWidth="1"/>
    <col min="4853" max="4853" width="25.140625" style="85" customWidth="1"/>
    <col min="4854" max="4854" width="37.42578125" style="85" customWidth="1"/>
    <col min="4855" max="4855" width="17.140625" style="85" bestFit="1" customWidth="1"/>
    <col min="4856" max="4856" width="15.42578125" style="85" bestFit="1" customWidth="1"/>
    <col min="4857" max="4857" width="16.5703125" style="85" customWidth="1"/>
    <col min="4858" max="4858" width="16.28515625" style="85" bestFit="1" customWidth="1"/>
    <col min="4859" max="4859" width="14.28515625" style="85" bestFit="1" customWidth="1"/>
    <col min="4860" max="4860" width="16.5703125" style="85" bestFit="1" customWidth="1"/>
    <col min="4861" max="4861" width="13.140625" style="85" bestFit="1" customWidth="1"/>
    <col min="4862" max="4864" width="14.28515625" style="85" bestFit="1" customWidth="1"/>
    <col min="4865" max="4865" width="15.42578125" style="85" bestFit="1" customWidth="1"/>
    <col min="4866" max="4868" width="0" style="85" hidden="1" customWidth="1"/>
    <col min="4869" max="4869" width="14.140625" style="85" bestFit="1" customWidth="1"/>
    <col min="4870" max="4870" width="14.85546875" style="85" customWidth="1"/>
    <col min="4871" max="4871" width="14.28515625" style="85" customWidth="1"/>
    <col min="4872" max="4872" width="12.140625" style="85" bestFit="1" customWidth="1"/>
    <col min="4873" max="4873" width="14.28515625" style="85" bestFit="1" customWidth="1"/>
    <col min="4874" max="4874" width="14.140625" style="85" bestFit="1" customWidth="1"/>
    <col min="4875" max="4875" width="15.42578125" style="85" bestFit="1" customWidth="1"/>
    <col min="4876" max="4876" width="16.5703125" style="85" bestFit="1" customWidth="1"/>
    <col min="4877" max="4877" width="17.42578125" style="85" bestFit="1" customWidth="1"/>
    <col min="4878" max="4878" width="24.85546875" style="85" customWidth="1"/>
    <col min="4879" max="4880" width="25.5703125" style="85" bestFit="1" customWidth="1"/>
    <col min="4881" max="4881" width="9.140625" style="85"/>
    <col min="4882" max="4882" width="27" style="85" customWidth="1"/>
    <col min="4883" max="5106" width="9.140625" style="85"/>
    <col min="5107" max="5107" width="5.28515625" style="85" customWidth="1"/>
    <col min="5108" max="5108" width="7.85546875" style="85" customWidth="1"/>
    <col min="5109" max="5109" width="25.140625" style="85" customWidth="1"/>
    <col min="5110" max="5110" width="37.42578125" style="85" customWidth="1"/>
    <col min="5111" max="5111" width="17.140625" style="85" bestFit="1" customWidth="1"/>
    <col min="5112" max="5112" width="15.42578125" style="85" bestFit="1" customWidth="1"/>
    <col min="5113" max="5113" width="16.5703125" style="85" customWidth="1"/>
    <col min="5114" max="5114" width="16.28515625" style="85" bestFit="1" customWidth="1"/>
    <col min="5115" max="5115" width="14.28515625" style="85" bestFit="1" customWidth="1"/>
    <col min="5116" max="5116" width="16.5703125" style="85" bestFit="1" customWidth="1"/>
    <col min="5117" max="5117" width="13.140625" style="85" bestFit="1" customWidth="1"/>
    <col min="5118" max="5120" width="14.28515625" style="85" bestFit="1" customWidth="1"/>
    <col min="5121" max="5121" width="15.42578125" style="85" bestFit="1" customWidth="1"/>
    <col min="5122" max="5124" width="0" style="85" hidden="1" customWidth="1"/>
    <col min="5125" max="5125" width="14.140625" style="85" bestFit="1" customWidth="1"/>
    <col min="5126" max="5126" width="14.85546875" style="85" customWidth="1"/>
    <col min="5127" max="5127" width="14.28515625" style="85" customWidth="1"/>
    <col min="5128" max="5128" width="12.140625" style="85" bestFit="1" customWidth="1"/>
    <col min="5129" max="5129" width="14.28515625" style="85" bestFit="1" customWidth="1"/>
    <col min="5130" max="5130" width="14.140625" style="85" bestFit="1" customWidth="1"/>
    <col min="5131" max="5131" width="15.42578125" style="85" bestFit="1" customWidth="1"/>
    <col min="5132" max="5132" width="16.5703125" style="85" bestFit="1" customWidth="1"/>
    <col min="5133" max="5133" width="17.42578125" style="85" bestFit="1" customWidth="1"/>
    <col min="5134" max="5134" width="24.85546875" style="85" customWidth="1"/>
    <col min="5135" max="5136" width="25.5703125" style="85" bestFit="1" customWidth="1"/>
    <col min="5137" max="5137" width="9.140625" style="85"/>
    <col min="5138" max="5138" width="27" style="85" customWidth="1"/>
    <col min="5139" max="5362" width="9.140625" style="85"/>
    <col min="5363" max="5363" width="5.28515625" style="85" customWidth="1"/>
    <col min="5364" max="5364" width="7.85546875" style="85" customWidth="1"/>
    <col min="5365" max="5365" width="25.140625" style="85" customWidth="1"/>
    <col min="5366" max="5366" width="37.42578125" style="85" customWidth="1"/>
    <col min="5367" max="5367" width="17.140625" style="85" bestFit="1" customWidth="1"/>
    <col min="5368" max="5368" width="15.42578125" style="85" bestFit="1" customWidth="1"/>
    <col min="5369" max="5369" width="16.5703125" style="85" customWidth="1"/>
    <col min="5370" max="5370" width="16.28515625" style="85" bestFit="1" customWidth="1"/>
    <col min="5371" max="5371" width="14.28515625" style="85" bestFit="1" customWidth="1"/>
    <col min="5372" max="5372" width="16.5703125" style="85" bestFit="1" customWidth="1"/>
    <col min="5373" max="5373" width="13.140625" style="85" bestFit="1" customWidth="1"/>
    <col min="5374" max="5376" width="14.28515625" style="85" bestFit="1" customWidth="1"/>
    <col min="5377" max="5377" width="15.42578125" style="85" bestFit="1" customWidth="1"/>
    <col min="5378" max="5380" width="0" style="85" hidden="1" customWidth="1"/>
    <col min="5381" max="5381" width="14.140625" style="85" bestFit="1" customWidth="1"/>
    <col min="5382" max="5382" width="14.85546875" style="85" customWidth="1"/>
    <col min="5383" max="5383" width="14.28515625" style="85" customWidth="1"/>
    <col min="5384" max="5384" width="12.140625" style="85" bestFit="1" customWidth="1"/>
    <col min="5385" max="5385" width="14.28515625" style="85" bestFit="1" customWidth="1"/>
    <col min="5386" max="5386" width="14.140625" style="85" bestFit="1" customWidth="1"/>
    <col min="5387" max="5387" width="15.42578125" style="85" bestFit="1" customWidth="1"/>
    <col min="5388" max="5388" width="16.5703125" style="85" bestFit="1" customWidth="1"/>
    <col min="5389" max="5389" width="17.42578125" style="85" bestFit="1" customWidth="1"/>
    <col min="5390" max="5390" width="24.85546875" style="85" customWidth="1"/>
    <col min="5391" max="5392" width="25.5703125" style="85" bestFit="1" customWidth="1"/>
    <col min="5393" max="5393" width="9.140625" style="85"/>
    <col min="5394" max="5394" width="27" style="85" customWidth="1"/>
    <col min="5395" max="5618" width="9.140625" style="85"/>
    <col min="5619" max="5619" width="5.28515625" style="85" customWidth="1"/>
    <col min="5620" max="5620" width="7.85546875" style="85" customWidth="1"/>
    <col min="5621" max="5621" width="25.140625" style="85" customWidth="1"/>
    <col min="5622" max="5622" width="37.42578125" style="85" customWidth="1"/>
    <col min="5623" max="5623" width="17.140625" style="85" bestFit="1" customWidth="1"/>
    <col min="5624" max="5624" width="15.42578125" style="85" bestFit="1" customWidth="1"/>
    <col min="5625" max="5625" width="16.5703125" style="85" customWidth="1"/>
    <col min="5626" max="5626" width="16.28515625" style="85" bestFit="1" customWidth="1"/>
    <col min="5627" max="5627" width="14.28515625" style="85" bestFit="1" customWidth="1"/>
    <col min="5628" max="5628" width="16.5703125" style="85" bestFit="1" customWidth="1"/>
    <col min="5629" max="5629" width="13.140625" style="85" bestFit="1" customWidth="1"/>
    <col min="5630" max="5632" width="14.28515625" style="85" bestFit="1" customWidth="1"/>
    <col min="5633" max="5633" width="15.42578125" style="85" bestFit="1" customWidth="1"/>
    <col min="5634" max="5636" width="0" style="85" hidden="1" customWidth="1"/>
    <col min="5637" max="5637" width="14.140625" style="85" bestFit="1" customWidth="1"/>
    <col min="5638" max="5638" width="14.85546875" style="85" customWidth="1"/>
    <col min="5639" max="5639" width="14.28515625" style="85" customWidth="1"/>
    <col min="5640" max="5640" width="12.140625" style="85" bestFit="1" customWidth="1"/>
    <col min="5641" max="5641" width="14.28515625" style="85" bestFit="1" customWidth="1"/>
    <col min="5642" max="5642" width="14.140625" style="85" bestFit="1" customWidth="1"/>
    <col min="5643" max="5643" width="15.42578125" style="85" bestFit="1" customWidth="1"/>
    <col min="5644" max="5644" width="16.5703125" style="85" bestFit="1" customWidth="1"/>
    <col min="5645" max="5645" width="17.42578125" style="85" bestFit="1" customWidth="1"/>
    <col min="5646" max="5646" width="24.85546875" style="85" customWidth="1"/>
    <col min="5647" max="5648" width="25.5703125" style="85" bestFit="1" customWidth="1"/>
    <col min="5649" max="5649" width="9.140625" style="85"/>
    <col min="5650" max="5650" width="27" style="85" customWidth="1"/>
    <col min="5651" max="5874" width="9.140625" style="85"/>
    <col min="5875" max="5875" width="5.28515625" style="85" customWidth="1"/>
    <col min="5876" max="5876" width="7.85546875" style="85" customWidth="1"/>
    <col min="5877" max="5877" width="25.140625" style="85" customWidth="1"/>
    <col min="5878" max="5878" width="37.42578125" style="85" customWidth="1"/>
    <col min="5879" max="5879" width="17.140625" style="85" bestFit="1" customWidth="1"/>
    <col min="5880" max="5880" width="15.42578125" style="85" bestFit="1" customWidth="1"/>
    <col min="5881" max="5881" width="16.5703125" style="85" customWidth="1"/>
    <col min="5882" max="5882" width="16.28515625" style="85" bestFit="1" customWidth="1"/>
    <col min="5883" max="5883" width="14.28515625" style="85" bestFit="1" customWidth="1"/>
    <col min="5884" max="5884" width="16.5703125" style="85" bestFit="1" customWidth="1"/>
    <col min="5885" max="5885" width="13.140625" style="85" bestFit="1" customWidth="1"/>
    <col min="5886" max="5888" width="14.28515625" style="85" bestFit="1" customWidth="1"/>
    <col min="5889" max="5889" width="15.42578125" style="85" bestFit="1" customWidth="1"/>
    <col min="5890" max="5892" width="0" style="85" hidden="1" customWidth="1"/>
    <col min="5893" max="5893" width="14.140625" style="85" bestFit="1" customWidth="1"/>
    <col min="5894" max="5894" width="14.85546875" style="85" customWidth="1"/>
    <col min="5895" max="5895" width="14.28515625" style="85" customWidth="1"/>
    <col min="5896" max="5896" width="12.140625" style="85" bestFit="1" customWidth="1"/>
    <col min="5897" max="5897" width="14.28515625" style="85" bestFit="1" customWidth="1"/>
    <col min="5898" max="5898" width="14.140625" style="85" bestFit="1" customWidth="1"/>
    <col min="5899" max="5899" width="15.42578125" style="85" bestFit="1" customWidth="1"/>
    <col min="5900" max="5900" width="16.5703125" style="85" bestFit="1" customWidth="1"/>
    <col min="5901" max="5901" width="17.42578125" style="85" bestFit="1" customWidth="1"/>
    <col min="5902" max="5902" width="24.85546875" style="85" customWidth="1"/>
    <col min="5903" max="5904" width="25.5703125" style="85" bestFit="1" customWidth="1"/>
    <col min="5905" max="5905" width="9.140625" style="85"/>
    <col min="5906" max="5906" width="27" style="85" customWidth="1"/>
    <col min="5907" max="6130" width="9.140625" style="85"/>
    <col min="6131" max="6131" width="5.28515625" style="85" customWidth="1"/>
    <col min="6132" max="6132" width="7.85546875" style="85" customWidth="1"/>
    <col min="6133" max="6133" width="25.140625" style="85" customWidth="1"/>
    <col min="6134" max="6134" width="37.42578125" style="85" customWidth="1"/>
    <col min="6135" max="6135" width="17.140625" style="85" bestFit="1" customWidth="1"/>
    <col min="6136" max="6136" width="15.42578125" style="85" bestFit="1" customWidth="1"/>
    <col min="6137" max="6137" width="16.5703125" style="85" customWidth="1"/>
    <col min="6138" max="6138" width="16.28515625" style="85" bestFit="1" customWidth="1"/>
    <col min="6139" max="6139" width="14.28515625" style="85" bestFit="1" customWidth="1"/>
    <col min="6140" max="6140" width="16.5703125" style="85" bestFit="1" customWidth="1"/>
    <col min="6141" max="6141" width="13.140625" style="85" bestFit="1" customWidth="1"/>
    <col min="6142" max="6144" width="14.28515625" style="85" bestFit="1" customWidth="1"/>
    <col min="6145" max="6145" width="15.42578125" style="85" bestFit="1" customWidth="1"/>
    <col min="6146" max="6148" width="0" style="85" hidden="1" customWidth="1"/>
    <col min="6149" max="6149" width="14.140625" style="85" bestFit="1" customWidth="1"/>
    <col min="6150" max="6150" width="14.85546875" style="85" customWidth="1"/>
    <col min="6151" max="6151" width="14.28515625" style="85" customWidth="1"/>
    <col min="6152" max="6152" width="12.140625" style="85" bestFit="1" customWidth="1"/>
    <col min="6153" max="6153" width="14.28515625" style="85" bestFit="1" customWidth="1"/>
    <col min="6154" max="6154" width="14.140625" style="85" bestFit="1" customWidth="1"/>
    <col min="6155" max="6155" width="15.42578125" style="85" bestFit="1" customWidth="1"/>
    <col min="6156" max="6156" width="16.5703125" style="85" bestFit="1" customWidth="1"/>
    <col min="6157" max="6157" width="17.42578125" style="85" bestFit="1" customWidth="1"/>
    <col min="6158" max="6158" width="24.85546875" style="85" customWidth="1"/>
    <col min="6159" max="6160" width="25.5703125" style="85" bestFit="1" customWidth="1"/>
    <col min="6161" max="6161" width="9.140625" style="85"/>
    <col min="6162" max="6162" width="27" style="85" customWidth="1"/>
    <col min="6163" max="6386" width="9.140625" style="85"/>
    <col min="6387" max="6387" width="5.28515625" style="85" customWidth="1"/>
    <col min="6388" max="6388" width="7.85546875" style="85" customWidth="1"/>
    <col min="6389" max="6389" width="25.140625" style="85" customWidth="1"/>
    <col min="6390" max="6390" width="37.42578125" style="85" customWidth="1"/>
    <col min="6391" max="6391" width="17.140625" style="85" bestFit="1" customWidth="1"/>
    <col min="6392" max="6392" width="15.42578125" style="85" bestFit="1" customWidth="1"/>
    <col min="6393" max="6393" width="16.5703125" style="85" customWidth="1"/>
    <col min="6394" max="6394" width="16.28515625" style="85" bestFit="1" customWidth="1"/>
    <col min="6395" max="6395" width="14.28515625" style="85" bestFit="1" customWidth="1"/>
    <col min="6396" max="6396" width="16.5703125" style="85" bestFit="1" customWidth="1"/>
    <col min="6397" max="6397" width="13.140625" style="85" bestFit="1" customWidth="1"/>
    <col min="6398" max="6400" width="14.28515625" style="85" bestFit="1" customWidth="1"/>
    <col min="6401" max="6401" width="15.42578125" style="85" bestFit="1" customWidth="1"/>
    <col min="6402" max="6404" width="0" style="85" hidden="1" customWidth="1"/>
    <col min="6405" max="6405" width="14.140625" style="85" bestFit="1" customWidth="1"/>
    <col min="6406" max="6406" width="14.85546875" style="85" customWidth="1"/>
    <col min="6407" max="6407" width="14.28515625" style="85" customWidth="1"/>
    <col min="6408" max="6408" width="12.140625" style="85" bestFit="1" customWidth="1"/>
    <col min="6409" max="6409" width="14.28515625" style="85" bestFit="1" customWidth="1"/>
    <col min="6410" max="6410" width="14.140625" style="85" bestFit="1" customWidth="1"/>
    <col min="6411" max="6411" width="15.42578125" style="85" bestFit="1" customWidth="1"/>
    <col min="6412" max="6412" width="16.5703125" style="85" bestFit="1" customWidth="1"/>
    <col min="6413" max="6413" width="17.42578125" style="85" bestFit="1" customWidth="1"/>
    <col min="6414" max="6414" width="24.85546875" style="85" customWidth="1"/>
    <col min="6415" max="6416" width="25.5703125" style="85" bestFit="1" customWidth="1"/>
    <col min="6417" max="6417" width="9.140625" style="85"/>
    <col min="6418" max="6418" width="27" style="85" customWidth="1"/>
    <col min="6419" max="6642" width="9.140625" style="85"/>
    <col min="6643" max="6643" width="5.28515625" style="85" customWidth="1"/>
    <col min="6644" max="6644" width="7.85546875" style="85" customWidth="1"/>
    <col min="6645" max="6645" width="25.140625" style="85" customWidth="1"/>
    <col min="6646" max="6646" width="37.42578125" style="85" customWidth="1"/>
    <col min="6647" max="6647" width="17.140625" style="85" bestFit="1" customWidth="1"/>
    <col min="6648" max="6648" width="15.42578125" style="85" bestFit="1" customWidth="1"/>
    <col min="6649" max="6649" width="16.5703125" style="85" customWidth="1"/>
    <col min="6650" max="6650" width="16.28515625" style="85" bestFit="1" customWidth="1"/>
    <col min="6651" max="6651" width="14.28515625" style="85" bestFit="1" customWidth="1"/>
    <col min="6652" max="6652" width="16.5703125" style="85" bestFit="1" customWidth="1"/>
    <col min="6653" max="6653" width="13.140625" style="85" bestFit="1" customWidth="1"/>
    <col min="6654" max="6656" width="14.28515625" style="85" bestFit="1" customWidth="1"/>
    <col min="6657" max="6657" width="15.42578125" style="85" bestFit="1" customWidth="1"/>
    <col min="6658" max="6660" width="0" style="85" hidden="1" customWidth="1"/>
    <col min="6661" max="6661" width="14.140625" style="85" bestFit="1" customWidth="1"/>
    <col min="6662" max="6662" width="14.85546875" style="85" customWidth="1"/>
    <col min="6663" max="6663" width="14.28515625" style="85" customWidth="1"/>
    <col min="6664" max="6664" width="12.140625" style="85" bestFit="1" customWidth="1"/>
    <col min="6665" max="6665" width="14.28515625" style="85" bestFit="1" customWidth="1"/>
    <col min="6666" max="6666" width="14.140625" style="85" bestFit="1" customWidth="1"/>
    <col min="6667" max="6667" width="15.42578125" style="85" bestFit="1" customWidth="1"/>
    <col min="6668" max="6668" width="16.5703125" style="85" bestFit="1" customWidth="1"/>
    <col min="6669" max="6669" width="17.42578125" style="85" bestFit="1" customWidth="1"/>
    <col min="6670" max="6670" width="24.85546875" style="85" customWidth="1"/>
    <col min="6671" max="6672" width="25.5703125" style="85" bestFit="1" customWidth="1"/>
    <col min="6673" max="6673" width="9.140625" style="85"/>
    <col min="6674" max="6674" width="27" style="85" customWidth="1"/>
    <col min="6675" max="6898" width="9.140625" style="85"/>
    <col min="6899" max="6899" width="5.28515625" style="85" customWidth="1"/>
    <col min="6900" max="6900" width="7.85546875" style="85" customWidth="1"/>
    <col min="6901" max="6901" width="25.140625" style="85" customWidth="1"/>
    <col min="6902" max="6902" width="37.42578125" style="85" customWidth="1"/>
    <col min="6903" max="6903" width="17.140625" style="85" bestFit="1" customWidth="1"/>
    <col min="6904" max="6904" width="15.42578125" style="85" bestFit="1" customWidth="1"/>
    <col min="6905" max="6905" width="16.5703125" style="85" customWidth="1"/>
    <col min="6906" max="6906" width="16.28515625" style="85" bestFit="1" customWidth="1"/>
    <col min="6907" max="6907" width="14.28515625" style="85" bestFit="1" customWidth="1"/>
    <col min="6908" max="6908" width="16.5703125" style="85" bestFit="1" customWidth="1"/>
    <col min="6909" max="6909" width="13.140625" style="85" bestFit="1" customWidth="1"/>
    <col min="6910" max="6912" width="14.28515625" style="85" bestFit="1" customWidth="1"/>
    <col min="6913" max="6913" width="15.42578125" style="85" bestFit="1" customWidth="1"/>
    <col min="6914" max="6916" width="0" style="85" hidden="1" customWidth="1"/>
    <col min="6917" max="6917" width="14.140625" style="85" bestFit="1" customWidth="1"/>
    <col min="6918" max="6918" width="14.85546875" style="85" customWidth="1"/>
    <col min="6919" max="6919" width="14.28515625" style="85" customWidth="1"/>
    <col min="6920" max="6920" width="12.140625" style="85" bestFit="1" customWidth="1"/>
    <col min="6921" max="6921" width="14.28515625" style="85" bestFit="1" customWidth="1"/>
    <col min="6922" max="6922" width="14.140625" style="85" bestFit="1" customWidth="1"/>
    <col min="6923" max="6923" width="15.42578125" style="85" bestFit="1" customWidth="1"/>
    <col min="6924" max="6924" width="16.5703125" style="85" bestFit="1" customWidth="1"/>
    <col min="6925" max="6925" width="17.42578125" style="85" bestFit="1" customWidth="1"/>
    <col min="6926" max="6926" width="24.85546875" style="85" customWidth="1"/>
    <col min="6927" max="6928" width="25.5703125" style="85" bestFit="1" customWidth="1"/>
    <col min="6929" max="6929" width="9.140625" style="85"/>
    <col min="6930" max="6930" width="27" style="85" customWidth="1"/>
    <col min="6931" max="7154" width="9.140625" style="85"/>
    <col min="7155" max="7155" width="5.28515625" style="85" customWidth="1"/>
    <col min="7156" max="7156" width="7.85546875" style="85" customWidth="1"/>
    <col min="7157" max="7157" width="25.140625" style="85" customWidth="1"/>
    <col min="7158" max="7158" width="37.42578125" style="85" customWidth="1"/>
    <col min="7159" max="7159" width="17.140625" style="85" bestFit="1" customWidth="1"/>
    <col min="7160" max="7160" width="15.42578125" style="85" bestFit="1" customWidth="1"/>
    <col min="7161" max="7161" width="16.5703125" style="85" customWidth="1"/>
    <col min="7162" max="7162" width="16.28515625" style="85" bestFit="1" customWidth="1"/>
    <col min="7163" max="7163" width="14.28515625" style="85" bestFit="1" customWidth="1"/>
    <col min="7164" max="7164" width="16.5703125" style="85" bestFit="1" customWidth="1"/>
    <col min="7165" max="7165" width="13.140625" style="85" bestFit="1" customWidth="1"/>
    <col min="7166" max="7168" width="14.28515625" style="85" bestFit="1" customWidth="1"/>
    <col min="7169" max="7169" width="15.42578125" style="85" bestFit="1" customWidth="1"/>
    <col min="7170" max="7172" width="0" style="85" hidden="1" customWidth="1"/>
    <col min="7173" max="7173" width="14.140625" style="85" bestFit="1" customWidth="1"/>
    <col min="7174" max="7174" width="14.85546875" style="85" customWidth="1"/>
    <col min="7175" max="7175" width="14.28515625" style="85" customWidth="1"/>
    <col min="7176" max="7176" width="12.140625" style="85" bestFit="1" customWidth="1"/>
    <col min="7177" max="7177" width="14.28515625" style="85" bestFit="1" customWidth="1"/>
    <col min="7178" max="7178" width="14.140625" style="85" bestFit="1" customWidth="1"/>
    <col min="7179" max="7179" width="15.42578125" style="85" bestFit="1" customWidth="1"/>
    <col min="7180" max="7180" width="16.5703125" style="85" bestFit="1" customWidth="1"/>
    <col min="7181" max="7181" width="17.42578125" style="85" bestFit="1" customWidth="1"/>
    <col min="7182" max="7182" width="24.85546875" style="85" customWidth="1"/>
    <col min="7183" max="7184" width="25.5703125" style="85" bestFit="1" customWidth="1"/>
    <col min="7185" max="7185" width="9.140625" style="85"/>
    <col min="7186" max="7186" width="27" style="85" customWidth="1"/>
    <col min="7187" max="7410" width="9.140625" style="85"/>
    <col min="7411" max="7411" width="5.28515625" style="85" customWidth="1"/>
    <col min="7412" max="7412" width="7.85546875" style="85" customWidth="1"/>
    <col min="7413" max="7413" width="25.140625" style="85" customWidth="1"/>
    <col min="7414" max="7414" width="37.42578125" style="85" customWidth="1"/>
    <col min="7415" max="7415" width="17.140625" style="85" bestFit="1" customWidth="1"/>
    <col min="7416" max="7416" width="15.42578125" style="85" bestFit="1" customWidth="1"/>
    <col min="7417" max="7417" width="16.5703125" style="85" customWidth="1"/>
    <col min="7418" max="7418" width="16.28515625" style="85" bestFit="1" customWidth="1"/>
    <col min="7419" max="7419" width="14.28515625" style="85" bestFit="1" customWidth="1"/>
    <col min="7420" max="7420" width="16.5703125" style="85" bestFit="1" customWidth="1"/>
    <col min="7421" max="7421" width="13.140625" style="85" bestFit="1" customWidth="1"/>
    <col min="7422" max="7424" width="14.28515625" style="85" bestFit="1" customWidth="1"/>
    <col min="7425" max="7425" width="15.42578125" style="85" bestFit="1" customWidth="1"/>
    <col min="7426" max="7428" width="0" style="85" hidden="1" customWidth="1"/>
    <col min="7429" max="7429" width="14.140625" style="85" bestFit="1" customWidth="1"/>
    <col min="7430" max="7430" width="14.85546875" style="85" customWidth="1"/>
    <col min="7431" max="7431" width="14.28515625" style="85" customWidth="1"/>
    <col min="7432" max="7432" width="12.140625" style="85" bestFit="1" customWidth="1"/>
    <col min="7433" max="7433" width="14.28515625" style="85" bestFit="1" customWidth="1"/>
    <col min="7434" max="7434" width="14.140625" style="85" bestFit="1" customWidth="1"/>
    <col min="7435" max="7435" width="15.42578125" style="85" bestFit="1" customWidth="1"/>
    <col min="7436" max="7436" width="16.5703125" style="85" bestFit="1" customWidth="1"/>
    <col min="7437" max="7437" width="17.42578125" style="85" bestFit="1" customWidth="1"/>
    <col min="7438" max="7438" width="24.85546875" style="85" customWidth="1"/>
    <col min="7439" max="7440" width="25.5703125" style="85" bestFit="1" customWidth="1"/>
    <col min="7441" max="7441" width="9.140625" style="85"/>
    <col min="7442" max="7442" width="27" style="85" customWidth="1"/>
    <col min="7443" max="7666" width="9.140625" style="85"/>
    <col min="7667" max="7667" width="5.28515625" style="85" customWidth="1"/>
    <col min="7668" max="7668" width="7.85546875" style="85" customWidth="1"/>
    <col min="7669" max="7669" width="25.140625" style="85" customWidth="1"/>
    <col min="7670" max="7670" width="37.42578125" style="85" customWidth="1"/>
    <col min="7671" max="7671" width="17.140625" style="85" bestFit="1" customWidth="1"/>
    <col min="7672" max="7672" width="15.42578125" style="85" bestFit="1" customWidth="1"/>
    <col min="7673" max="7673" width="16.5703125" style="85" customWidth="1"/>
    <col min="7674" max="7674" width="16.28515625" style="85" bestFit="1" customWidth="1"/>
    <col min="7675" max="7675" width="14.28515625" style="85" bestFit="1" customWidth="1"/>
    <col min="7676" max="7676" width="16.5703125" style="85" bestFit="1" customWidth="1"/>
    <col min="7677" max="7677" width="13.140625" style="85" bestFit="1" customWidth="1"/>
    <col min="7678" max="7680" width="14.28515625" style="85" bestFit="1" customWidth="1"/>
    <col min="7681" max="7681" width="15.42578125" style="85" bestFit="1" customWidth="1"/>
    <col min="7682" max="7684" width="0" style="85" hidden="1" customWidth="1"/>
    <col min="7685" max="7685" width="14.140625" style="85" bestFit="1" customWidth="1"/>
    <col min="7686" max="7686" width="14.85546875" style="85" customWidth="1"/>
    <col min="7687" max="7687" width="14.28515625" style="85" customWidth="1"/>
    <col min="7688" max="7688" width="12.140625" style="85" bestFit="1" customWidth="1"/>
    <col min="7689" max="7689" width="14.28515625" style="85" bestFit="1" customWidth="1"/>
    <col min="7690" max="7690" width="14.140625" style="85" bestFit="1" customWidth="1"/>
    <col min="7691" max="7691" width="15.42578125" style="85" bestFit="1" customWidth="1"/>
    <col min="7692" max="7692" width="16.5703125" style="85" bestFit="1" customWidth="1"/>
    <col min="7693" max="7693" width="17.42578125" style="85" bestFit="1" customWidth="1"/>
    <col min="7694" max="7694" width="24.85546875" style="85" customWidth="1"/>
    <col min="7695" max="7696" width="25.5703125" style="85" bestFit="1" customWidth="1"/>
    <col min="7697" max="7697" width="9.140625" style="85"/>
    <col min="7698" max="7698" width="27" style="85" customWidth="1"/>
    <col min="7699" max="7922" width="9.140625" style="85"/>
    <col min="7923" max="7923" width="5.28515625" style="85" customWidth="1"/>
    <col min="7924" max="7924" width="7.85546875" style="85" customWidth="1"/>
    <col min="7925" max="7925" width="25.140625" style="85" customWidth="1"/>
    <col min="7926" max="7926" width="37.42578125" style="85" customWidth="1"/>
    <col min="7927" max="7927" width="17.140625" style="85" bestFit="1" customWidth="1"/>
    <col min="7928" max="7928" width="15.42578125" style="85" bestFit="1" customWidth="1"/>
    <col min="7929" max="7929" width="16.5703125" style="85" customWidth="1"/>
    <col min="7930" max="7930" width="16.28515625" style="85" bestFit="1" customWidth="1"/>
    <col min="7931" max="7931" width="14.28515625" style="85" bestFit="1" customWidth="1"/>
    <col min="7932" max="7932" width="16.5703125" style="85" bestFit="1" customWidth="1"/>
    <col min="7933" max="7933" width="13.140625" style="85" bestFit="1" customWidth="1"/>
    <col min="7934" max="7936" width="14.28515625" style="85" bestFit="1" customWidth="1"/>
    <col min="7937" max="7937" width="15.42578125" style="85" bestFit="1" customWidth="1"/>
    <col min="7938" max="7940" width="0" style="85" hidden="1" customWidth="1"/>
    <col min="7941" max="7941" width="14.140625" style="85" bestFit="1" customWidth="1"/>
    <col min="7942" max="7942" width="14.85546875" style="85" customWidth="1"/>
    <col min="7943" max="7943" width="14.28515625" style="85" customWidth="1"/>
    <col min="7944" max="7944" width="12.140625" style="85" bestFit="1" customWidth="1"/>
    <col min="7945" max="7945" width="14.28515625" style="85" bestFit="1" customWidth="1"/>
    <col min="7946" max="7946" width="14.140625" style="85" bestFit="1" customWidth="1"/>
    <col min="7947" max="7947" width="15.42578125" style="85" bestFit="1" customWidth="1"/>
    <col min="7948" max="7948" width="16.5703125" style="85" bestFit="1" customWidth="1"/>
    <col min="7949" max="7949" width="17.42578125" style="85" bestFit="1" customWidth="1"/>
    <col min="7950" max="7950" width="24.85546875" style="85" customWidth="1"/>
    <col min="7951" max="7952" width="25.5703125" style="85" bestFit="1" customWidth="1"/>
    <col min="7953" max="7953" width="9.140625" style="85"/>
    <col min="7954" max="7954" width="27" style="85" customWidth="1"/>
    <col min="7955" max="8178" width="9.140625" style="85"/>
    <col min="8179" max="8179" width="5.28515625" style="85" customWidth="1"/>
    <col min="8180" max="8180" width="7.85546875" style="85" customWidth="1"/>
    <col min="8181" max="8181" width="25.140625" style="85" customWidth="1"/>
    <col min="8182" max="8182" width="37.42578125" style="85" customWidth="1"/>
    <col min="8183" max="8183" width="17.140625" style="85" bestFit="1" customWidth="1"/>
    <col min="8184" max="8184" width="15.42578125" style="85" bestFit="1" customWidth="1"/>
    <col min="8185" max="8185" width="16.5703125" style="85" customWidth="1"/>
    <col min="8186" max="8186" width="16.28515625" style="85" bestFit="1" customWidth="1"/>
    <col min="8187" max="8187" width="14.28515625" style="85" bestFit="1" customWidth="1"/>
    <col min="8188" max="8188" width="16.5703125" style="85" bestFit="1" customWidth="1"/>
    <col min="8189" max="8189" width="13.140625" style="85" bestFit="1" customWidth="1"/>
    <col min="8190" max="8192" width="14.28515625" style="85" bestFit="1" customWidth="1"/>
    <col min="8193" max="8193" width="15.42578125" style="85" bestFit="1" customWidth="1"/>
    <col min="8194" max="8196" width="0" style="85" hidden="1" customWidth="1"/>
    <col min="8197" max="8197" width="14.140625" style="85" bestFit="1" customWidth="1"/>
    <col min="8198" max="8198" width="14.85546875" style="85" customWidth="1"/>
    <col min="8199" max="8199" width="14.28515625" style="85" customWidth="1"/>
    <col min="8200" max="8200" width="12.140625" style="85" bestFit="1" customWidth="1"/>
    <col min="8201" max="8201" width="14.28515625" style="85" bestFit="1" customWidth="1"/>
    <col min="8202" max="8202" width="14.140625" style="85" bestFit="1" customWidth="1"/>
    <col min="8203" max="8203" width="15.42578125" style="85" bestFit="1" customWidth="1"/>
    <col min="8204" max="8204" width="16.5703125" style="85" bestFit="1" customWidth="1"/>
    <col min="8205" max="8205" width="17.42578125" style="85" bestFit="1" customWidth="1"/>
    <col min="8206" max="8206" width="24.85546875" style="85" customWidth="1"/>
    <col min="8207" max="8208" width="25.5703125" style="85" bestFit="1" customWidth="1"/>
    <col min="8209" max="8209" width="9.140625" style="85"/>
    <col min="8210" max="8210" width="27" style="85" customWidth="1"/>
    <col min="8211" max="8434" width="9.140625" style="85"/>
    <col min="8435" max="8435" width="5.28515625" style="85" customWidth="1"/>
    <col min="8436" max="8436" width="7.85546875" style="85" customWidth="1"/>
    <col min="8437" max="8437" width="25.140625" style="85" customWidth="1"/>
    <col min="8438" max="8438" width="37.42578125" style="85" customWidth="1"/>
    <col min="8439" max="8439" width="17.140625" style="85" bestFit="1" customWidth="1"/>
    <col min="8440" max="8440" width="15.42578125" style="85" bestFit="1" customWidth="1"/>
    <col min="8441" max="8441" width="16.5703125" style="85" customWidth="1"/>
    <col min="8442" max="8442" width="16.28515625" style="85" bestFit="1" customWidth="1"/>
    <col min="8443" max="8443" width="14.28515625" style="85" bestFit="1" customWidth="1"/>
    <col min="8444" max="8444" width="16.5703125" style="85" bestFit="1" customWidth="1"/>
    <col min="8445" max="8445" width="13.140625" style="85" bestFit="1" customWidth="1"/>
    <col min="8446" max="8448" width="14.28515625" style="85" bestFit="1" customWidth="1"/>
    <col min="8449" max="8449" width="15.42578125" style="85" bestFit="1" customWidth="1"/>
    <col min="8450" max="8452" width="0" style="85" hidden="1" customWidth="1"/>
    <col min="8453" max="8453" width="14.140625" style="85" bestFit="1" customWidth="1"/>
    <col min="8454" max="8454" width="14.85546875" style="85" customWidth="1"/>
    <col min="8455" max="8455" width="14.28515625" style="85" customWidth="1"/>
    <col min="8456" max="8456" width="12.140625" style="85" bestFit="1" customWidth="1"/>
    <col min="8457" max="8457" width="14.28515625" style="85" bestFit="1" customWidth="1"/>
    <col min="8458" max="8458" width="14.140625" style="85" bestFit="1" customWidth="1"/>
    <col min="8459" max="8459" width="15.42578125" style="85" bestFit="1" customWidth="1"/>
    <col min="8460" max="8460" width="16.5703125" style="85" bestFit="1" customWidth="1"/>
    <col min="8461" max="8461" width="17.42578125" style="85" bestFit="1" customWidth="1"/>
    <col min="8462" max="8462" width="24.85546875" style="85" customWidth="1"/>
    <col min="8463" max="8464" width="25.5703125" style="85" bestFit="1" customWidth="1"/>
    <col min="8465" max="8465" width="9.140625" style="85"/>
    <col min="8466" max="8466" width="27" style="85" customWidth="1"/>
    <col min="8467" max="8690" width="9.140625" style="85"/>
    <col min="8691" max="8691" width="5.28515625" style="85" customWidth="1"/>
    <col min="8692" max="8692" width="7.85546875" style="85" customWidth="1"/>
    <col min="8693" max="8693" width="25.140625" style="85" customWidth="1"/>
    <col min="8694" max="8694" width="37.42578125" style="85" customWidth="1"/>
    <col min="8695" max="8695" width="17.140625" style="85" bestFit="1" customWidth="1"/>
    <col min="8696" max="8696" width="15.42578125" style="85" bestFit="1" customWidth="1"/>
    <col min="8697" max="8697" width="16.5703125" style="85" customWidth="1"/>
    <col min="8698" max="8698" width="16.28515625" style="85" bestFit="1" customWidth="1"/>
    <col min="8699" max="8699" width="14.28515625" style="85" bestFit="1" customWidth="1"/>
    <col min="8700" max="8700" width="16.5703125" style="85" bestFit="1" customWidth="1"/>
    <col min="8701" max="8701" width="13.140625" style="85" bestFit="1" customWidth="1"/>
    <col min="8702" max="8704" width="14.28515625" style="85" bestFit="1" customWidth="1"/>
    <col min="8705" max="8705" width="15.42578125" style="85" bestFit="1" customWidth="1"/>
    <col min="8706" max="8708" width="0" style="85" hidden="1" customWidth="1"/>
    <col min="8709" max="8709" width="14.140625" style="85" bestFit="1" customWidth="1"/>
    <col min="8710" max="8710" width="14.85546875" style="85" customWidth="1"/>
    <col min="8711" max="8711" width="14.28515625" style="85" customWidth="1"/>
    <col min="8712" max="8712" width="12.140625" style="85" bestFit="1" customWidth="1"/>
    <col min="8713" max="8713" width="14.28515625" style="85" bestFit="1" customWidth="1"/>
    <col min="8714" max="8714" width="14.140625" style="85" bestFit="1" customWidth="1"/>
    <col min="8715" max="8715" width="15.42578125" style="85" bestFit="1" customWidth="1"/>
    <col min="8716" max="8716" width="16.5703125" style="85" bestFit="1" customWidth="1"/>
    <col min="8717" max="8717" width="17.42578125" style="85" bestFit="1" customWidth="1"/>
    <col min="8718" max="8718" width="24.85546875" style="85" customWidth="1"/>
    <col min="8719" max="8720" width="25.5703125" style="85" bestFit="1" customWidth="1"/>
    <col min="8721" max="8721" width="9.140625" style="85"/>
    <col min="8722" max="8722" width="27" style="85" customWidth="1"/>
    <col min="8723" max="8946" width="9.140625" style="85"/>
    <col min="8947" max="8947" width="5.28515625" style="85" customWidth="1"/>
    <col min="8948" max="8948" width="7.85546875" style="85" customWidth="1"/>
    <col min="8949" max="8949" width="25.140625" style="85" customWidth="1"/>
    <col min="8950" max="8950" width="37.42578125" style="85" customWidth="1"/>
    <col min="8951" max="8951" width="17.140625" style="85" bestFit="1" customWidth="1"/>
    <col min="8952" max="8952" width="15.42578125" style="85" bestFit="1" customWidth="1"/>
    <col min="8953" max="8953" width="16.5703125" style="85" customWidth="1"/>
    <col min="8954" max="8954" width="16.28515625" style="85" bestFit="1" customWidth="1"/>
    <col min="8955" max="8955" width="14.28515625" style="85" bestFit="1" customWidth="1"/>
    <col min="8956" max="8956" width="16.5703125" style="85" bestFit="1" customWidth="1"/>
    <col min="8957" max="8957" width="13.140625" style="85" bestFit="1" customWidth="1"/>
    <col min="8958" max="8960" width="14.28515625" style="85" bestFit="1" customWidth="1"/>
    <col min="8961" max="8961" width="15.42578125" style="85" bestFit="1" customWidth="1"/>
    <col min="8962" max="8964" width="0" style="85" hidden="1" customWidth="1"/>
    <col min="8965" max="8965" width="14.140625" style="85" bestFit="1" customWidth="1"/>
    <col min="8966" max="8966" width="14.85546875" style="85" customWidth="1"/>
    <col min="8967" max="8967" width="14.28515625" style="85" customWidth="1"/>
    <col min="8968" max="8968" width="12.140625" style="85" bestFit="1" customWidth="1"/>
    <col min="8969" max="8969" width="14.28515625" style="85" bestFit="1" customWidth="1"/>
    <col min="8970" max="8970" width="14.140625" style="85" bestFit="1" customWidth="1"/>
    <col min="8971" max="8971" width="15.42578125" style="85" bestFit="1" customWidth="1"/>
    <col min="8972" max="8972" width="16.5703125" style="85" bestFit="1" customWidth="1"/>
    <col min="8973" max="8973" width="17.42578125" style="85" bestFit="1" customWidth="1"/>
    <col min="8974" max="8974" width="24.85546875" style="85" customWidth="1"/>
    <col min="8975" max="8976" width="25.5703125" style="85" bestFit="1" customWidth="1"/>
    <col min="8977" max="8977" width="9.140625" style="85"/>
    <col min="8978" max="8978" width="27" style="85" customWidth="1"/>
    <col min="8979" max="9202" width="9.140625" style="85"/>
    <col min="9203" max="9203" width="5.28515625" style="85" customWidth="1"/>
    <col min="9204" max="9204" width="7.85546875" style="85" customWidth="1"/>
    <col min="9205" max="9205" width="25.140625" style="85" customWidth="1"/>
    <col min="9206" max="9206" width="37.42578125" style="85" customWidth="1"/>
    <col min="9207" max="9207" width="17.140625" style="85" bestFit="1" customWidth="1"/>
    <col min="9208" max="9208" width="15.42578125" style="85" bestFit="1" customWidth="1"/>
    <col min="9209" max="9209" width="16.5703125" style="85" customWidth="1"/>
    <col min="9210" max="9210" width="16.28515625" style="85" bestFit="1" customWidth="1"/>
    <col min="9211" max="9211" width="14.28515625" style="85" bestFit="1" customWidth="1"/>
    <col min="9212" max="9212" width="16.5703125" style="85" bestFit="1" customWidth="1"/>
    <col min="9213" max="9213" width="13.140625" style="85" bestFit="1" customWidth="1"/>
    <col min="9214" max="9216" width="14.28515625" style="85" bestFit="1" customWidth="1"/>
    <col min="9217" max="9217" width="15.42578125" style="85" bestFit="1" customWidth="1"/>
    <col min="9218" max="9220" width="0" style="85" hidden="1" customWidth="1"/>
    <col min="9221" max="9221" width="14.140625" style="85" bestFit="1" customWidth="1"/>
    <col min="9222" max="9222" width="14.85546875" style="85" customWidth="1"/>
    <col min="9223" max="9223" width="14.28515625" style="85" customWidth="1"/>
    <col min="9224" max="9224" width="12.140625" style="85" bestFit="1" customWidth="1"/>
    <col min="9225" max="9225" width="14.28515625" style="85" bestFit="1" customWidth="1"/>
    <col min="9226" max="9226" width="14.140625" style="85" bestFit="1" customWidth="1"/>
    <col min="9227" max="9227" width="15.42578125" style="85" bestFit="1" customWidth="1"/>
    <col min="9228" max="9228" width="16.5703125" style="85" bestFit="1" customWidth="1"/>
    <col min="9229" max="9229" width="17.42578125" style="85" bestFit="1" customWidth="1"/>
    <col min="9230" max="9230" width="24.85546875" style="85" customWidth="1"/>
    <col min="9231" max="9232" width="25.5703125" style="85" bestFit="1" customWidth="1"/>
    <col min="9233" max="9233" width="9.140625" style="85"/>
    <col min="9234" max="9234" width="27" style="85" customWidth="1"/>
    <col min="9235" max="9458" width="9.140625" style="85"/>
    <col min="9459" max="9459" width="5.28515625" style="85" customWidth="1"/>
    <col min="9460" max="9460" width="7.85546875" style="85" customWidth="1"/>
    <col min="9461" max="9461" width="25.140625" style="85" customWidth="1"/>
    <col min="9462" max="9462" width="37.42578125" style="85" customWidth="1"/>
    <col min="9463" max="9463" width="17.140625" style="85" bestFit="1" customWidth="1"/>
    <col min="9464" max="9464" width="15.42578125" style="85" bestFit="1" customWidth="1"/>
    <col min="9465" max="9465" width="16.5703125" style="85" customWidth="1"/>
    <col min="9466" max="9466" width="16.28515625" style="85" bestFit="1" customWidth="1"/>
    <col min="9467" max="9467" width="14.28515625" style="85" bestFit="1" customWidth="1"/>
    <col min="9468" max="9468" width="16.5703125" style="85" bestFit="1" customWidth="1"/>
    <col min="9469" max="9469" width="13.140625" style="85" bestFit="1" customWidth="1"/>
    <col min="9470" max="9472" width="14.28515625" style="85" bestFit="1" customWidth="1"/>
    <col min="9473" max="9473" width="15.42578125" style="85" bestFit="1" customWidth="1"/>
    <col min="9474" max="9476" width="0" style="85" hidden="1" customWidth="1"/>
    <col min="9477" max="9477" width="14.140625" style="85" bestFit="1" customWidth="1"/>
    <col min="9478" max="9478" width="14.85546875" style="85" customWidth="1"/>
    <col min="9479" max="9479" width="14.28515625" style="85" customWidth="1"/>
    <col min="9480" max="9480" width="12.140625" style="85" bestFit="1" customWidth="1"/>
    <col min="9481" max="9481" width="14.28515625" style="85" bestFit="1" customWidth="1"/>
    <col min="9482" max="9482" width="14.140625" style="85" bestFit="1" customWidth="1"/>
    <col min="9483" max="9483" width="15.42578125" style="85" bestFit="1" customWidth="1"/>
    <col min="9484" max="9484" width="16.5703125" style="85" bestFit="1" customWidth="1"/>
    <col min="9485" max="9485" width="17.42578125" style="85" bestFit="1" customWidth="1"/>
    <col min="9486" max="9486" width="24.85546875" style="85" customWidth="1"/>
    <col min="9487" max="9488" width="25.5703125" style="85" bestFit="1" customWidth="1"/>
    <col min="9489" max="9489" width="9.140625" style="85"/>
    <col min="9490" max="9490" width="27" style="85" customWidth="1"/>
    <col min="9491" max="9714" width="9.140625" style="85"/>
    <col min="9715" max="9715" width="5.28515625" style="85" customWidth="1"/>
    <col min="9716" max="9716" width="7.85546875" style="85" customWidth="1"/>
    <col min="9717" max="9717" width="25.140625" style="85" customWidth="1"/>
    <col min="9718" max="9718" width="37.42578125" style="85" customWidth="1"/>
    <col min="9719" max="9719" width="17.140625" style="85" bestFit="1" customWidth="1"/>
    <col min="9720" max="9720" width="15.42578125" style="85" bestFit="1" customWidth="1"/>
    <col min="9721" max="9721" width="16.5703125" style="85" customWidth="1"/>
    <col min="9722" max="9722" width="16.28515625" style="85" bestFit="1" customWidth="1"/>
    <col min="9723" max="9723" width="14.28515625" style="85" bestFit="1" customWidth="1"/>
    <col min="9724" max="9724" width="16.5703125" style="85" bestFit="1" customWidth="1"/>
    <col min="9725" max="9725" width="13.140625" style="85" bestFit="1" customWidth="1"/>
    <col min="9726" max="9728" width="14.28515625" style="85" bestFit="1" customWidth="1"/>
    <col min="9729" max="9729" width="15.42578125" style="85" bestFit="1" customWidth="1"/>
    <col min="9730" max="9732" width="0" style="85" hidden="1" customWidth="1"/>
    <col min="9733" max="9733" width="14.140625" style="85" bestFit="1" customWidth="1"/>
    <col min="9734" max="9734" width="14.85546875" style="85" customWidth="1"/>
    <col min="9735" max="9735" width="14.28515625" style="85" customWidth="1"/>
    <col min="9736" max="9736" width="12.140625" style="85" bestFit="1" customWidth="1"/>
    <col min="9737" max="9737" width="14.28515625" style="85" bestFit="1" customWidth="1"/>
    <col min="9738" max="9738" width="14.140625" style="85" bestFit="1" customWidth="1"/>
    <col min="9739" max="9739" width="15.42578125" style="85" bestFit="1" customWidth="1"/>
    <col min="9740" max="9740" width="16.5703125" style="85" bestFit="1" customWidth="1"/>
    <col min="9741" max="9741" width="17.42578125" style="85" bestFit="1" customWidth="1"/>
    <col min="9742" max="9742" width="24.85546875" style="85" customWidth="1"/>
    <col min="9743" max="9744" width="25.5703125" style="85" bestFit="1" customWidth="1"/>
    <col min="9745" max="9745" width="9.140625" style="85"/>
    <col min="9746" max="9746" width="27" style="85" customWidth="1"/>
    <col min="9747" max="9970" width="9.140625" style="85"/>
    <col min="9971" max="9971" width="5.28515625" style="85" customWidth="1"/>
    <col min="9972" max="9972" width="7.85546875" style="85" customWidth="1"/>
    <col min="9973" max="9973" width="25.140625" style="85" customWidth="1"/>
    <col min="9974" max="9974" width="37.42578125" style="85" customWidth="1"/>
    <col min="9975" max="9975" width="17.140625" style="85" bestFit="1" customWidth="1"/>
    <col min="9976" max="9976" width="15.42578125" style="85" bestFit="1" customWidth="1"/>
    <col min="9977" max="9977" width="16.5703125" style="85" customWidth="1"/>
    <col min="9978" max="9978" width="16.28515625" style="85" bestFit="1" customWidth="1"/>
    <col min="9979" max="9979" width="14.28515625" style="85" bestFit="1" customWidth="1"/>
    <col min="9980" max="9980" width="16.5703125" style="85" bestFit="1" customWidth="1"/>
    <col min="9981" max="9981" width="13.140625" style="85" bestFit="1" customWidth="1"/>
    <col min="9982" max="9984" width="14.28515625" style="85" bestFit="1" customWidth="1"/>
    <col min="9985" max="9985" width="15.42578125" style="85" bestFit="1" customWidth="1"/>
    <col min="9986" max="9988" width="0" style="85" hidden="1" customWidth="1"/>
    <col min="9989" max="9989" width="14.140625" style="85" bestFit="1" customWidth="1"/>
    <col min="9990" max="9990" width="14.85546875" style="85" customWidth="1"/>
    <col min="9991" max="9991" width="14.28515625" style="85" customWidth="1"/>
    <col min="9992" max="9992" width="12.140625" style="85" bestFit="1" customWidth="1"/>
    <col min="9993" max="9993" width="14.28515625" style="85" bestFit="1" customWidth="1"/>
    <col min="9994" max="9994" width="14.140625" style="85" bestFit="1" customWidth="1"/>
    <col min="9995" max="9995" width="15.42578125" style="85" bestFit="1" customWidth="1"/>
    <col min="9996" max="9996" width="16.5703125" style="85" bestFit="1" customWidth="1"/>
    <col min="9997" max="9997" width="17.42578125" style="85" bestFit="1" customWidth="1"/>
    <col min="9998" max="9998" width="24.85546875" style="85" customWidth="1"/>
    <col min="9999" max="10000" width="25.5703125" style="85" bestFit="1" customWidth="1"/>
    <col min="10001" max="10001" width="9.140625" style="85"/>
    <col min="10002" max="10002" width="27" style="85" customWidth="1"/>
    <col min="10003" max="10226" width="9.140625" style="85"/>
    <col min="10227" max="10227" width="5.28515625" style="85" customWidth="1"/>
    <col min="10228" max="10228" width="7.85546875" style="85" customWidth="1"/>
    <col min="10229" max="10229" width="25.140625" style="85" customWidth="1"/>
    <col min="10230" max="10230" width="37.42578125" style="85" customWidth="1"/>
    <col min="10231" max="10231" width="17.140625" style="85" bestFit="1" customWidth="1"/>
    <col min="10232" max="10232" width="15.42578125" style="85" bestFit="1" customWidth="1"/>
    <col min="10233" max="10233" width="16.5703125" style="85" customWidth="1"/>
    <col min="10234" max="10234" width="16.28515625" style="85" bestFit="1" customWidth="1"/>
    <col min="10235" max="10235" width="14.28515625" style="85" bestFit="1" customWidth="1"/>
    <col min="10236" max="10236" width="16.5703125" style="85" bestFit="1" customWidth="1"/>
    <col min="10237" max="10237" width="13.140625" style="85" bestFit="1" customWidth="1"/>
    <col min="10238" max="10240" width="14.28515625" style="85" bestFit="1" customWidth="1"/>
    <col min="10241" max="10241" width="15.42578125" style="85" bestFit="1" customWidth="1"/>
    <col min="10242" max="10244" width="0" style="85" hidden="1" customWidth="1"/>
    <col min="10245" max="10245" width="14.140625" style="85" bestFit="1" customWidth="1"/>
    <col min="10246" max="10246" width="14.85546875" style="85" customWidth="1"/>
    <col min="10247" max="10247" width="14.28515625" style="85" customWidth="1"/>
    <col min="10248" max="10248" width="12.140625" style="85" bestFit="1" customWidth="1"/>
    <col min="10249" max="10249" width="14.28515625" style="85" bestFit="1" customWidth="1"/>
    <col min="10250" max="10250" width="14.140625" style="85" bestFit="1" customWidth="1"/>
    <col min="10251" max="10251" width="15.42578125" style="85" bestFit="1" customWidth="1"/>
    <col min="10252" max="10252" width="16.5703125" style="85" bestFit="1" customWidth="1"/>
    <col min="10253" max="10253" width="17.42578125" style="85" bestFit="1" customWidth="1"/>
    <col min="10254" max="10254" width="24.85546875" style="85" customWidth="1"/>
    <col min="10255" max="10256" width="25.5703125" style="85" bestFit="1" customWidth="1"/>
    <col min="10257" max="10257" width="9.140625" style="85"/>
    <col min="10258" max="10258" width="27" style="85" customWidth="1"/>
    <col min="10259" max="10482" width="9.140625" style="85"/>
    <col min="10483" max="10483" width="5.28515625" style="85" customWidth="1"/>
    <col min="10484" max="10484" width="7.85546875" style="85" customWidth="1"/>
    <col min="10485" max="10485" width="25.140625" style="85" customWidth="1"/>
    <col min="10486" max="10486" width="37.42578125" style="85" customWidth="1"/>
    <col min="10487" max="10487" width="17.140625" style="85" bestFit="1" customWidth="1"/>
    <col min="10488" max="10488" width="15.42578125" style="85" bestFit="1" customWidth="1"/>
    <col min="10489" max="10489" width="16.5703125" style="85" customWidth="1"/>
    <col min="10490" max="10490" width="16.28515625" style="85" bestFit="1" customWidth="1"/>
    <col min="10491" max="10491" width="14.28515625" style="85" bestFit="1" customWidth="1"/>
    <col min="10492" max="10492" width="16.5703125" style="85" bestFit="1" customWidth="1"/>
    <col min="10493" max="10493" width="13.140625" style="85" bestFit="1" customWidth="1"/>
    <col min="10494" max="10496" width="14.28515625" style="85" bestFit="1" customWidth="1"/>
    <col min="10497" max="10497" width="15.42578125" style="85" bestFit="1" customWidth="1"/>
    <col min="10498" max="10500" width="0" style="85" hidden="1" customWidth="1"/>
    <col min="10501" max="10501" width="14.140625" style="85" bestFit="1" customWidth="1"/>
    <col min="10502" max="10502" width="14.85546875" style="85" customWidth="1"/>
    <col min="10503" max="10503" width="14.28515625" style="85" customWidth="1"/>
    <col min="10504" max="10504" width="12.140625" style="85" bestFit="1" customWidth="1"/>
    <col min="10505" max="10505" width="14.28515625" style="85" bestFit="1" customWidth="1"/>
    <col min="10506" max="10506" width="14.140625" style="85" bestFit="1" customWidth="1"/>
    <col min="10507" max="10507" width="15.42578125" style="85" bestFit="1" customWidth="1"/>
    <col min="10508" max="10508" width="16.5703125" style="85" bestFit="1" customWidth="1"/>
    <col min="10509" max="10509" width="17.42578125" style="85" bestFit="1" customWidth="1"/>
    <col min="10510" max="10510" width="24.85546875" style="85" customWidth="1"/>
    <col min="10511" max="10512" width="25.5703125" style="85" bestFit="1" customWidth="1"/>
    <col min="10513" max="10513" width="9.140625" style="85"/>
    <col min="10514" max="10514" width="27" style="85" customWidth="1"/>
    <col min="10515" max="10738" width="9.140625" style="85"/>
    <col min="10739" max="10739" width="5.28515625" style="85" customWidth="1"/>
    <col min="10740" max="10740" width="7.85546875" style="85" customWidth="1"/>
    <col min="10741" max="10741" width="25.140625" style="85" customWidth="1"/>
    <col min="10742" max="10742" width="37.42578125" style="85" customWidth="1"/>
    <col min="10743" max="10743" width="17.140625" style="85" bestFit="1" customWidth="1"/>
    <col min="10744" max="10744" width="15.42578125" style="85" bestFit="1" customWidth="1"/>
    <col min="10745" max="10745" width="16.5703125" style="85" customWidth="1"/>
    <col min="10746" max="10746" width="16.28515625" style="85" bestFit="1" customWidth="1"/>
    <col min="10747" max="10747" width="14.28515625" style="85" bestFit="1" customWidth="1"/>
    <col min="10748" max="10748" width="16.5703125" style="85" bestFit="1" customWidth="1"/>
    <col min="10749" max="10749" width="13.140625" style="85" bestFit="1" customWidth="1"/>
    <col min="10750" max="10752" width="14.28515625" style="85" bestFit="1" customWidth="1"/>
    <col min="10753" max="10753" width="15.42578125" style="85" bestFit="1" customWidth="1"/>
    <col min="10754" max="10756" width="0" style="85" hidden="1" customWidth="1"/>
    <col min="10757" max="10757" width="14.140625" style="85" bestFit="1" customWidth="1"/>
    <col min="10758" max="10758" width="14.85546875" style="85" customWidth="1"/>
    <col min="10759" max="10759" width="14.28515625" style="85" customWidth="1"/>
    <col min="10760" max="10760" width="12.140625" style="85" bestFit="1" customWidth="1"/>
    <col min="10761" max="10761" width="14.28515625" style="85" bestFit="1" customWidth="1"/>
    <col min="10762" max="10762" width="14.140625" style="85" bestFit="1" customWidth="1"/>
    <col min="10763" max="10763" width="15.42578125" style="85" bestFit="1" customWidth="1"/>
    <col min="10764" max="10764" width="16.5703125" style="85" bestFit="1" customWidth="1"/>
    <col min="10765" max="10765" width="17.42578125" style="85" bestFit="1" customWidth="1"/>
    <col min="10766" max="10766" width="24.85546875" style="85" customWidth="1"/>
    <col min="10767" max="10768" width="25.5703125" style="85" bestFit="1" customWidth="1"/>
    <col min="10769" max="10769" width="9.140625" style="85"/>
    <col min="10770" max="10770" width="27" style="85" customWidth="1"/>
    <col min="10771" max="10994" width="9.140625" style="85"/>
    <col min="10995" max="10995" width="5.28515625" style="85" customWidth="1"/>
    <col min="10996" max="10996" width="7.85546875" style="85" customWidth="1"/>
    <col min="10997" max="10997" width="25.140625" style="85" customWidth="1"/>
    <col min="10998" max="10998" width="37.42578125" style="85" customWidth="1"/>
    <col min="10999" max="10999" width="17.140625" style="85" bestFit="1" customWidth="1"/>
    <col min="11000" max="11000" width="15.42578125" style="85" bestFit="1" customWidth="1"/>
    <col min="11001" max="11001" width="16.5703125" style="85" customWidth="1"/>
    <col min="11002" max="11002" width="16.28515625" style="85" bestFit="1" customWidth="1"/>
    <col min="11003" max="11003" width="14.28515625" style="85" bestFit="1" customWidth="1"/>
    <col min="11004" max="11004" width="16.5703125" style="85" bestFit="1" customWidth="1"/>
    <col min="11005" max="11005" width="13.140625" style="85" bestFit="1" customWidth="1"/>
    <col min="11006" max="11008" width="14.28515625" style="85" bestFit="1" customWidth="1"/>
    <col min="11009" max="11009" width="15.42578125" style="85" bestFit="1" customWidth="1"/>
    <col min="11010" max="11012" width="0" style="85" hidden="1" customWidth="1"/>
    <col min="11013" max="11013" width="14.140625" style="85" bestFit="1" customWidth="1"/>
    <col min="11014" max="11014" width="14.85546875" style="85" customWidth="1"/>
    <col min="11015" max="11015" width="14.28515625" style="85" customWidth="1"/>
    <col min="11016" max="11016" width="12.140625" style="85" bestFit="1" customWidth="1"/>
    <col min="11017" max="11017" width="14.28515625" style="85" bestFit="1" customWidth="1"/>
    <col min="11018" max="11018" width="14.140625" style="85" bestFit="1" customWidth="1"/>
    <col min="11019" max="11019" width="15.42578125" style="85" bestFit="1" customWidth="1"/>
    <col min="11020" max="11020" width="16.5703125" style="85" bestFit="1" customWidth="1"/>
    <col min="11021" max="11021" width="17.42578125" style="85" bestFit="1" customWidth="1"/>
    <col min="11022" max="11022" width="24.85546875" style="85" customWidth="1"/>
    <col min="11023" max="11024" width="25.5703125" style="85" bestFit="1" customWidth="1"/>
    <col min="11025" max="11025" width="9.140625" style="85"/>
    <col min="11026" max="11026" width="27" style="85" customWidth="1"/>
    <col min="11027" max="11250" width="9.140625" style="85"/>
    <col min="11251" max="11251" width="5.28515625" style="85" customWidth="1"/>
    <col min="11252" max="11252" width="7.85546875" style="85" customWidth="1"/>
    <col min="11253" max="11253" width="25.140625" style="85" customWidth="1"/>
    <col min="11254" max="11254" width="37.42578125" style="85" customWidth="1"/>
    <col min="11255" max="11255" width="17.140625" style="85" bestFit="1" customWidth="1"/>
    <col min="11256" max="11256" width="15.42578125" style="85" bestFit="1" customWidth="1"/>
    <col min="11257" max="11257" width="16.5703125" style="85" customWidth="1"/>
    <col min="11258" max="11258" width="16.28515625" style="85" bestFit="1" customWidth="1"/>
    <col min="11259" max="11259" width="14.28515625" style="85" bestFit="1" customWidth="1"/>
    <col min="11260" max="11260" width="16.5703125" style="85" bestFit="1" customWidth="1"/>
    <col min="11261" max="11261" width="13.140625" style="85" bestFit="1" customWidth="1"/>
    <col min="11262" max="11264" width="14.28515625" style="85" bestFit="1" customWidth="1"/>
    <col min="11265" max="11265" width="15.42578125" style="85" bestFit="1" customWidth="1"/>
    <col min="11266" max="11268" width="0" style="85" hidden="1" customWidth="1"/>
    <col min="11269" max="11269" width="14.140625" style="85" bestFit="1" customWidth="1"/>
    <col min="11270" max="11270" width="14.85546875" style="85" customWidth="1"/>
    <col min="11271" max="11271" width="14.28515625" style="85" customWidth="1"/>
    <col min="11272" max="11272" width="12.140625" style="85" bestFit="1" customWidth="1"/>
    <col min="11273" max="11273" width="14.28515625" style="85" bestFit="1" customWidth="1"/>
    <col min="11274" max="11274" width="14.140625" style="85" bestFit="1" customWidth="1"/>
    <col min="11275" max="11275" width="15.42578125" style="85" bestFit="1" customWidth="1"/>
    <col min="11276" max="11276" width="16.5703125" style="85" bestFit="1" customWidth="1"/>
    <col min="11277" max="11277" width="17.42578125" style="85" bestFit="1" customWidth="1"/>
    <col min="11278" max="11278" width="24.85546875" style="85" customWidth="1"/>
    <col min="11279" max="11280" width="25.5703125" style="85" bestFit="1" customWidth="1"/>
    <col min="11281" max="11281" width="9.140625" style="85"/>
    <col min="11282" max="11282" width="27" style="85" customWidth="1"/>
    <col min="11283" max="11506" width="9.140625" style="85"/>
    <col min="11507" max="11507" width="5.28515625" style="85" customWidth="1"/>
    <col min="11508" max="11508" width="7.85546875" style="85" customWidth="1"/>
    <col min="11509" max="11509" width="25.140625" style="85" customWidth="1"/>
    <col min="11510" max="11510" width="37.42578125" style="85" customWidth="1"/>
    <col min="11511" max="11511" width="17.140625" style="85" bestFit="1" customWidth="1"/>
    <col min="11512" max="11512" width="15.42578125" style="85" bestFit="1" customWidth="1"/>
    <col min="11513" max="11513" width="16.5703125" style="85" customWidth="1"/>
    <col min="11514" max="11514" width="16.28515625" style="85" bestFit="1" customWidth="1"/>
    <col min="11515" max="11515" width="14.28515625" style="85" bestFit="1" customWidth="1"/>
    <col min="11516" max="11516" width="16.5703125" style="85" bestFit="1" customWidth="1"/>
    <col min="11517" max="11517" width="13.140625" style="85" bestFit="1" customWidth="1"/>
    <col min="11518" max="11520" width="14.28515625" style="85" bestFit="1" customWidth="1"/>
    <col min="11521" max="11521" width="15.42578125" style="85" bestFit="1" customWidth="1"/>
    <col min="11522" max="11524" width="0" style="85" hidden="1" customWidth="1"/>
    <col min="11525" max="11525" width="14.140625" style="85" bestFit="1" customWidth="1"/>
    <col min="11526" max="11526" width="14.85546875" style="85" customWidth="1"/>
    <col min="11527" max="11527" width="14.28515625" style="85" customWidth="1"/>
    <col min="11528" max="11528" width="12.140625" style="85" bestFit="1" customWidth="1"/>
    <col min="11529" max="11529" width="14.28515625" style="85" bestFit="1" customWidth="1"/>
    <col min="11530" max="11530" width="14.140625" style="85" bestFit="1" customWidth="1"/>
    <col min="11531" max="11531" width="15.42578125" style="85" bestFit="1" customWidth="1"/>
    <col min="11532" max="11532" width="16.5703125" style="85" bestFit="1" customWidth="1"/>
    <col min="11533" max="11533" width="17.42578125" style="85" bestFit="1" customWidth="1"/>
    <col min="11534" max="11534" width="24.85546875" style="85" customWidth="1"/>
    <col min="11535" max="11536" width="25.5703125" style="85" bestFit="1" customWidth="1"/>
    <col min="11537" max="11537" width="9.140625" style="85"/>
    <col min="11538" max="11538" width="27" style="85" customWidth="1"/>
    <col min="11539" max="11762" width="9.140625" style="85"/>
    <col min="11763" max="11763" width="5.28515625" style="85" customWidth="1"/>
    <col min="11764" max="11764" width="7.85546875" style="85" customWidth="1"/>
    <col min="11765" max="11765" width="25.140625" style="85" customWidth="1"/>
    <col min="11766" max="11766" width="37.42578125" style="85" customWidth="1"/>
    <col min="11767" max="11767" width="17.140625" style="85" bestFit="1" customWidth="1"/>
    <col min="11768" max="11768" width="15.42578125" style="85" bestFit="1" customWidth="1"/>
    <col min="11769" max="11769" width="16.5703125" style="85" customWidth="1"/>
    <col min="11770" max="11770" width="16.28515625" style="85" bestFit="1" customWidth="1"/>
    <col min="11771" max="11771" width="14.28515625" style="85" bestFit="1" customWidth="1"/>
    <col min="11772" max="11772" width="16.5703125" style="85" bestFit="1" customWidth="1"/>
    <col min="11773" max="11773" width="13.140625" style="85" bestFit="1" customWidth="1"/>
    <col min="11774" max="11776" width="14.28515625" style="85" bestFit="1" customWidth="1"/>
    <col min="11777" max="11777" width="15.42578125" style="85" bestFit="1" customWidth="1"/>
    <col min="11778" max="11780" width="0" style="85" hidden="1" customWidth="1"/>
    <col min="11781" max="11781" width="14.140625" style="85" bestFit="1" customWidth="1"/>
    <col min="11782" max="11782" width="14.85546875" style="85" customWidth="1"/>
    <col min="11783" max="11783" width="14.28515625" style="85" customWidth="1"/>
    <col min="11784" max="11784" width="12.140625" style="85" bestFit="1" customWidth="1"/>
    <col min="11785" max="11785" width="14.28515625" style="85" bestFit="1" customWidth="1"/>
    <col min="11786" max="11786" width="14.140625" style="85" bestFit="1" customWidth="1"/>
    <col min="11787" max="11787" width="15.42578125" style="85" bestFit="1" customWidth="1"/>
    <col min="11788" max="11788" width="16.5703125" style="85" bestFit="1" customWidth="1"/>
    <col min="11789" max="11789" width="17.42578125" style="85" bestFit="1" customWidth="1"/>
    <col min="11790" max="11790" width="24.85546875" style="85" customWidth="1"/>
    <col min="11791" max="11792" width="25.5703125" style="85" bestFit="1" customWidth="1"/>
    <col min="11793" max="11793" width="9.140625" style="85"/>
    <col min="11794" max="11794" width="27" style="85" customWidth="1"/>
    <col min="11795" max="12018" width="9.140625" style="85"/>
    <col min="12019" max="12019" width="5.28515625" style="85" customWidth="1"/>
    <col min="12020" max="12020" width="7.85546875" style="85" customWidth="1"/>
    <col min="12021" max="12021" width="25.140625" style="85" customWidth="1"/>
    <col min="12022" max="12022" width="37.42578125" style="85" customWidth="1"/>
    <col min="12023" max="12023" width="17.140625" style="85" bestFit="1" customWidth="1"/>
    <col min="12024" max="12024" width="15.42578125" style="85" bestFit="1" customWidth="1"/>
    <col min="12025" max="12025" width="16.5703125" style="85" customWidth="1"/>
    <col min="12026" max="12026" width="16.28515625" style="85" bestFit="1" customWidth="1"/>
    <col min="12027" max="12027" width="14.28515625" style="85" bestFit="1" customWidth="1"/>
    <col min="12028" max="12028" width="16.5703125" style="85" bestFit="1" customWidth="1"/>
    <col min="12029" max="12029" width="13.140625" style="85" bestFit="1" customWidth="1"/>
    <col min="12030" max="12032" width="14.28515625" style="85" bestFit="1" customWidth="1"/>
    <col min="12033" max="12033" width="15.42578125" style="85" bestFit="1" customWidth="1"/>
    <col min="12034" max="12036" width="0" style="85" hidden="1" customWidth="1"/>
    <col min="12037" max="12037" width="14.140625" style="85" bestFit="1" customWidth="1"/>
    <col min="12038" max="12038" width="14.85546875" style="85" customWidth="1"/>
    <col min="12039" max="12039" width="14.28515625" style="85" customWidth="1"/>
    <col min="12040" max="12040" width="12.140625" style="85" bestFit="1" customWidth="1"/>
    <col min="12041" max="12041" width="14.28515625" style="85" bestFit="1" customWidth="1"/>
    <col min="12042" max="12042" width="14.140625" style="85" bestFit="1" customWidth="1"/>
    <col min="12043" max="12043" width="15.42578125" style="85" bestFit="1" customWidth="1"/>
    <col min="12044" max="12044" width="16.5703125" style="85" bestFit="1" customWidth="1"/>
    <col min="12045" max="12045" width="17.42578125" style="85" bestFit="1" customWidth="1"/>
    <col min="12046" max="12046" width="24.85546875" style="85" customWidth="1"/>
    <col min="12047" max="12048" width="25.5703125" style="85" bestFit="1" customWidth="1"/>
    <col min="12049" max="12049" width="9.140625" style="85"/>
    <col min="12050" max="12050" width="27" style="85" customWidth="1"/>
    <col min="12051" max="12274" width="9.140625" style="85"/>
    <col min="12275" max="12275" width="5.28515625" style="85" customWidth="1"/>
    <col min="12276" max="12276" width="7.85546875" style="85" customWidth="1"/>
    <col min="12277" max="12277" width="25.140625" style="85" customWidth="1"/>
    <col min="12278" max="12278" width="37.42578125" style="85" customWidth="1"/>
    <col min="12279" max="12279" width="17.140625" style="85" bestFit="1" customWidth="1"/>
    <col min="12280" max="12280" width="15.42578125" style="85" bestFit="1" customWidth="1"/>
    <col min="12281" max="12281" width="16.5703125" style="85" customWidth="1"/>
    <col min="12282" max="12282" width="16.28515625" style="85" bestFit="1" customWidth="1"/>
    <col min="12283" max="12283" width="14.28515625" style="85" bestFit="1" customWidth="1"/>
    <col min="12284" max="12284" width="16.5703125" style="85" bestFit="1" customWidth="1"/>
    <col min="12285" max="12285" width="13.140625" style="85" bestFit="1" customWidth="1"/>
    <col min="12286" max="12288" width="14.28515625" style="85" bestFit="1" customWidth="1"/>
    <col min="12289" max="12289" width="15.42578125" style="85" bestFit="1" customWidth="1"/>
    <col min="12290" max="12292" width="0" style="85" hidden="1" customWidth="1"/>
    <col min="12293" max="12293" width="14.140625" style="85" bestFit="1" customWidth="1"/>
    <col min="12294" max="12294" width="14.85546875" style="85" customWidth="1"/>
    <col min="12295" max="12295" width="14.28515625" style="85" customWidth="1"/>
    <col min="12296" max="12296" width="12.140625" style="85" bestFit="1" customWidth="1"/>
    <col min="12297" max="12297" width="14.28515625" style="85" bestFit="1" customWidth="1"/>
    <col min="12298" max="12298" width="14.140625" style="85" bestFit="1" customWidth="1"/>
    <col min="12299" max="12299" width="15.42578125" style="85" bestFit="1" customWidth="1"/>
    <col min="12300" max="12300" width="16.5703125" style="85" bestFit="1" customWidth="1"/>
    <col min="12301" max="12301" width="17.42578125" style="85" bestFit="1" customWidth="1"/>
    <col min="12302" max="12302" width="24.85546875" style="85" customWidth="1"/>
    <col min="12303" max="12304" width="25.5703125" style="85" bestFit="1" customWidth="1"/>
    <col min="12305" max="12305" width="9.140625" style="85"/>
    <col min="12306" max="12306" width="27" style="85" customWidth="1"/>
    <col min="12307" max="12530" width="9.140625" style="85"/>
    <col min="12531" max="12531" width="5.28515625" style="85" customWidth="1"/>
    <col min="12532" max="12532" width="7.85546875" style="85" customWidth="1"/>
    <col min="12533" max="12533" width="25.140625" style="85" customWidth="1"/>
    <col min="12534" max="12534" width="37.42578125" style="85" customWidth="1"/>
    <col min="12535" max="12535" width="17.140625" style="85" bestFit="1" customWidth="1"/>
    <col min="12536" max="12536" width="15.42578125" style="85" bestFit="1" customWidth="1"/>
    <col min="12537" max="12537" width="16.5703125" style="85" customWidth="1"/>
    <col min="12538" max="12538" width="16.28515625" style="85" bestFit="1" customWidth="1"/>
    <col min="12539" max="12539" width="14.28515625" style="85" bestFit="1" customWidth="1"/>
    <col min="12540" max="12540" width="16.5703125" style="85" bestFit="1" customWidth="1"/>
    <col min="12541" max="12541" width="13.140625" style="85" bestFit="1" customWidth="1"/>
    <col min="12542" max="12544" width="14.28515625" style="85" bestFit="1" customWidth="1"/>
    <col min="12545" max="12545" width="15.42578125" style="85" bestFit="1" customWidth="1"/>
    <col min="12546" max="12548" width="0" style="85" hidden="1" customWidth="1"/>
    <col min="12549" max="12549" width="14.140625" style="85" bestFit="1" customWidth="1"/>
    <col min="12550" max="12550" width="14.85546875" style="85" customWidth="1"/>
    <col min="12551" max="12551" width="14.28515625" style="85" customWidth="1"/>
    <col min="12552" max="12552" width="12.140625" style="85" bestFit="1" customWidth="1"/>
    <col min="12553" max="12553" width="14.28515625" style="85" bestFit="1" customWidth="1"/>
    <col min="12554" max="12554" width="14.140625" style="85" bestFit="1" customWidth="1"/>
    <col min="12555" max="12555" width="15.42578125" style="85" bestFit="1" customWidth="1"/>
    <col min="12556" max="12556" width="16.5703125" style="85" bestFit="1" customWidth="1"/>
    <col min="12557" max="12557" width="17.42578125" style="85" bestFit="1" customWidth="1"/>
    <col min="12558" max="12558" width="24.85546875" style="85" customWidth="1"/>
    <col min="12559" max="12560" width="25.5703125" style="85" bestFit="1" customWidth="1"/>
    <col min="12561" max="12561" width="9.140625" style="85"/>
    <col min="12562" max="12562" width="27" style="85" customWidth="1"/>
    <col min="12563" max="12786" width="9.140625" style="85"/>
    <col min="12787" max="12787" width="5.28515625" style="85" customWidth="1"/>
    <col min="12788" max="12788" width="7.85546875" style="85" customWidth="1"/>
    <col min="12789" max="12789" width="25.140625" style="85" customWidth="1"/>
    <col min="12790" max="12790" width="37.42578125" style="85" customWidth="1"/>
    <col min="12791" max="12791" width="17.140625" style="85" bestFit="1" customWidth="1"/>
    <col min="12792" max="12792" width="15.42578125" style="85" bestFit="1" customWidth="1"/>
    <col min="12793" max="12793" width="16.5703125" style="85" customWidth="1"/>
    <col min="12794" max="12794" width="16.28515625" style="85" bestFit="1" customWidth="1"/>
    <col min="12795" max="12795" width="14.28515625" style="85" bestFit="1" customWidth="1"/>
    <col min="12796" max="12796" width="16.5703125" style="85" bestFit="1" customWidth="1"/>
    <col min="12797" max="12797" width="13.140625" style="85" bestFit="1" customWidth="1"/>
    <col min="12798" max="12800" width="14.28515625" style="85" bestFit="1" customWidth="1"/>
    <col min="12801" max="12801" width="15.42578125" style="85" bestFit="1" customWidth="1"/>
    <col min="12802" max="12804" width="0" style="85" hidden="1" customWidth="1"/>
    <col min="12805" max="12805" width="14.140625" style="85" bestFit="1" customWidth="1"/>
    <col min="12806" max="12806" width="14.85546875" style="85" customWidth="1"/>
    <col min="12807" max="12807" width="14.28515625" style="85" customWidth="1"/>
    <col min="12808" max="12808" width="12.140625" style="85" bestFit="1" customWidth="1"/>
    <col min="12809" max="12809" width="14.28515625" style="85" bestFit="1" customWidth="1"/>
    <col min="12810" max="12810" width="14.140625" style="85" bestFit="1" customWidth="1"/>
    <col min="12811" max="12811" width="15.42578125" style="85" bestFit="1" customWidth="1"/>
    <col min="12812" max="12812" width="16.5703125" style="85" bestFit="1" customWidth="1"/>
    <col min="12813" max="12813" width="17.42578125" style="85" bestFit="1" customWidth="1"/>
    <col min="12814" max="12814" width="24.85546875" style="85" customWidth="1"/>
    <col min="12815" max="12816" width="25.5703125" style="85" bestFit="1" customWidth="1"/>
    <col min="12817" max="12817" width="9.140625" style="85"/>
    <col min="12818" max="12818" width="27" style="85" customWidth="1"/>
    <col min="12819" max="13042" width="9.140625" style="85"/>
    <col min="13043" max="13043" width="5.28515625" style="85" customWidth="1"/>
    <col min="13044" max="13044" width="7.85546875" style="85" customWidth="1"/>
    <col min="13045" max="13045" width="25.140625" style="85" customWidth="1"/>
    <col min="13046" max="13046" width="37.42578125" style="85" customWidth="1"/>
    <col min="13047" max="13047" width="17.140625" style="85" bestFit="1" customWidth="1"/>
    <col min="13048" max="13048" width="15.42578125" style="85" bestFit="1" customWidth="1"/>
    <col min="13049" max="13049" width="16.5703125" style="85" customWidth="1"/>
    <col min="13050" max="13050" width="16.28515625" style="85" bestFit="1" customWidth="1"/>
    <col min="13051" max="13051" width="14.28515625" style="85" bestFit="1" customWidth="1"/>
    <col min="13052" max="13052" width="16.5703125" style="85" bestFit="1" customWidth="1"/>
    <col min="13053" max="13053" width="13.140625" style="85" bestFit="1" customWidth="1"/>
    <col min="13054" max="13056" width="14.28515625" style="85" bestFit="1" customWidth="1"/>
    <col min="13057" max="13057" width="15.42578125" style="85" bestFit="1" customWidth="1"/>
    <col min="13058" max="13060" width="0" style="85" hidden="1" customWidth="1"/>
    <col min="13061" max="13061" width="14.140625" style="85" bestFit="1" customWidth="1"/>
    <col min="13062" max="13062" width="14.85546875" style="85" customWidth="1"/>
    <col min="13063" max="13063" width="14.28515625" style="85" customWidth="1"/>
    <col min="13064" max="13064" width="12.140625" style="85" bestFit="1" customWidth="1"/>
    <col min="13065" max="13065" width="14.28515625" style="85" bestFit="1" customWidth="1"/>
    <col min="13066" max="13066" width="14.140625" style="85" bestFit="1" customWidth="1"/>
    <col min="13067" max="13067" width="15.42578125" style="85" bestFit="1" customWidth="1"/>
    <col min="13068" max="13068" width="16.5703125" style="85" bestFit="1" customWidth="1"/>
    <col min="13069" max="13069" width="17.42578125" style="85" bestFit="1" customWidth="1"/>
    <col min="13070" max="13070" width="24.85546875" style="85" customWidth="1"/>
    <col min="13071" max="13072" width="25.5703125" style="85" bestFit="1" customWidth="1"/>
    <col min="13073" max="13073" width="9.140625" style="85"/>
    <col min="13074" max="13074" width="27" style="85" customWidth="1"/>
    <col min="13075" max="13298" width="9.140625" style="85"/>
    <col min="13299" max="13299" width="5.28515625" style="85" customWidth="1"/>
    <col min="13300" max="13300" width="7.85546875" style="85" customWidth="1"/>
    <col min="13301" max="13301" width="25.140625" style="85" customWidth="1"/>
    <col min="13302" max="13302" width="37.42578125" style="85" customWidth="1"/>
    <col min="13303" max="13303" width="17.140625" style="85" bestFit="1" customWidth="1"/>
    <col min="13304" max="13304" width="15.42578125" style="85" bestFit="1" customWidth="1"/>
    <col min="13305" max="13305" width="16.5703125" style="85" customWidth="1"/>
    <col min="13306" max="13306" width="16.28515625" style="85" bestFit="1" customWidth="1"/>
    <col min="13307" max="13307" width="14.28515625" style="85" bestFit="1" customWidth="1"/>
    <col min="13308" max="13308" width="16.5703125" style="85" bestFit="1" customWidth="1"/>
    <col min="13309" max="13309" width="13.140625" style="85" bestFit="1" customWidth="1"/>
    <col min="13310" max="13312" width="14.28515625" style="85" bestFit="1" customWidth="1"/>
    <col min="13313" max="13313" width="15.42578125" style="85" bestFit="1" customWidth="1"/>
    <col min="13314" max="13316" width="0" style="85" hidden="1" customWidth="1"/>
    <col min="13317" max="13317" width="14.140625" style="85" bestFit="1" customWidth="1"/>
    <col min="13318" max="13318" width="14.85546875" style="85" customWidth="1"/>
    <col min="13319" max="13319" width="14.28515625" style="85" customWidth="1"/>
    <col min="13320" max="13320" width="12.140625" style="85" bestFit="1" customWidth="1"/>
    <col min="13321" max="13321" width="14.28515625" style="85" bestFit="1" customWidth="1"/>
    <col min="13322" max="13322" width="14.140625" style="85" bestFit="1" customWidth="1"/>
    <col min="13323" max="13323" width="15.42578125" style="85" bestFit="1" customWidth="1"/>
    <col min="13324" max="13324" width="16.5703125" style="85" bestFit="1" customWidth="1"/>
    <col min="13325" max="13325" width="17.42578125" style="85" bestFit="1" customWidth="1"/>
    <col min="13326" max="13326" width="24.85546875" style="85" customWidth="1"/>
    <col min="13327" max="13328" width="25.5703125" style="85" bestFit="1" customWidth="1"/>
    <col min="13329" max="13329" width="9.140625" style="85"/>
    <col min="13330" max="13330" width="27" style="85" customWidth="1"/>
    <col min="13331" max="13554" width="9.140625" style="85"/>
    <col min="13555" max="13555" width="5.28515625" style="85" customWidth="1"/>
    <col min="13556" max="13556" width="7.85546875" style="85" customWidth="1"/>
    <col min="13557" max="13557" width="25.140625" style="85" customWidth="1"/>
    <col min="13558" max="13558" width="37.42578125" style="85" customWidth="1"/>
    <col min="13559" max="13559" width="17.140625" style="85" bestFit="1" customWidth="1"/>
    <col min="13560" max="13560" width="15.42578125" style="85" bestFit="1" customWidth="1"/>
    <col min="13561" max="13561" width="16.5703125" style="85" customWidth="1"/>
    <col min="13562" max="13562" width="16.28515625" style="85" bestFit="1" customWidth="1"/>
    <col min="13563" max="13563" width="14.28515625" style="85" bestFit="1" customWidth="1"/>
    <col min="13564" max="13564" width="16.5703125" style="85" bestFit="1" customWidth="1"/>
    <col min="13565" max="13565" width="13.140625" style="85" bestFit="1" customWidth="1"/>
    <col min="13566" max="13568" width="14.28515625" style="85" bestFit="1" customWidth="1"/>
    <col min="13569" max="13569" width="15.42578125" style="85" bestFit="1" customWidth="1"/>
    <col min="13570" max="13572" width="0" style="85" hidden="1" customWidth="1"/>
    <col min="13573" max="13573" width="14.140625" style="85" bestFit="1" customWidth="1"/>
    <col min="13574" max="13574" width="14.85546875" style="85" customWidth="1"/>
    <col min="13575" max="13575" width="14.28515625" style="85" customWidth="1"/>
    <col min="13576" max="13576" width="12.140625" style="85" bestFit="1" customWidth="1"/>
    <col min="13577" max="13577" width="14.28515625" style="85" bestFit="1" customWidth="1"/>
    <col min="13578" max="13578" width="14.140625" style="85" bestFit="1" customWidth="1"/>
    <col min="13579" max="13579" width="15.42578125" style="85" bestFit="1" customWidth="1"/>
    <col min="13580" max="13580" width="16.5703125" style="85" bestFit="1" customWidth="1"/>
    <col min="13581" max="13581" width="17.42578125" style="85" bestFit="1" customWidth="1"/>
    <col min="13582" max="13582" width="24.85546875" style="85" customWidth="1"/>
    <col min="13583" max="13584" width="25.5703125" style="85" bestFit="1" customWidth="1"/>
    <col min="13585" max="13585" width="9.140625" style="85"/>
    <col min="13586" max="13586" width="27" style="85" customWidth="1"/>
    <col min="13587" max="13810" width="9.140625" style="85"/>
    <col min="13811" max="13811" width="5.28515625" style="85" customWidth="1"/>
    <col min="13812" max="13812" width="7.85546875" style="85" customWidth="1"/>
    <col min="13813" max="13813" width="25.140625" style="85" customWidth="1"/>
    <col min="13814" max="13814" width="37.42578125" style="85" customWidth="1"/>
    <col min="13815" max="13815" width="17.140625" style="85" bestFit="1" customWidth="1"/>
    <col min="13816" max="13816" width="15.42578125" style="85" bestFit="1" customWidth="1"/>
    <col min="13817" max="13817" width="16.5703125" style="85" customWidth="1"/>
    <col min="13818" max="13818" width="16.28515625" style="85" bestFit="1" customWidth="1"/>
    <col min="13819" max="13819" width="14.28515625" style="85" bestFit="1" customWidth="1"/>
    <col min="13820" max="13820" width="16.5703125" style="85" bestFit="1" customWidth="1"/>
    <col min="13821" max="13821" width="13.140625" style="85" bestFit="1" customWidth="1"/>
    <col min="13822" max="13824" width="14.28515625" style="85" bestFit="1" customWidth="1"/>
    <col min="13825" max="13825" width="15.42578125" style="85" bestFit="1" customWidth="1"/>
    <col min="13826" max="13828" width="0" style="85" hidden="1" customWidth="1"/>
    <col min="13829" max="13829" width="14.140625" style="85" bestFit="1" customWidth="1"/>
    <col min="13830" max="13830" width="14.85546875" style="85" customWidth="1"/>
    <col min="13831" max="13831" width="14.28515625" style="85" customWidth="1"/>
    <col min="13832" max="13832" width="12.140625" style="85" bestFit="1" customWidth="1"/>
    <col min="13833" max="13833" width="14.28515625" style="85" bestFit="1" customWidth="1"/>
    <col min="13834" max="13834" width="14.140625" style="85" bestFit="1" customWidth="1"/>
    <col min="13835" max="13835" width="15.42578125" style="85" bestFit="1" customWidth="1"/>
    <col min="13836" max="13836" width="16.5703125" style="85" bestFit="1" customWidth="1"/>
    <col min="13837" max="13837" width="17.42578125" style="85" bestFit="1" customWidth="1"/>
    <col min="13838" max="13838" width="24.85546875" style="85" customWidth="1"/>
    <col min="13839" max="13840" width="25.5703125" style="85" bestFit="1" customWidth="1"/>
    <col min="13841" max="13841" width="9.140625" style="85"/>
    <col min="13842" max="13842" width="27" style="85" customWidth="1"/>
    <col min="13843" max="14066" width="9.140625" style="85"/>
    <col min="14067" max="14067" width="5.28515625" style="85" customWidth="1"/>
    <col min="14068" max="14068" width="7.85546875" style="85" customWidth="1"/>
    <col min="14069" max="14069" width="25.140625" style="85" customWidth="1"/>
    <col min="14070" max="14070" width="37.42578125" style="85" customWidth="1"/>
    <col min="14071" max="14071" width="17.140625" style="85" bestFit="1" customWidth="1"/>
    <col min="14072" max="14072" width="15.42578125" style="85" bestFit="1" customWidth="1"/>
    <col min="14073" max="14073" width="16.5703125" style="85" customWidth="1"/>
    <col min="14074" max="14074" width="16.28515625" style="85" bestFit="1" customWidth="1"/>
    <col min="14075" max="14075" width="14.28515625" style="85" bestFit="1" customWidth="1"/>
    <col min="14076" max="14076" width="16.5703125" style="85" bestFit="1" customWidth="1"/>
    <col min="14077" max="14077" width="13.140625" style="85" bestFit="1" customWidth="1"/>
    <col min="14078" max="14080" width="14.28515625" style="85" bestFit="1" customWidth="1"/>
    <col min="14081" max="14081" width="15.42578125" style="85" bestFit="1" customWidth="1"/>
    <col min="14082" max="14084" width="0" style="85" hidden="1" customWidth="1"/>
    <col min="14085" max="14085" width="14.140625" style="85" bestFit="1" customWidth="1"/>
    <col min="14086" max="14086" width="14.85546875" style="85" customWidth="1"/>
    <col min="14087" max="14087" width="14.28515625" style="85" customWidth="1"/>
    <col min="14088" max="14088" width="12.140625" style="85" bestFit="1" customWidth="1"/>
    <col min="14089" max="14089" width="14.28515625" style="85" bestFit="1" customWidth="1"/>
    <col min="14090" max="14090" width="14.140625" style="85" bestFit="1" customWidth="1"/>
    <col min="14091" max="14091" width="15.42578125" style="85" bestFit="1" customWidth="1"/>
    <col min="14092" max="14092" width="16.5703125" style="85" bestFit="1" customWidth="1"/>
    <col min="14093" max="14093" width="17.42578125" style="85" bestFit="1" customWidth="1"/>
    <col min="14094" max="14094" width="24.85546875" style="85" customWidth="1"/>
    <col min="14095" max="14096" width="25.5703125" style="85" bestFit="1" customWidth="1"/>
    <col min="14097" max="14097" width="9.140625" style="85"/>
    <col min="14098" max="14098" width="27" style="85" customWidth="1"/>
    <col min="14099" max="14322" width="9.140625" style="85"/>
    <col min="14323" max="14323" width="5.28515625" style="85" customWidth="1"/>
    <col min="14324" max="14324" width="7.85546875" style="85" customWidth="1"/>
    <col min="14325" max="14325" width="25.140625" style="85" customWidth="1"/>
    <col min="14326" max="14326" width="37.42578125" style="85" customWidth="1"/>
    <col min="14327" max="14327" width="17.140625" style="85" bestFit="1" customWidth="1"/>
    <col min="14328" max="14328" width="15.42578125" style="85" bestFit="1" customWidth="1"/>
    <col min="14329" max="14329" width="16.5703125" style="85" customWidth="1"/>
    <col min="14330" max="14330" width="16.28515625" style="85" bestFit="1" customWidth="1"/>
    <col min="14331" max="14331" width="14.28515625" style="85" bestFit="1" customWidth="1"/>
    <col min="14332" max="14332" width="16.5703125" style="85" bestFit="1" customWidth="1"/>
    <col min="14333" max="14333" width="13.140625" style="85" bestFit="1" customWidth="1"/>
    <col min="14334" max="14336" width="14.28515625" style="85" bestFit="1" customWidth="1"/>
    <col min="14337" max="14337" width="15.42578125" style="85" bestFit="1" customWidth="1"/>
    <col min="14338" max="14340" width="0" style="85" hidden="1" customWidth="1"/>
    <col min="14341" max="14341" width="14.140625" style="85" bestFit="1" customWidth="1"/>
    <col min="14342" max="14342" width="14.85546875" style="85" customWidth="1"/>
    <col min="14343" max="14343" width="14.28515625" style="85" customWidth="1"/>
    <col min="14344" max="14344" width="12.140625" style="85" bestFit="1" customWidth="1"/>
    <col min="14345" max="14345" width="14.28515625" style="85" bestFit="1" customWidth="1"/>
    <col min="14346" max="14346" width="14.140625" style="85" bestFit="1" customWidth="1"/>
    <col min="14347" max="14347" width="15.42578125" style="85" bestFit="1" customWidth="1"/>
    <col min="14348" max="14348" width="16.5703125" style="85" bestFit="1" customWidth="1"/>
    <col min="14349" max="14349" width="17.42578125" style="85" bestFit="1" customWidth="1"/>
    <col min="14350" max="14350" width="24.85546875" style="85" customWidth="1"/>
    <col min="14351" max="14352" width="25.5703125" style="85" bestFit="1" customWidth="1"/>
    <col min="14353" max="14353" width="9.140625" style="85"/>
    <col min="14354" max="14354" width="27" style="85" customWidth="1"/>
    <col min="14355" max="14578" width="9.140625" style="85"/>
    <col min="14579" max="14579" width="5.28515625" style="85" customWidth="1"/>
    <col min="14580" max="14580" width="7.85546875" style="85" customWidth="1"/>
    <col min="14581" max="14581" width="25.140625" style="85" customWidth="1"/>
    <col min="14582" max="14582" width="37.42578125" style="85" customWidth="1"/>
    <col min="14583" max="14583" width="17.140625" style="85" bestFit="1" customWidth="1"/>
    <col min="14584" max="14584" width="15.42578125" style="85" bestFit="1" customWidth="1"/>
    <col min="14585" max="14585" width="16.5703125" style="85" customWidth="1"/>
    <col min="14586" max="14586" width="16.28515625" style="85" bestFit="1" customWidth="1"/>
    <col min="14587" max="14587" width="14.28515625" style="85" bestFit="1" customWidth="1"/>
    <col min="14588" max="14588" width="16.5703125" style="85" bestFit="1" customWidth="1"/>
    <col min="14589" max="14589" width="13.140625" style="85" bestFit="1" customWidth="1"/>
    <col min="14590" max="14592" width="14.28515625" style="85" bestFit="1" customWidth="1"/>
    <col min="14593" max="14593" width="15.42578125" style="85" bestFit="1" customWidth="1"/>
    <col min="14594" max="14596" width="0" style="85" hidden="1" customWidth="1"/>
    <col min="14597" max="14597" width="14.140625" style="85" bestFit="1" customWidth="1"/>
    <col min="14598" max="14598" width="14.85546875" style="85" customWidth="1"/>
    <col min="14599" max="14599" width="14.28515625" style="85" customWidth="1"/>
    <col min="14600" max="14600" width="12.140625" style="85" bestFit="1" customWidth="1"/>
    <col min="14601" max="14601" width="14.28515625" style="85" bestFit="1" customWidth="1"/>
    <col min="14602" max="14602" width="14.140625" style="85" bestFit="1" customWidth="1"/>
    <col min="14603" max="14603" width="15.42578125" style="85" bestFit="1" customWidth="1"/>
    <col min="14604" max="14604" width="16.5703125" style="85" bestFit="1" customWidth="1"/>
    <col min="14605" max="14605" width="17.42578125" style="85" bestFit="1" customWidth="1"/>
    <col min="14606" max="14606" width="24.85546875" style="85" customWidth="1"/>
    <col min="14607" max="14608" width="25.5703125" style="85" bestFit="1" customWidth="1"/>
    <col min="14609" max="14609" width="9.140625" style="85"/>
    <col min="14610" max="14610" width="27" style="85" customWidth="1"/>
    <col min="14611" max="14834" width="9.140625" style="85"/>
    <col min="14835" max="14835" width="5.28515625" style="85" customWidth="1"/>
    <col min="14836" max="14836" width="7.85546875" style="85" customWidth="1"/>
    <col min="14837" max="14837" width="25.140625" style="85" customWidth="1"/>
    <col min="14838" max="14838" width="37.42578125" style="85" customWidth="1"/>
    <col min="14839" max="14839" width="17.140625" style="85" bestFit="1" customWidth="1"/>
    <col min="14840" max="14840" width="15.42578125" style="85" bestFit="1" customWidth="1"/>
    <col min="14841" max="14841" width="16.5703125" style="85" customWidth="1"/>
    <col min="14842" max="14842" width="16.28515625" style="85" bestFit="1" customWidth="1"/>
    <col min="14843" max="14843" width="14.28515625" style="85" bestFit="1" customWidth="1"/>
    <col min="14844" max="14844" width="16.5703125" style="85" bestFit="1" customWidth="1"/>
    <col min="14845" max="14845" width="13.140625" style="85" bestFit="1" customWidth="1"/>
    <col min="14846" max="14848" width="14.28515625" style="85" bestFit="1" customWidth="1"/>
    <col min="14849" max="14849" width="15.42578125" style="85" bestFit="1" customWidth="1"/>
    <col min="14850" max="14852" width="0" style="85" hidden="1" customWidth="1"/>
    <col min="14853" max="14853" width="14.140625" style="85" bestFit="1" customWidth="1"/>
    <col min="14854" max="14854" width="14.85546875" style="85" customWidth="1"/>
    <col min="14855" max="14855" width="14.28515625" style="85" customWidth="1"/>
    <col min="14856" max="14856" width="12.140625" style="85" bestFit="1" customWidth="1"/>
    <col min="14857" max="14857" width="14.28515625" style="85" bestFit="1" customWidth="1"/>
    <col min="14858" max="14858" width="14.140625" style="85" bestFit="1" customWidth="1"/>
    <col min="14859" max="14859" width="15.42578125" style="85" bestFit="1" customWidth="1"/>
    <col min="14860" max="14860" width="16.5703125" style="85" bestFit="1" customWidth="1"/>
    <col min="14861" max="14861" width="17.42578125" style="85" bestFit="1" customWidth="1"/>
    <col min="14862" max="14862" width="24.85546875" style="85" customWidth="1"/>
    <col min="14863" max="14864" width="25.5703125" style="85" bestFit="1" customWidth="1"/>
    <col min="14865" max="14865" width="9.140625" style="85"/>
    <col min="14866" max="14866" width="27" style="85" customWidth="1"/>
    <col min="14867" max="15090" width="9.140625" style="85"/>
    <col min="15091" max="15091" width="5.28515625" style="85" customWidth="1"/>
    <col min="15092" max="15092" width="7.85546875" style="85" customWidth="1"/>
    <col min="15093" max="15093" width="25.140625" style="85" customWidth="1"/>
    <col min="15094" max="15094" width="37.42578125" style="85" customWidth="1"/>
    <col min="15095" max="15095" width="17.140625" style="85" bestFit="1" customWidth="1"/>
    <col min="15096" max="15096" width="15.42578125" style="85" bestFit="1" customWidth="1"/>
    <col min="15097" max="15097" width="16.5703125" style="85" customWidth="1"/>
    <col min="15098" max="15098" width="16.28515625" style="85" bestFit="1" customWidth="1"/>
    <col min="15099" max="15099" width="14.28515625" style="85" bestFit="1" customWidth="1"/>
    <col min="15100" max="15100" width="16.5703125" style="85" bestFit="1" customWidth="1"/>
    <col min="15101" max="15101" width="13.140625" style="85" bestFit="1" customWidth="1"/>
    <col min="15102" max="15104" width="14.28515625" style="85" bestFit="1" customWidth="1"/>
    <col min="15105" max="15105" width="15.42578125" style="85" bestFit="1" customWidth="1"/>
    <col min="15106" max="15108" width="0" style="85" hidden="1" customWidth="1"/>
    <col min="15109" max="15109" width="14.140625" style="85" bestFit="1" customWidth="1"/>
    <col min="15110" max="15110" width="14.85546875" style="85" customWidth="1"/>
    <col min="15111" max="15111" width="14.28515625" style="85" customWidth="1"/>
    <col min="15112" max="15112" width="12.140625" style="85" bestFit="1" customWidth="1"/>
    <col min="15113" max="15113" width="14.28515625" style="85" bestFit="1" customWidth="1"/>
    <col min="15114" max="15114" width="14.140625" style="85" bestFit="1" customWidth="1"/>
    <col min="15115" max="15115" width="15.42578125" style="85" bestFit="1" customWidth="1"/>
    <col min="15116" max="15116" width="16.5703125" style="85" bestFit="1" customWidth="1"/>
    <col min="15117" max="15117" width="17.42578125" style="85" bestFit="1" customWidth="1"/>
    <col min="15118" max="15118" width="24.85546875" style="85" customWidth="1"/>
    <col min="15119" max="15120" width="25.5703125" style="85" bestFit="1" customWidth="1"/>
    <col min="15121" max="15121" width="9.140625" style="85"/>
    <col min="15122" max="15122" width="27" style="85" customWidth="1"/>
    <col min="15123" max="15346" width="9.140625" style="85"/>
    <col min="15347" max="15347" width="5.28515625" style="85" customWidth="1"/>
    <col min="15348" max="15348" width="7.85546875" style="85" customWidth="1"/>
    <col min="15349" max="15349" width="25.140625" style="85" customWidth="1"/>
    <col min="15350" max="15350" width="37.42578125" style="85" customWidth="1"/>
    <col min="15351" max="15351" width="17.140625" style="85" bestFit="1" customWidth="1"/>
    <col min="15352" max="15352" width="15.42578125" style="85" bestFit="1" customWidth="1"/>
    <col min="15353" max="15353" width="16.5703125" style="85" customWidth="1"/>
    <col min="15354" max="15354" width="16.28515625" style="85" bestFit="1" customWidth="1"/>
    <col min="15355" max="15355" width="14.28515625" style="85" bestFit="1" customWidth="1"/>
    <col min="15356" max="15356" width="16.5703125" style="85" bestFit="1" customWidth="1"/>
    <col min="15357" max="15357" width="13.140625" style="85" bestFit="1" customWidth="1"/>
    <col min="15358" max="15360" width="14.28515625" style="85" bestFit="1" customWidth="1"/>
    <col min="15361" max="15361" width="15.42578125" style="85" bestFit="1" customWidth="1"/>
    <col min="15362" max="15364" width="0" style="85" hidden="1" customWidth="1"/>
    <col min="15365" max="15365" width="14.140625" style="85" bestFit="1" customWidth="1"/>
    <col min="15366" max="15366" width="14.85546875" style="85" customWidth="1"/>
    <col min="15367" max="15367" width="14.28515625" style="85" customWidth="1"/>
    <col min="15368" max="15368" width="12.140625" style="85" bestFit="1" customWidth="1"/>
    <col min="15369" max="15369" width="14.28515625" style="85" bestFit="1" customWidth="1"/>
    <col min="15370" max="15370" width="14.140625" style="85" bestFit="1" customWidth="1"/>
    <col min="15371" max="15371" width="15.42578125" style="85" bestFit="1" customWidth="1"/>
    <col min="15372" max="15372" width="16.5703125" style="85" bestFit="1" customWidth="1"/>
    <col min="15373" max="15373" width="17.42578125" style="85" bestFit="1" customWidth="1"/>
    <col min="15374" max="15374" width="24.85546875" style="85" customWidth="1"/>
    <col min="15375" max="15376" width="25.5703125" style="85" bestFit="1" customWidth="1"/>
    <col min="15377" max="15377" width="9.140625" style="85"/>
    <col min="15378" max="15378" width="27" style="85" customWidth="1"/>
    <col min="15379" max="15602" width="9.140625" style="85"/>
    <col min="15603" max="15603" width="5.28515625" style="85" customWidth="1"/>
    <col min="15604" max="15604" width="7.85546875" style="85" customWidth="1"/>
    <col min="15605" max="15605" width="25.140625" style="85" customWidth="1"/>
    <col min="15606" max="15606" width="37.42578125" style="85" customWidth="1"/>
    <col min="15607" max="15607" width="17.140625" style="85" bestFit="1" customWidth="1"/>
    <col min="15608" max="15608" width="15.42578125" style="85" bestFit="1" customWidth="1"/>
    <col min="15609" max="15609" width="16.5703125" style="85" customWidth="1"/>
    <col min="15610" max="15610" width="16.28515625" style="85" bestFit="1" customWidth="1"/>
    <col min="15611" max="15611" width="14.28515625" style="85" bestFit="1" customWidth="1"/>
    <col min="15612" max="15612" width="16.5703125" style="85" bestFit="1" customWidth="1"/>
    <col min="15613" max="15613" width="13.140625" style="85" bestFit="1" customWidth="1"/>
    <col min="15614" max="15616" width="14.28515625" style="85" bestFit="1" customWidth="1"/>
    <col min="15617" max="15617" width="15.42578125" style="85" bestFit="1" customWidth="1"/>
    <col min="15618" max="15620" width="0" style="85" hidden="1" customWidth="1"/>
    <col min="15621" max="15621" width="14.140625" style="85" bestFit="1" customWidth="1"/>
    <col min="15622" max="15622" width="14.85546875" style="85" customWidth="1"/>
    <col min="15623" max="15623" width="14.28515625" style="85" customWidth="1"/>
    <col min="15624" max="15624" width="12.140625" style="85" bestFit="1" customWidth="1"/>
    <col min="15625" max="15625" width="14.28515625" style="85" bestFit="1" customWidth="1"/>
    <col min="15626" max="15626" width="14.140625" style="85" bestFit="1" customWidth="1"/>
    <col min="15627" max="15627" width="15.42578125" style="85" bestFit="1" customWidth="1"/>
    <col min="15628" max="15628" width="16.5703125" style="85" bestFit="1" customWidth="1"/>
    <col min="15629" max="15629" width="17.42578125" style="85" bestFit="1" customWidth="1"/>
    <col min="15630" max="15630" width="24.85546875" style="85" customWidth="1"/>
    <col min="15631" max="15632" width="25.5703125" style="85" bestFit="1" customWidth="1"/>
    <col min="15633" max="15633" width="9.140625" style="85"/>
    <col min="15634" max="15634" width="27" style="85" customWidth="1"/>
    <col min="15635" max="15858" width="9.140625" style="85"/>
    <col min="15859" max="15859" width="5.28515625" style="85" customWidth="1"/>
    <col min="15860" max="15860" width="7.85546875" style="85" customWidth="1"/>
    <col min="15861" max="15861" width="25.140625" style="85" customWidth="1"/>
    <col min="15862" max="15862" width="37.42578125" style="85" customWidth="1"/>
    <col min="15863" max="15863" width="17.140625" style="85" bestFit="1" customWidth="1"/>
    <col min="15864" max="15864" width="15.42578125" style="85" bestFit="1" customWidth="1"/>
    <col min="15865" max="15865" width="16.5703125" style="85" customWidth="1"/>
    <col min="15866" max="15866" width="16.28515625" style="85" bestFit="1" customWidth="1"/>
    <col min="15867" max="15867" width="14.28515625" style="85" bestFit="1" customWidth="1"/>
    <col min="15868" max="15868" width="16.5703125" style="85" bestFit="1" customWidth="1"/>
    <col min="15869" max="15869" width="13.140625" style="85" bestFit="1" customWidth="1"/>
    <col min="15870" max="15872" width="14.28515625" style="85" bestFit="1" customWidth="1"/>
    <col min="15873" max="15873" width="15.42578125" style="85" bestFit="1" customWidth="1"/>
    <col min="15874" max="15876" width="0" style="85" hidden="1" customWidth="1"/>
    <col min="15877" max="15877" width="14.140625" style="85" bestFit="1" customWidth="1"/>
    <col min="15878" max="15878" width="14.85546875" style="85" customWidth="1"/>
    <col min="15879" max="15879" width="14.28515625" style="85" customWidth="1"/>
    <col min="15880" max="15880" width="12.140625" style="85" bestFit="1" customWidth="1"/>
    <col min="15881" max="15881" width="14.28515625" style="85" bestFit="1" customWidth="1"/>
    <col min="15882" max="15882" width="14.140625" style="85" bestFit="1" customWidth="1"/>
    <col min="15883" max="15883" width="15.42578125" style="85" bestFit="1" customWidth="1"/>
    <col min="15884" max="15884" width="16.5703125" style="85" bestFit="1" customWidth="1"/>
    <col min="15885" max="15885" width="17.42578125" style="85" bestFit="1" customWidth="1"/>
    <col min="15886" max="15886" width="24.85546875" style="85" customWidth="1"/>
    <col min="15887" max="15888" width="25.5703125" style="85" bestFit="1" customWidth="1"/>
    <col min="15889" max="15889" width="9.140625" style="85"/>
    <col min="15890" max="15890" width="27" style="85" customWidth="1"/>
    <col min="15891" max="16114" width="9.140625" style="85"/>
    <col min="16115" max="16115" width="5.28515625" style="85" customWidth="1"/>
    <col min="16116" max="16116" width="7.85546875" style="85" customWidth="1"/>
    <col min="16117" max="16117" width="25.140625" style="85" customWidth="1"/>
    <col min="16118" max="16118" width="37.42578125" style="85" customWidth="1"/>
    <col min="16119" max="16119" width="17.140625" style="85" bestFit="1" customWidth="1"/>
    <col min="16120" max="16120" width="15.42578125" style="85" bestFit="1" customWidth="1"/>
    <col min="16121" max="16121" width="16.5703125" style="85" customWidth="1"/>
    <col min="16122" max="16122" width="16.28515625" style="85" bestFit="1" customWidth="1"/>
    <col min="16123" max="16123" width="14.28515625" style="85" bestFit="1" customWidth="1"/>
    <col min="16124" max="16124" width="16.5703125" style="85" bestFit="1" customWidth="1"/>
    <col min="16125" max="16125" width="13.140625" style="85" bestFit="1" customWidth="1"/>
    <col min="16126" max="16128" width="14.28515625" style="85" bestFit="1" customWidth="1"/>
    <col min="16129" max="16129" width="15.42578125" style="85" bestFit="1" customWidth="1"/>
    <col min="16130" max="16132" width="0" style="85" hidden="1" customWidth="1"/>
    <col min="16133" max="16133" width="14.140625" style="85" bestFit="1" customWidth="1"/>
    <col min="16134" max="16134" width="14.85546875" style="85" customWidth="1"/>
    <col min="16135" max="16135" width="14.28515625" style="85" customWidth="1"/>
    <col min="16136" max="16136" width="12.140625" style="85" bestFit="1" customWidth="1"/>
    <col min="16137" max="16137" width="14.28515625" style="85" bestFit="1" customWidth="1"/>
    <col min="16138" max="16138" width="14.140625" style="85" bestFit="1" customWidth="1"/>
    <col min="16139" max="16139" width="15.42578125" style="85" bestFit="1" customWidth="1"/>
    <col min="16140" max="16140" width="16.5703125" style="85" bestFit="1" customWidth="1"/>
    <col min="16141" max="16141" width="17.42578125" style="85" bestFit="1" customWidth="1"/>
    <col min="16142" max="16142" width="24.85546875" style="85" customWidth="1"/>
    <col min="16143" max="16144" width="25.5703125" style="85" bestFit="1" customWidth="1"/>
    <col min="16145" max="16145" width="9.140625" style="85"/>
    <col min="16146" max="16146" width="27" style="85" customWidth="1"/>
    <col min="16147" max="16384" width="9.140625" style="85"/>
  </cols>
  <sheetData>
    <row r="1" spans="1:31" s="21" customFormat="1" x14ac:dyDescent="0.25">
      <c r="A1" s="16" t="s">
        <v>88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0"/>
      <c r="U1" s="20"/>
      <c r="V1" s="20"/>
      <c r="W1" s="20"/>
    </row>
    <row r="2" spans="1:31" s="21" customFormat="1" x14ac:dyDescent="0.25">
      <c r="A2" s="22" t="s">
        <v>89</v>
      </c>
      <c r="B2" s="23"/>
      <c r="C2" s="24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20"/>
      <c r="W2" s="20"/>
    </row>
    <row r="3" spans="1:31" s="21" customFormat="1" x14ac:dyDescent="0.25">
      <c r="A3" s="16" t="s">
        <v>90</v>
      </c>
      <c r="B3" s="16"/>
      <c r="C3" s="24" t="s">
        <v>91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  <c r="U3" s="20"/>
      <c r="V3" s="20"/>
      <c r="W3" s="20"/>
    </row>
    <row r="4" spans="1:31" s="21" customFormat="1" x14ac:dyDescent="0.25">
      <c r="A4" s="22" t="s">
        <v>92</v>
      </c>
      <c r="B4" s="17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0"/>
      <c r="U4" s="20"/>
      <c r="V4" s="20"/>
      <c r="W4" s="20"/>
    </row>
    <row r="5" spans="1:31" s="21" customFormat="1" x14ac:dyDescent="0.25">
      <c r="A5" s="16" t="s">
        <v>93</v>
      </c>
      <c r="B5" s="17"/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0"/>
      <c r="U5" s="20"/>
      <c r="V5" s="20"/>
      <c r="W5" s="20"/>
    </row>
    <row r="6" spans="1:31" s="26" customFormat="1" ht="27" x14ac:dyDescent="0.35">
      <c r="A6" s="581" t="s">
        <v>215</v>
      </c>
      <c r="B6" s="581"/>
      <c r="C6" s="581"/>
      <c r="D6" s="581"/>
      <c r="E6" s="581"/>
      <c r="F6" s="581"/>
      <c r="G6" s="581"/>
      <c r="H6" s="581"/>
      <c r="I6" s="581"/>
      <c r="J6" s="581"/>
      <c r="K6" s="581"/>
      <c r="L6" s="581"/>
      <c r="M6" s="581"/>
      <c r="N6" s="581"/>
      <c r="O6" s="581"/>
      <c r="P6" s="581"/>
      <c r="Q6" s="581"/>
      <c r="R6" s="581"/>
      <c r="S6" s="581"/>
      <c r="T6" s="581"/>
      <c r="U6" s="581"/>
      <c r="V6" s="25"/>
      <c r="W6" s="25"/>
    </row>
    <row r="7" spans="1:31" s="26" customFormat="1" ht="27" x14ac:dyDescent="0.3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7"/>
      <c r="T7" s="25"/>
      <c r="U7" s="25"/>
      <c r="V7" s="25"/>
      <c r="W7" s="25"/>
    </row>
    <row r="8" spans="1:31" s="26" customFormat="1" ht="27" x14ac:dyDescent="0.35">
      <c r="A8" s="581" t="s">
        <v>216</v>
      </c>
      <c r="B8" s="581"/>
      <c r="C8" s="581"/>
      <c r="D8" s="581"/>
      <c r="E8" s="581"/>
      <c r="F8" s="581"/>
      <c r="G8" s="581"/>
      <c r="H8" s="581"/>
      <c r="I8" s="581"/>
      <c r="J8" s="581"/>
      <c r="K8" s="581"/>
      <c r="L8" s="581"/>
      <c r="M8" s="581"/>
      <c r="N8" s="581"/>
      <c r="O8" s="581"/>
      <c r="P8" s="581"/>
      <c r="Q8" s="581"/>
      <c r="R8" s="581"/>
      <c r="S8" s="581"/>
      <c r="T8" s="581"/>
      <c r="U8" s="581"/>
      <c r="V8" s="25"/>
      <c r="W8" s="25"/>
    </row>
    <row r="9" spans="1:31" s="26" customFormat="1" x14ac:dyDescent="0.3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31" s="29" customFormat="1" ht="54.75" customHeight="1" x14ac:dyDescent="0.25">
      <c r="A10" s="582" t="s">
        <v>94</v>
      </c>
      <c r="B10" s="584" t="s">
        <v>95</v>
      </c>
      <c r="C10" s="586" t="s">
        <v>96</v>
      </c>
      <c r="D10" s="584" t="s">
        <v>97</v>
      </c>
      <c r="E10" s="588" t="s">
        <v>69</v>
      </c>
      <c r="F10" s="589"/>
      <c r="G10" s="590"/>
      <c r="H10" s="588" t="s">
        <v>98</v>
      </c>
      <c r="I10" s="589"/>
      <c r="J10" s="590"/>
      <c r="K10" s="588" t="s">
        <v>99</v>
      </c>
      <c r="L10" s="589"/>
      <c r="M10" s="590"/>
      <c r="N10" s="588" t="s">
        <v>100</v>
      </c>
      <c r="O10" s="590"/>
      <c r="P10" s="588" t="s">
        <v>101</v>
      </c>
      <c r="Q10" s="589"/>
      <c r="R10" s="590"/>
      <c r="S10" s="588" t="s">
        <v>102</v>
      </c>
      <c r="T10" s="589"/>
      <c r="U10" s="590"/>
      <c r="V10" s="584" t="s">
        <v>103</v>
      </c>
      <c r="W10" s="584" t="s">
        <v>104</v>
      </c>
      <c r="X10" s="577" t="s">
        <v>105</v>
      </c>
    </row>
    <row r="11" spans="1:31" s="26" customFormat="1" ht="93.75" x14ac:dyDescent="0.25">
      <c r="A11" s="583"/>
      <c r="B11" s="585"/>
      <c r="C11" s="587"/>
      <c r="D11" s="585"/>
      <c r="E11" s="30" t="s">
        <v>106</v>
      </c>
      <c r="F11" s="31" t="s">
        <v>107</v>
      </c>
      <c r="G11" s="31" t="s">
        <v>108</v>
      </c>
      <c r="H11" s="30" t="s">
        <v>109</v>
      </c>
      <c r="I11" s="30" t="s">
        <v>110</v>
      </c>
      <c r="J11" s="31" t="s">
        <v>111</v>
      </c>
      <c r="K11" s="30" t="s">
        <v>109</v>
      </c>
      <c r="L11" s="30" t="s">
        <v>110</v>
      </c>
      <c r="M11" s="31" t="s">
        <v>108</v>
      </c>
      <c r="N11" s="30" t="s">
        <v>112</v>
      </c>
      <c r="O11" s="30" t="s">
        <v>113</v>
      </c>
      <c r="P11" s="30" t="s">
        <v>109</v>
      </c>
      <c r="Q11" s="30" t="s">
        <v>110</v>
      </c>
      <c r="R11" s="31" t="s">
        <v>108</v>
      </c>
      <c r="S11" s="30" t="s">
        <v>114</v>
      </c>
      <c r="T11" s="30" t="s">
        <v>110</v>
      </c>
      <c r="U11" s="31" t="s">
        <v>108</v>
      </c>
      <c r="V11" s="585"/>
      <c r="W11" s="585"/>
      <c r="X11" s="578"/>
    </row>
    <row r="12" spans="1:31" s="26" customFormat="1" ht="23.25" x14ac:dyDescent="0.25">
      <c r="A12" s="32">
        <v>1</v>
      </c>
      <c r="B12" s="32">
        <v>2</v>
      </c>
      <c r="C12" s="32">
        <v>3</v>
      </c>
      <c r="D12" s="32">
        <v>4</v>
      </c>
      <c r="E12" s="32">
        <v>5</v>
      </c>
      <c r="F12" s="32">
        <v>6</v>
      </c>
      <c r="G12" s="32">
        <v>7</v>
      </c>
      <c r="H12" s="32">
        <v>8</v>
      </c>
      <c r="I12" s="32">
        <v>9</v>
      </c>
      <c r="J12" s="32">
        <v>10</v>
      </c>
      <c r="K12" s="32">
        <v>8</v>
      </c>
      <c r="L12" s="32">
        <v>9</v>
      </c>
      <c r="M12" s="32">
        <v>10</v>
      </c>
      <c r="N12" s="32">
        <v>11</v>
      </c>
      <c r="O12" s="32">
        <v>12</v>
      </c>
      <c r="P12" s="32">
        <v>13</v>
      </c>
      <c r="Q12" s="32">
        <v>14</v>
      </c>
      <c r="R12" s="32">
        <v>15</v>
      </c>
      <c r="S12" s="32">
        <v>16</v>
      </c>
      <c r="T12" s="32">
        <v>17</v>
      </c>
      <c r="U12" s="32">
        <v>18</v>
      </c>
      <c r="V12" s="32"/>
      <c r="W12" s="32"/>
      <c r="X12" s="32">
        <v>19</v>
      </c>
    </row>
    <row r="13" spans="1:31" s="26" customFormat="1" ht="45.75" customHeight="1" x14ac:dyDescent="0.25">
      <c r="A13" s="33" t="s">
        <v>115</v>
      </c>
      <c r="B13" s="34" t="s">
        <v>402</v>
      </c>
      <c r="C13" s="527" t="str">
        <f>'1_11.1'!A41</f>
        <v>Локальная смета №12-4017-Л-Р-8.3.1-ВК-СМ1</v>
      </c>
      <c r="D13" s="35" t="str">
        <f>'1_11.1'!A42</f>
        <v xml:space="preserve">Рег. № 48493-ТПК_5-0575-Р-ССР2 </v>
      </c>
      <c r="E13" s="36">
        <f>'1_11.1'!J115</f>
        <v>8730.17</v>
      </c>
      <c r="F13" s="36">
        <f>'1_11.1'!L115</f>
        <v>53924.09</v>
      </c>
      <c r="G13" s="37">
        <f>'1_11.1'!L124</f>
        <v>49879.78</v>
      </c>
      <c r="H13" s="38"/>
      <c r="I13" s="38"/>
      <c r="J13" s="37"/>
      <c r="K13" s="37"/>
      <c r="L13" s="37"/>
      <c r="M13" s="37"/>
      <c r="N13" s="36">
        <f>'1_11.1'!J117</f>
        <v>8590.3700000000008</v>
      </c>
      <c r="O13" s="36">
        <f>'1_11.1'!L117</f>
        <v>51345.95</v>
      </c>
      <c r="P13" s="37">
        <f>'1_11.1'!J119</f>
        <v>6.46</v>
      </c>
      <c r="Q13" s="37">
        <f>'1_11.1'!L119</f>
        <v>156.43</v>
      </c>
      <c r="R13" s="36">
        <f>'1_11.1'!L128</f>
        <v>144.69999999999999</v>
      </c>
      <c r="S13" s="39">
        <f t="shared" ref="S13:S22" si="0">E13+H13+K13+P13</f>
        <v>8736.6299999999992</v>
      </c>
      <c r="T13" s="37">
        <f t="shared" ref="T13:T22" si="1">F13+I13+L13+Q13</f>
        <v>54080.52</v>
      </c>
      <c r="U13" s="39">
        <f>R13+G13</f>
        <v>50024.480000000003</v>
      </c>
      <c r="V13" s="39"/>
      <c r="W13" s="39"/>
      <c r="X13" s="40" t="s">
        <v>116</v>
      </c>
      <c r="Y13" s="41">
        <f>U13+U14+U15+U16+U17+U18+U20</f>
        <v>4251033.1399999997</v>
      </c>
      <c r="Z13" s="26">
        <v>6100518.1737200003</v>
      </c>
      <c r="AA13" s="26">
        <v>6121321.8300000001</v>
      </c>
      <c r="AB13" s="26">
        <v>15821383.140000001</v>
      </c>
      <c r="AE13" s="41">
        <f>Y13+Z13+AA13+AB13</f>
        <v>32294256.280000001</v>
      </c>
    </row>
    <row r="14" spans="1:31" s="26" customFormat="1" ht="55.5" customHeight="1" x14ac:dyDescent="0.25">
      <c r="A14" s="33" t="s">
        <v>117</v>
      </c>
      <c r="B14" s="34" t="s">
        <v>403</v>
      </c>
      <c r="C14" s="527" t="str">
        <f>'2_11.3'!A44</f>
        <v>Локальная смета №12-4017-Л-Р-11.3.3.2-ВК-СМ1К</v>
      </c>
      <c r="D14" s="35" t="str">
        <f>'2_11.3'!A45</f>
        <v>Рег. № 48645-ТПК_5-0632-Р-ССР2-доп.1-изм.1.1</v>
      </c>
      <c r="E14" s="36">
        <f>'2_11.3'!J107</f>
        <v>72928.38</v>
      </c>
      <c r="F14" s="36">
        <f>'2_11.3'!L107</f>
        <v>757512.35</v>
      </c>
      <c r="G14" s="37">
        <f>'2_11.3'!L116</f>
        <v>700698.92</v>
      </c>
      <c r="H14" s="38"/>
      <c r="I14" s="38"/>
      <c r="J14" s="37"/>
      <c r="K14" s="37"/>
      <c r="L14" s="37"/>
      <c r="M14" s="37"/>
      <c r="N14" s="36">
        <f>'2_11.3'!J109</f>
        <v>37520.29</v>
      </c>
      <c r="O14" s="36">
        <f>'2_11.3'!L109</f>
        <v>266319.68</v>
      </c>
      <c r="P14" s="37">
        <f>'2_11.3'!J111</f>
        <v>1117.1400000000001</v>
      </c>
      <c r="Q14" s="37">
        <f>'2_11.3'!L111</f>
        <v>27068.41</v>
      </c>
      <c r="R14" s="36">
        <f>'2_11.3'!L120</f>
        <v>25038.28</v>
      </c>
      <c r="S14" s="39">
        <f t="shared" si="0"/>
        <v>74045.52</v>
      </c>
      <c r="T14" s="37">
        <f t="shared" si="1"/>
        <v>784580.76</v>
      </c>
      <c r="U14" s="39">
        <f>R14+G14</f>
        <v>725737.2</v>
      </c>
      <c r="V14" s="39"/>
      <c r="W14" s="39"/>
      <c r="X14" s="40" t="s">
        <v>116</v>
      </c>
      <c r="Y14" s="41">
        <f>U19+U21+U22</f>
        <v>2016986.49</v>
      </c>
      <c r="Z14" s="26">
        <v>1370556.59202486</v>
      </c>
      <c r="AA14" s="26">
        <v>236248.72</v>
      </c>
      <c r="AB14" s="26">
        <v>852644.12</v>
      </c>
      <c r="AE14" s="41">
        <f>Y14+Z14+AA14+AB14</f>
        <v>4476435.92</v>
      </c>
    </row>
    <row r="15" spans="1:31" s="26" customFormat="1" ht="55.5" customHeight="1" x14ac:dyDescent="0.25">
      <c r="A15" s="33" t="s">
        <v>72</v>
      </c>
      <c r="B15" s="34" t="s">
        <v>404</v>
      </c>
      <c r="C15" s="527" t="str">
        <f>'3_11.4'!A43</f>
        <v>Локальная смета №12-4017-Л-Р-11.3.3.2-ВК-СМ1К</v>
      </c>
      <c r="D15" s="42" t="str">
        <f>'3_11.4'!A44</f>
        <v>Рег. № 48645-ТПК_5-0632-Р-ССР2-доп.1-изм.1.1</v>
      </c>
      <c r="E15" s="36">
        <f>'3_11.4'!J96</f>
        <v>13773.55</v>
      </c>
      <c r="F15" s="36">
        <f>'3_11.4'!L96</f>
        <v>86939.49</v>
      </c>
      <c r="G15" s="37">
        <f>'3_11.4'!L105</f>
        <v>80419.03</v>
      </c>
      <c r="H15" s="38"/>
      <c r="I15" s="38"/>
      <c r="J15" s="37"/>
      <c r="K15" s="37"/>
      <c r="L15" s="37"/>
      <c r="M15" s="37"/>
      <c r="N15" s="36">
        <f ca="1">'3_11.4'!J98</f>
        <v>12587.75</v>
      </c>
      <c r="O15" s="36">
        <f>'3_11.4'!L98</f>
        <v>65100.1</v>
      </c>
      <c r="P15" s="37">
        <f ca="1">'3_11.4'!J100</f>
        <v>54.59</v>
      </c>
      <c r="Q15" s="37">
        <f>'3_11.4'!L100</f>
        <v>1322.7</v>
      </c>
      <c r="R15" s="36">
        <f>'3_11.4'!L109</f>
        <v>1223.5</v>
      </c>
      <c r="S15" s="39">
        <f t="shared" ca="1" si="0"/>
        <v>13828.14</v>
      </c>
      <c r="T15" s="37">
        <f t="shared" si="1"/>
        <v>88262.19</v>
      </c>
      <c r="U15" s="39">
        <f t="shared" ref="U15:U17" si="2">R15+G15</f>
        <v>81642.53</v>
      </c>
      <c r="V15" s="39"/>
      <c r="W15" s="39"/>
      <c r="X15" s="40" t="s">
        <v>116</v>
      </c>
      <c r="Y15" s="41"/>
    </row>
    <row r="16" spans="1:31" s="26" customFormat="1" ht="55.5" customHeight="1" x14ac:dyDescent="0.25">
      <c r="A16" s="33" t="s">
        <v>118</v>
      </c>
      <c r="B16" s="34" t="s">
        <v>405</v>
      </c>
      <c r="C16" s="527" t="str">
        <f>'4_11.5'!A43</f>
        <v>Локальная смета №12-4017-Л-Р-11.4.3.2-ВК-СМ1</v>
      </c>
      <c r="D16" s="42" t="str">
        <f>'4_11.5'!A44</f>
        <v>Рег. № 48809-ТПК_5-0673-Р-ССР2</v>
      </c>
      <c r="E16" s="36">
        <v>136953.76999999999</v>
      </c>
      <c r="F16" s="36">
        <f>'4_11.5'!L164</f>
        <v>713095.24</v>
      </c>
      <c r="G16" s="37">
        <f>'4_11.5'!L173</f>
        <v>659613.1</v>
      </c>
      <c r="H16" s="38"/>
      <c r="I16" s="38"/>
      <c r="J16" s="37"/>
      <c r="K16" s="37"/>
      <c r="L16" s="37"/>
      <c r="M16" s="37"/>
      <c r="N16" s="36">
        <f>'4_11.5'!J166</f>
        <v>123658.09</v>
      </c>
      <c r="O16" s="36">
        <f>'4_11.5'!L166</f>
        <v>470519.37</v>
      </c>
      <c r="P16" s="37">
        <f>'4_11.5'!J168</f>
        <v>625.37</v>
      </c>
      <c r="Q16" s="37">
        <f>'4_11.5'!L168</f>
        <v>15152.79</v>
      </c>
      <c r="R16" s="36">
        <f>'4_11.5'!L177</f>
        <v>14016.33</v>
      </c>
      <c r="S16" s="39">
        <f t="shared" si="0"/>
        <v>137579.14000000001</v>
      </c>
      <c r="T16" s="37">
        <f t="shared" si="1"/>
        <v>728248.03</v>
      </c>
      <c r="U16" s="39">
        <f t="shared" si="2"/>
        <v>673629.43</v>
      </c>
      <c r="V16" s="39"/>
      <c r="W16" s="39"/>
      <c r="X16" s="40" t="s">
        <v>116</v>
      </c>
      <c r="Y16" s="41"/>
    </row>
    <row r="17" spans="1:25" s="448" customFormat="1" ht="55.5" customHeight="1" x14ac:dyDescent="0.25">
      <c r="A17" s="439" t="s">
        <v>152</v>
      </c>
      <c r="B17" s="440" t="s">
        <v>406</v>
      </c>
      <c r="C17" s="527" t="str">
        <f>'5_11.21'!A47</f>
        <v>Локальная смета №12-4017-Л-Р-12.3.1-ВК-СМ1</v>
      </c>
      <c r="D17" s="441" t="str">
        <f>'5_11.21'!A48</f>
        <v>Рег. № 48824-ТПК_5-0687-Р-ССР2</v>
      </c>
      <c r="E17" s="442">
        <f>'5_11.21'!J180</f>
        <v>579729.72</v>
      </c>
      <c r="F17" s="442">
        <f>'5_11.21'!L180</f>
        <v>2290842.0699999998</v>
      </c>
      <c r="G17" s="443">
        <f>'5_11.21'!L189</f>
        <v>2119028.91</v>
      </c>
      <c r="H17" s="444"/>
      <c r="I17" s="444"/>
      <c r="J17" s="443"/>
      <c r="K17" s="443"/>
      <c r="L17" s="443"/>
      <c r="M17" s="443"/>
      <c r="N17" s="442">
        <f>'5_11.21'!J182</f>
        <v>555583.43999999994</v>
      </c>
      <c r="O17" s="442">
        <f>'5_11.21'!L182</f>
        <v>1850243.3</v>
      </c>
      <c r="P17" s="443">
        <f>'5_11.21'!J184</f>
        <v>1109.03</v>
      </c>
      <c r="Q17" s="443">
        <f>'5_11.21'!L184</f>
        <v>26871.75</v>
      </c>
      <c r="R17" s="442">
        <f>'5_11.21'!L193</f>
        <v>24856.37</v>
      </c>
      <c r="S17" s="445">
        <f t="shared" si="0"/>
        <v>580838.75</v>
      </c>
      <c r="T17" s="443">
        <f t="shared" si="1"/>
        <v>2317713.8199999998</v>
      </c>
      <c r="U17" s="445">
        <f t="shared" si="2"/>
        <v>2143885.2799999998</v>
      </c>
      <c r="V17" s="445"/>
      <c r="W17" s="445"/>
      <c r="X17" s="446" t="s">
        <v>116</v>
      </c>
      <c r="Y17" s="447"/>
    </row>
    <row r="18" spans="1:25" s="448" customFormat="1" ht="55.5" customHeight="1" x14ac:dyDescent="0.25">
      <c r="A18" s="439" t="s">
        <v>153</v>
      </c>
      <c r="B18" s="440" t="s">
        <v>407</v>
      </c>
      <c r="C18" s="527" t="str">
        <f>'6_11.22'!A43</f>
        <v>Локальная смета №12-4017-Л-Р-12.3.1-ВК-СМ1</v>
      </c>
      <c r="D18" s="441" t="str">
        <f>'6_11.22'!A44</f>
        <v>Рег. № 48824-ТПК_5-0687-Р-ССР2</v>
      </c>
      <c r="E18" s="442">
        <f>'6_11.22'!J137</f>
        <v>1729.92</v>
      </c>
      <c r="F18" s="442">
        <f>'6_11.22'!L137</f>
        <v>12377.68</v>
      </c>
      <c r="G18" s="443">
        <f>'6_11.22'!L146</f>
        <v>11449.35</v>
      </c>
      <c r="H18" s="444"/>
      <c r="I18" s="444"/>
      <c r="J18" s="443"/>
      <c r="K18" s="443"/>
      <c r="L18" s="443"/>
      <c r="M18" s="443"/>
      <c r="N18" s="442">
        <f>'6_11.22'!J139</f>
        <v>1550.9</v>
      </c>
      <c r="O18" s="442">
        <f>'6_11.22'!L139</f>
        <v>9301.93</v>
      </c>
      <c r="P18" s="443">
        <f>'6_11.22'!J141</f>
        <v>7.17</v>
      </c>
      <c r="Q18" s="443">
        <f>'6_11.22'!L141</f>
        <v>173.65</v>
      </c>
      <c r="R18" s="442">
        <f>'6_11.22'!L150</f>
        <v>160.62</v>
      </c>
      <c r="S18" s="445">
        <f t="shared" si="0"/>
        <v>1737.09</v>
      </c>
      <c r="T18" s="443">
        <f t="shared" si="1"/>
        <v>12551.33</v>
      </c>
      <c r="U18" s="445">
        <f t="shared" ref="U18:U22" si="3">R18+G18</f>
        <v>11609.97</v>
      </c>
      <c r="V18" s="445"/>
      <c r="W18" s="445"/>
      <c r="X18" s="446" t="s">
        <v>116</v>
      </c>
      <c r="Y18" s="447"/>
    </row>
    <row r="19" spans="1:25" s="448" customFormat="1" ht="50.25" customHeight="1" x14ac:dyDescent="0.25">
      <c r="A19" s="439" t="s">
        <v>154</v>
      </c>
      <c r="B19" s="440" t="s">
        <v>408</v>
      </c>
      <c r="C19" s="528" t="str">
        <f>'7_11.23'!A43</f>
        <v>Локальная смета №12-4017-Л-Р-11.4.3.1-ОВ1.3-СМ1К</v>
      </c>
      <c r="D19" s="441" t="str">
        <f>'7_11.23'!A44</f>
        <v>Рег. № 48876-ТПК_5-0708-Р-ССР2-ИЗМ1.1</v>
      </c>
      <c r="E19" s="442">
        <f>'7_11.23'!J123</f>
        <v>13923.54</v>
      </c>
      <c r="F19" s="442">
        <f>'7_11.23'!L123</f>
        <v>105915.55</v>
      </c>
      <c r="G19" s="443">
        <f>'7_11.23'!L132</f>
        <v>97971.88</v>
      </c>
      <c r="H19" s="444"/>
      <c r="I19" s="444"/>
      <c r="J19" s="443"/>
      <c r="K19" s="443"/>
      <c r="L19" s="443"/>
      <c r="M19" s="443"/>
      <c r="N19" s="442">
        <f>'7_11.23'!J125</f>
        <v>10208.93</v>
      </c>
      <c r="O19" s="442">
        <f>'7_11.23'!L125</f>
        <v>35730.519999999997</v>
      </c>
      <c r="P19" s="443">
        <f>'7_11.23'!J127</f>
        <v>184.75</v>
      </c>
      <c r="Q19" s="443">
        <f>'7_11.23'!L127</f>
        <v>4476.43</v>
      </c>
      <c r="R19" s="442">
        <f>'7_11.23'!L136</f>
        <v>4140.7</v>
      </c>
      <c r="S19" s="445">
        <f t="shared" si="0"/>
        <v>14108.29</v>
      </c>
      <c r="T19" s="443">
        <f t="shared" si="1"/>
        <v>110391.98</v>
      </c>
      <c r="U19" s="445">
        <f t="shared" si="3"/>
        <v>102112.58</v>
      </c>
      <c r="V19" s="445"/>
      <c r="W19" s="445"/>
      <c r="X19" s="446" t="s">
        <v>116</v>
      </c>
      <c r="Y19" s="447"/>
    </row>
    <row r="20" spans="1:25" s="448" customFormat="1" ht="50.25" customHeight="1" x14ac:dyDescent="0.25">
      <c r="A20" s="439" t="s">
        <v>33</v>
      </c>
      <c r="B20" s="440" t="s">
        <v>409</v>
      </c>
      <c r="C20" s="527" t="str">
        <f>'8_11.24'!A43</f>
        <v>Локальная смета №12-4017-Л-Р-11.5.4-ВК-СМ1</v>
      </c>
      <c r="D20" s="441" t="str">
        <f>'8_11.24'!A44</f>
        <v>Рег. № 48956-ТПК_5-0781-Р-ССР2</v>
      </c>
      <c r="E20" s="442">
        <f>'8_11.24'!J194</f>
        <v>112312.15</v>
      </c>
      <c r="F20" s="442">
        <f>'8_11.24'!L194</f>
        <v>596752.92000000004</v>
      </c>
      <c r="G20" s="443">
        <f>'8_11.24'!L203</f>
        <v>551996.44999999995</v>
      </c>
      <c r="H20" s="444"/>
      <c r="I20" s="444"/>
      <c r="J20" s="443"/>
      <c r="K20" s="443"/>
      <c r="L20" s="443"/>
      <c r="M20" s="443"/>
      <c r="N20" s="442">
        <f>'8_11.24'!J196</f>
        <v>99741.49</v>
      </c>
      <c r="O20" s="442">
        <f>'8_11.24'!L196</f>
        <v>370061.78</v>
      </c>
      <c r="P20" s="443">
        <f>'8_11.24'!J198</f>
        <v>558.07000000000005</v>
      </c>
      <c r="Q20" s="443">
        <f>'8_11.24'!L198</f>
        <v>13521.94</v>
      </c>
      <c r="R20" s="442">
        <f>'8_11.24'!L207</f>
        <v>12507.8</v>
      </c>
      <c r="S20" s="445">
        <f t="shared" si="0"/>
        <v>112870.22</v>
      </c>
      <c r="T20" s="443">
        <f t="shared" si="1"/>
        <v>610274.86</v>
      </c>
      <c r="U20" s="445">
        <f t="shared" si="3"/>
        <v>564504.25</v>
      </c>
      <c r="V20" s="445"/>
      <c r="W20" s="445"/>
      <c r="X20" s="446" t="s">
        <v>116</v>
      </c>
      <c r="Y20" s="447"/>
    </row>
    <row r="21" spans="1:25" s="448" customFormat="1" ht="50.25" customHeight="1" x14ac:dyDescent="0.25">
      <c r="A21" s="439" t="s">
        <v>156</v>
      </c>
      <c r="B21" s="440" t="s">
        <v>410</v>
      </c>
      <c r="C21" s="528" t="s">
        <v>397</v>
      </c>
      <c r="D21" s="441" t="s">
        <v>398</v>
      </c>
      <c r="E21" s="442">
        <f>'9_11.25 '!J276</f>
        <v>56033.18</v>
      </c>
      <c r="F21" s="442">
        <f>'9_11.25 '!L276</f>
        <v>437710.9</v>
      </c>
      <c r="G21" s="443">
        <f>'9_11.25 '!L285</f>
        <v>404882.58</v>
      </c>
      <c r="H21" s="444"/>
      <c r="I21" s="444"/>
      <c r="J21" s="443"/>
      <c r="K21" s="443"/>
      <c r="L21" s="443"/>
      <c r="M21" s="443"/>
      <c r="N21" s="442">
        <f>'9_11.25 '!J278</f>
        <v>44547.29</v>
      </c>
      <c r="O21" s="442">
        <f>'9_11.25 '!L278</f>
        <v>230008.6</v>
      </c>
      <c r="P21" s="443">
        <f>'9_11.25 '!J280</f>
        <v>533.75</v>
      </c>
      <c r="Q21" s="443">
        <f>'9_11.25 '!L280</f>
        <v>12932.71</v>
      </c>
      <c r="R21" s="442">
        <f>'9_11.25 '!L289</f>
        <v>11962.76</v>
      </c>
      <c r="S21" s="445">
        <f t="shared" si="0"/>
        <v>56566.93</v>
      </c>
      <c r="T21" s="443">
        <f t="shared" si="1"/>
        <v>450643.61</v>
      </c>
      <c r="U21" s="445">
        <f t="shared" si="3"/>
        <v>416845.34</v>
      </c>
      <c r="V21" s="445"/>
      <c r="W21" s="445"/>
      <c r="X21" s="446" t="s">
        <v>116</v>
      </c>
      <c r="Y21" s="447"/>
    </row>
    <row r="22" spans="1:25" s="26" customFormat="1" ht="50.25" customHeight="1" x14ac:dyDescent="0.25">
      <c r="A22" s="33" t="s">
        <v>158</v>
      </c>
      <c r="B22" s="34" t="s">
        <v>411</v>
      </c>
      <c r="C22" s="528" t="str">
        <f>'10_11.26'!A47</f>
        <v>Локальная смета №11-4017-Л-Р-11.4.3.1-ОВ1.1-СМ1К</v>
      </c>
      <c r="D22" s="42" t="str">
        <f>'10_11.26'!A48</f>
        <v>Рег. № 48837-ТПК_5-0699-Р-ССР2-изм1.1</v>
      </c>
      <c r="E22" s="36">
        <f>'10_11.26'!J398</f>
        <v>230597.44</v>
      </c>
      <c r="F22" s="36">
        <f>'10_11.26'!L398</f>
        <v>1589636.16</v>
      </c>
      <c r="G22" s="37">
        <f>'10_11.26'!L407</f>
        <v>1470413.45</v>
      </c>
      <c r="H22" s="38"/>
      <c r="I22" s="38"/>
      <c r="J22" s="37"/>
      <c r="K22" s="37"/>
      <c r="L22" s="37"/>
      <c r="M22" s="37"/>
      <c r="N22" s="36">
        <f>'10_11.26'!J400</f>
        <v>204866.01</v>
      </c>
      <c r="O22" s="36">
        <f>'10_11.26'!L400</f>
        <v>1108519.47</v>
      </c>
      <c r="P22" s="37">
        <f>'10_11.26'!J402</f>
        <v>1232.1199999999999</v>
      </c>
      <c r="Q22" s="37">
        <f>'10_11.26'!L402</f>
        <v>29854.19</v>
      </c>
      <c r="R22" s="36">
        <f>'10_11.26'!L411</f>
        <v>27615.119999999999</v>
      </c>
      <c r="S22" s="39">
        <f t="shared" si="0"/>
        <v>231829.56</v>
      </c>
      <c r="T22" s="37">
        <f t="shared" si="1"/>
        <v>1619490.35</v>
      </c>
      <c r="U22" s="39">
        <f t="shared" si="3"/>
        <v>1498028.57</v>
      </c>
      <c r="V22" s="39"/>
      <c r="W22" s="39"/>
      <c r="X22" s="40" t="s">
        <v>116</v>
      </c>
      <c r="Y22" s="41"/>
    </row>
    <row r="23" spans="1:25" s="26" customFormat="1" ht="23.25" x14ac:dyDescent="0.25">
      <c r="A23" s="43"/>
      <c r="B23" s="44"/>
      <c r="C23" s="44"/>
      <c r="D23" s="45" t="s">
        <v>119</v>
      </c>
      <c r="E23" s="39">
        <f>SUM(E13:E22)</f>
        <v>1226711.82</v>
      </c>
      <c r="F23" s="39">
        <f t="shared" ref="F23:W23" si="4">SUM(F13:F22)</f>
        <v>6644706.4500000002</v>
      </c>
      <c r="G23" s="39">
        <f t="shared" si="4"/>
        <v>6146353.4500000002</v>
      </c>
      <c r="H23" s="39">
        <f t="shared" si="4"/>
        <v>0</v>
      </c>
      <c r="I23" s="39">
        <f t="shared" si="4"/>
        <v>0</v>
      </c>
      <c r="J23" s="39">
        <f t="shared" si="4"/>
        <v>0</v>
      </c>
      <c r="K23" s="39">
        <f t="shared" si="4"/>
        <v>0</v>
      </c>
      <c r="L23" s="39">
        <f t="shared" si="4"/>
        <v>0</v>
      </c>
      <c r="M23" s="39">
        <f t="shared" si="4"/>
        <v>0</v>
      </c>
      <c r="N23" s="39">
        <f t="shared" ca="1" si="4"/>
        <v>1098854.56</v>
      </c>
      <c r="O23" s="39">
        <f t="shared" si="4"/>
        <v>4457150.7</v>
      </c>
      <c r="P23" s="39">
        <f t="shared" ca="1" si="4"/>
        <v>5428.45</v>
      </c>
      <c r="Q23" s="39">
        <f t="shared" si="4"/>
        <v>131531</v>
      </c>
      <c r="R23" s="39">
        <f t="shared" si="4"/>
        <v>121666.18</v>
      </c>
      <c r="S23" s="39">
        <f t="shared" ca="1" si="4"/>
        <v>1232140.27</v>
      </c>
      <c r="T23" s="39">
        <f t="shared" si="4"/>
        <v>6776237.4500000002</v>
      </c>
      <c r="U23" s="39">
        <f t="shared" si="4"/>
        <v>6268019.6299999999</v>
      </c>
      <c r="V23" s="39">
        <f t="shared" si="4"/>
        <v>0</v>
      </c>
      <c r="W23" s="39">
        <f t="shared" si="4"/>
        <v>0</v>
      </c>
      <c r="X23" s="46"/>
    </row>
    <row r="24" spans="1:25" s="52" customFormat="1" ht="18.75" x14ac:dyDescent="0.25">
      <c r="A24" s="47"/>
      <c r="B24" s="48"/>
      <c r="C24" s="49"/>
      <c r="D24" s="50" t="s">
        <v>69</v>
      </c>
      <c r="E24" s="36">
        <f t="shared" ref="E24:M24" si="5">E28</f>
        <v>1226711.82</v>
      </c>
      <c r="F24" s="36">
        <f t="shared" si="5"/>
        <v>6644706.4500000002</v>
      </c>
      <c r="G24" s="36">
        <f t="shared" si="5"/>
        <v>6146353.4500000002</v>
      </c>
      <c r="H24" s="36">
        <f t="shared" si="5"/>
        <v>0</v>
      </c>
      <c r="I24" s="36">
        <f t="shared" si="5"/>
        <v>0</v>
      </c>
      <c r="J24" s="36">
        <f t="shared" si="5"/>
        <v>0</v>
      </c>
      <c r="K24" s="36">
        <f t="shared" si="5"/>
        <v>0</v>
      </c>
      <c r="L24" s="36">
        <f t="shared" si="5"/>
        <v>0</v>
      </c>
      <c r="M24" s="36">
        <f t="shared" si="5"/>
        <v>0</v>
      </c>
      <c r="N24" s="36"/>
      <c r="O24" s="36"/>
      <c r="P24" s="36"/>
      <c r="Q24" s="36"/>
      <c r="R24" s="36"/>
      <c r="S24" s="36">
        <f>E24+H24+K24</f>
        <v>1226711.82</v>
      </c>
      <c r="T24" s="36">
        <f>F24+I24+L24</f>
        <v>6644706.4500000002</v>
      </c>
      <c r="U24" s="36">
        <f>G24+J24+M24</f>
        <v>6146353.4500000002</v>
      </c>
      <c r="V24" s="36">
        <f t="shared" ref="V24:W24" si="6">V28</f>
        <v>0</v>
      </c>
      <c r="W24" s="36">
        <f t="shared" si="6"/>
        <v>0</v>
      </c>
      <c r="X24" s="51"/>
    </row>
    <row r="25" spans="1:25" s="26" customFormat="1" ht="23.25" x14ac:dyDescent="0.25">
      <c r="A25" s="47"/>
      <c r="B25" s="48"/>
      <c r="C25" s="49"/>
      <c r="D25" s="50" t="s">
        <v>100</v>
      </c>
      <c r="E25" s="36"/>
      <c r="F25" s="36"/>
      <c r="G25" s="36"/>
      <c r="H25" s="36"/>
      <c r="I25" s="36"/>
      <c r="J25" s="36"/>
      <c r="K25" s="36"/>
      <c r="L25" s="36"/>
      <c r="M25" s="36"/>
      <c r="N25" s="36">
        <f ca="1">N28</f>
        <v>1098854.56</v>
      </c>
      <c r="O25" s="36">
        <f>O28</f>
        <v>4457150.7</v>
      </c>
      <c r="P25" s="36"/>
      <c r="Q25" s="36"/>
      <c r="R25" s="36"/>
      <c r="S25" s="36"/>
      <c r="T25" s="36"/>
      <c r="U25" s="36"/>
      <c r="V25" s="36"/>
      <c r="W25" s="36"/>
      <c r="X25" s="51"/>
    </row>
    <row r="26" spans="1:25" s="26" customFormat="1" ht="23.25" x14ac:dyDescent="0.25">
      <c r="A26" s="47"/>
      <c r="B26" s="48"/>
      <c r="C26" s="49"/>
      <c r="D26" s="50" t="s">
        <v>120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>
        <f t="shared" ref="S26:U27" si="7">P26</f>
        <v>0</v>
      </c>
      <c r="T26" s="36">
        <f t="shared" si="7"/>
        <v>0</v>
      </c>
      <c r="U26" s="36">
        <f t="shared" si="7"/>
        <v>0</v>
      </c>
      <c r="V26" s="36"/>
      <c r="W26" s="36"/>
      <c r="X26" s="51"/>
    </row>
    <row r="27" spans="1:25" s="26" customFormat="1" ht="23.25" x14ac:dyDescent="0.25">
      <c r="A27" s="47"/>
      <c r="B27" s="48"/>
      <c r="C27" s="53"/>
      <c r="D27" s="50" t="s">
        <v>121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6">
        <f ca="1">P28</f>
        <v>5428.45</v>
      </c>
      <c r="Q27" s="36">
        <f>Q28</f>
        <v>131531</v>
      </c>
      <c r="R27" s="36">
        <f>R28</f>
        <v>121666.18</v>
      </c>
      <c r="S27" s="36">
        <f ca="1">P27</f>
        <v>5428.45</v>
      </c>
      <c r="T27" s="36">
        <f t="shared" si="7"/>
        <v>131531</v>
      </c>
      <c r="U27" s="36">
        <f t="shared" si="7"/>
        <v>121666.18</v>
      </c>
      <c r="V27" s="39"/>
      <c r="W27" s="39"/>
      <c r="X27" s="51"/>
    </row>
    <row r="28" spans="1:25" s="26" customFormat="1" ht="23.25" x14ac:dyDescent="0.25">
      <c r="A28" s="47"/>
      <c r="B28" s="54"/>
      <c r="C28" s="54"/>
      <c r="D28" s="55" t="s">
        <v>214</v>
      </c>
      <c r="E28" s="39">
        <f t="shared" ref="E28:W28" si="8">E23</f>
        <v>1226711.82</v>
      </c>
      <c r="F28" s="39">
        <f t="shared" si="8"/>
        <v>6644706.4500000002</v>
      </c>
      <c r="G28" s="39">
        <f t="shared" si="8"/>
        <v>6146353.4500000002</v>
      </c>
      <c r="H28" s="39">
        <f t="shared" si="8"/>
        <v>0</v>
      </c>
      <c r="I28" s="39">
        <f t="shared" si="8"/>
        <v>0</v>
      </c>
      <c r="J28" s="39">
        <f t="shared" si="8"/>
        <v>0</v>
      </c>
      <c r="K28" s="39">
        <f t="shared" si="8"/>
        <v>0</v>
      </c>
      <c r="L28" s="39">
        <f t="shared" si="8"/>
        <v>0</v>
      </c>
      <c r="M28" s="39">
        <f t="shared" si="8"/>
        <v>0</v>
      </c>
      <c r="N28" s="39">
        <f t="shared" ca="1" si="8"/>
        <v>1098854.56</v>
      </c>
      <c r="O28" s="39">
        <f t="shared" si="8"/>
        <v>4457150.7</v>
      </c>
      <c r="P28" s="39">
        <f ca="1">P23</f>
        <v>5428.45</v>
      </c>
      <c r="Q28" s="39">
        <f t="shared" si="8"/>
        <v>131531</v>
      </c>
      <c r="R28" s="39">
        <f t="shared" si="8"/>
        <v>121666.18</v>
      </c>
      <c r="S28" s="39">
        <f t="shared" ca="1" si="8"/>
        <v>1232140.27</v>
      </c>
      <c r="T28" s="39">
        <f t="shared" si="8"/>
        <v>6776237.4500000002</v>
      </c>
      <c r="U28" s="39">
        <f t="shared" si="8"/>
        <v>6268019.6299999999</v>
      </c>
      <c r="V28" s="39">
        <f t="shared" si="8"/>
        <v>0</v>
      </c>
      <c r="W28" s="39">
        <f t="shared" si="8"/>
        <v>0</v>
      </c>
      <c r="X28" s="46"/>
    </row>
    <row r="29" spans="1:25" s="60" customFormat="1" x14ac:dyDescent="0.3">
      <c r="A29" s="56"/>
      <c r="B29" s="57"/>
      <c r="C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1:25" s="26" customFormat="1" ht="23.25" x14ac:dyDescent="0.35">
      <c r="A30" s="61"/>
      <c r="B30" s="62" t="s">
        <v>122</v>
      </c>
      <c r="C30" s="62"/>
      <c r="D30" s="579" t="s">
        <v>123</v>
      </c>
      <c r="E30" s="580"/>
      <c r="F30" s="580"/>
      <c r="G30" s="580"/>
      <c r="H30" s="63"/>
      <c r="I30" s="64"/>
      <c r="J30" s="65"/>
      <c r="K30" s="65"/>
      <c r="L30" s="65"/>
      <c r="M30" s="65"/>
      <c r="N30" s="65"/>
      <c r="O30" s="66"/>
      <c r="P30" s="67" t="s">
        <v>124</v>
      </c>
      <c r="Q30" s="67"/>
      <c r="R30" s="59"/>
      <c r="S30" s="59"/>
      <c r="T30" s="59"/>
      <c r="U30" s="59"/>
      <c r="V30" s="59"/>
      <c r="W30" s="59"/>
    </row>
    <row r="31" spans="1:25" s="26" customFormat="1" ht="23.25" x14ac:dyDescent="0.35">
      <c r="A31" s="68"/>
      <c r="B31" s="69"/>
      <c r="C31" s="70"/>
      <c r="D31" s="71"/>
      <c r="E31" s="72"/>
      <c r="F31" s="73"/>
      <c r="G31" s="74"/>
      <c r="H31" s="74"/>
      <c r="I31" s="74"/>
      <c r="J31" s="74"/>
      <c r="K31" s="74"/>
      <c r="L31" s="74"/>
      <c r="M31" s="74"/>
      <c r="N31" s="74"/>
      <c r="O31" s="74"/>
      <c r="P31" s="67"/>
      <c r="Q31" s="67"/>
      <c r="R31" s="59"/>
      <c r="S31" s="59"/>
      <c r="T31" s="59"/>
      <c r="U31" s="59"/>
      <c r="V31" s="59"/>
      <c r="W31" s="59"/>
    </row>
    <row r="32" spans="1:25" s="26" customFormat="1" ht="23.25" x14ac:dyDescent="0.35">
      <c r="A32" s="52"/>
      <c r="B32" s="75"/>
      <c r="C32" s="76"/>
      <c r="D32" s="77"/>
      <c r="E32" s="78"/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67"/>
      <c r="Q32" s="81"/>
      <c r="R32" s="82"/>
      <c r="S32" s="82"/>
      <c r="T32" s="82"/>
      <c r="U32" s="82"/>
      <c r="V32" s="82"/>
      <c r="W32" s="82"/>
      <c r="X32" s="21"/>
      <c r="Y32" s="21"/>
    </row>
    <row r="33" spans="1:25" s="21" customFormat="1" x14ac:dyDescent="0.25">
      <c r="A33" s="83"/>
      <c r="B33" s="86"/>
      <c r="C33" s="87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5"/>
      <c r="Y33" s="85"/>
    </row>
    <row r="34" spans="1:25" s="26" customFormat="1" x14ac:dyDescent="0.25">
      <c r="A34" s="83"/>
      <c r="B34" s="86"/>
      <c r="C34" s="87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5"/>
      <c r="Y34" s="85"/>
    </row>
    <row r="35" spans="1:25" s="26" customFormat="1" x14ac:dyDescent="0.25">
      <c r="A35" s="83"/>
      <c r="B35" s="86"/>
      <c r="C35" s="87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5"/>
      <c r="Y35" s="85"/>
    </row>
  </sheetData>
  <mergeCells count="16">
    <mergeCell ref="X10:X11"/>
    <mergeCell ref="D30:G30"/>
    <mergeCell ref="A6:U6"/>
    <mergeCell ref="A8:U8"/>
    <mergeCell ref="A10:A11"/>
    <mergeCell ref="B10:B11"/>
    <mergeCell ref="C10:C11"/>
    <mergeCell ref="D10:D11"/>
    <mergeCell ref="E10:G10"/>
    <mergeCell ref="H10:J10"/>
    <mergeCell ref="K10:M10"/>
    <mergeCell ref="N10:O10"/>
    <mergeCell ref="P10:R10"/>
    <mergeCell ref="S10:U10"/>
    <mergeCell ref="V10:V11"/>
    <mergeCell ref="W10:W11"/>
  </mergeCells>
  <pageMargins left="0.7" right="0.7" top="0.75" bottom="0.75" header="0.3" footer="0.3"/>
  <pageSetup paperSize="9" scale="30" fitToHeight="0" orientation="landscape" r:id="rId1"/>
  <colBreaks count="1" manualBreakCount="1">
    <brk id="24" max="3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V143"/>
  <sheetViews>
    <sheetView view="pageBreakPreview" zoomScale="70" zoomScaleNormal="70" zoomScaleSheetLayoutView="70" workbookViewId="0">
      <selection activeCell="J20" sqref="J20:L21"/>
    </sheetView>
  </sheetViews>
  <sheetFormatPr defaultRowHeight="12.75" x14ac:dyDescent="0.2"/>
  <cols>
    <col min="1" max="2" width="5.7109375" style="326" customWidth="1"/>
    <col min="3" max="3" width="11.7109375" style="326" customWidth="1"/>
    <col min="4" max="4" width="40.7109375" style="326" customWidth="1"/>
    <col min="5" max="6" width="11.7109375" style="326" customWidth="1"/>
    <col min="7" max="7" width="13.140625" style="326" customWidth="1"/>
    <col min="8" max="8" width="12.7109375" style="326" customWidth="1"/>
    <col min="9" max="9" width="13.28515625" style="326" customWidth="1"/>
    <col min="10" max="12" width="12.7109375" style="326" customWidth="1"/>
    <col min="13" max="13" width="11.85546875" style="326" bestFit="1" customWidth="1"/>
    <col min="14" max="14" width="9.140625" style="326"/>
    <col min="15" max="35" width="0" style="326" hidden="1" customWidth="1"/>
    <col min="36" max="36" width="99.7109375" style="326" hidden="1" customWidth="1"/>
    <col min="37" max="37" width="155.7109375" style="326" hidden="1" customWidth="1"/>
    <col min="38" max="38" width="109.7109375" style="326" hidden="1" customWidth="1"/>
    <col min="39" max="42" width="0" style="326" hidden="1" customWidth="1"/>
    <col min="43" max="16384" width="9.140625" style="326"/>
  </cols>
  <sheetData>
    <row r="1" spans="1:12" ht="15" x14ac:dyDescent="0.25">
      <c r="A1" s="1"/>
      <c r="B1" s="1"/>
      <c r="C1" s="2"/>
      <c r="D1" s="2"/>
      <c r="E1" s="2"/>
      <c r="F1" s="1"/>
      <c r="G1" s="1"/>
      <c r="H1" s="1"/>
      <c r="I1" s="624" t="s">
        <v>0</v>
      </c>
      <c r="J1" s="624"/>
      <c r="K1" s="624"/>
      <c r="L1" s="624"/>
    </row>
    <row r="2" spans="1:12" ht="14.25" x14ac:dyDescent="0.2">
      <c r="A2" s="1"/>
      <c r="B2" s="1"/>
      <c r="C2" s="1"/>
      <c r="D2" s="1"/>
      <c r="E2" s="1"/>
      <c r="F2" s="1"/>
      <c r="G2" s="1"/>
      <c r="H2" s="1"/>
      <c r="I2" s="624" t="s">
        <v>1</v>
      </c>
      <c r="J2" s="624"/>
      <c r="K2" s="624"/>
      <c r="L2" s="624"/>
    </row>
    <row r="3" spans="1:12" ht="14.25" x14ac:dyDescent="0.2">
      <c r="A3" s="1"/>
      <c r="B3" s="1"/>
      <c r="C3" s="1"/>
      <c r="D3" s="1"/>
      <c r="E3" s="1"/>
      <c r="F3" s="1"/>
      <c r="G3" s="1"/>
      <c r="H3" s="1"/>
      <c r="I3" s="624" t="s">
        <v>2</v>
      </c>
      <c r="J3" s="624"/>
      <c r="K3" s="624"/>
      <c r="L3" s="624"/>
    </row>
    <row r="4" spans="1:12" ht="14.25" x14ac:dyDescent="0.2">
      <c r="A4" s="1"/>
      <c r="B4" s="1"/>
      <c r="C4" s="1"/>
      <c r="D4" s="1"/>
      <c r="E4" s="1"/>
      <c r="F4" s="1"/>
      <c r="G4" s="1"/>
      <c r="H4" s="1"/>
      <c r="I4" s="1"/>
      <c r="J4" s="608" t="s">
        <v>3</v>
      </c>
      <c r="K4" s="609"/>
      <c r="L4" s="610"/>
    </row>
    <row r="5" spans="1:12" ht="14.25" x14ac:dyDescent="0.2">
      <c r="A5" s="1"/>
      <c r="B5" s="1"/>
      <c r="C5" s="1"/>
      <c r="D5" s="1"/>
      <c r="E5" s="1"/>
      <c r="F5" s="1"/>
      <c r="G5" s="1"/>
      <c r="H5" s="1"/>
      <c r="I5" s="310" t="s">
        <v>4</v>
      </c>
      <c r="J5" s="625" t="s">
        <v>5</v>
      </c>
      <c r="K5" s="626"/>
      <c r="L5" s="627"/>
    </row>
    <row r="6" spans="1:12" ht="14.25" x14ac:dyDescent="0.2">
      <c r="A6" s="1"/>
      <c r="B6" s="1"/>
      <c r="C6" s="1"/>
      <c r="D6" s="1"/>
      <c r="E6" s="1"/>
      <c r="F6" s="1"/>
      <c r="G6" s="1"/>
      <c r="H6" s="1"/>
      <c r="I6" s="1"/>
      <c r="J6" s="628" t="s">
        <v>6</v>
      </c>
      <c r="K6" s="629"/>
      <c r="L6" s="630"/>
    </row>
    <row r="7" spans="1:12" ht="14.25" x14ac:dyDescent="0.2">
      <c r="A7" s="597" t="s">
        <v>7</v>
      </c>
      <c r="B7" s="597"/>
      <c r="C7" s="598" t="s">
        <v>8</v>
      </c>
      <c r="D7" s="598"/>
      <c r="E7" s="598"/>
      <c r="F7" s="598"/>
      <c r="G7" s="598"/>
      <c r="H7" s="598"/>
      <c r="I7" s="310" t="s">
        <v>9</v>
      </c>
      <c r="J7" s="631"/>
      <c r="K7" s="632"/>
      <c r="L7" s="633"/>
    </row>
    <row r="8" spans="1:12" ht="14.25" x14ac:dyDescent="0.2">
      <c r="A8" s="1"/>
      <c r="B8" s="1"/>
      <c r="C8" s="599" t="s">
        <v>10</v>
      </c>
      <c r="D8" s="599"/>
      <c r="E8" s="599"/>
      <c r="F8" s="599"/>
      <c r="G8" s="599"/>
      <c r="H8" s="599"/>
      <c r="I8" s="1"/>
      <c r="J8" s="628" t="s">
        <v>11</v>
      </c>
      <c r="K8" s="629"/>
      <c r="L8" s="630"/>
    </row>
    <row r="9" spans="1:12" ht="14.25" customHeight="1" x14ac:dyDescent="0.2">
      <c r="A9" s="597" t="s">
        <v>12</v>
      </c>
      <c r="B9" s="597"/>
      <c r="C9" s="598" t="s">
        <v>13</v>
      </c>
      <c r="D9" s="598"/>
      <c r="E9" s="598"/>
      <c r="F9" s="598"/>
      <c r="G9" s="598"/>
      <c r="H9" s="598"/>
      <c r="I9" s="310" t="s">
        <v>9</v>
      </c>
      <c r="J9" s="631"/>
      <c r="K9" s="632"/>
      <c r="L9" s="633"/>
    </row>
    <row r="10" spans="1:12" ht="14.25" x14ac:dyDescent="0.2">
      <c r="A10" s="1"/>
      <c r="B10" s="1"/>
      <c r="C10" s="599" t="s">
        <v>10</v>
      </c>
      <c r="D10" s="599"/>
      <c r="E10" s="599"/>
      <c r="F10" s="599"/>
      <c r="G10" s="599"/>
      <c r="H10" s="599"/>
      <c r="I10" s="1"/>
      <c r="J10" s="628" t="s">
        <v>14</v>
      </c>
      <c r="K10" s="629"/>
      <c r="L10" s="630"/>
    </row>
    <row r="11" spans="1:12" ht="14.25" customHeight="1" x14ac:dyDescent="0.2">
      <c r="A11" s="1" t="s">
        <v>15</v>
      </c>
      <c r="B11" s="1"/>
      <c r="C11" s="598" t="s">
        <v>16</v>
      </c>
      <c r="D11" s="598"/>
      <c r="E11" s="598"/>
      <c r="F11" s="598"/>
      <c r="G11" s="598"/>
      <c r="H11" s="598"/>
      <c r="I11" s="310" t="s">
        <v>9</v>
      </c>
      <c r="J11" s="631"/>
      <c r="K11" s="632"/>
      <c r="L11" s="633"/>
    </row>
    <row r="12" spans="1:12" ht="14.25" x14ac:dyDescent="0.2">
      <c r="A12" s="1"/>
      <c r="B12" s="1"/>
      <c r="C12" s="619" t="s">
        <v>10</v>
      </c>
      <c r="D12" s="619"/>
      <c r="E12" s="619"/>
      <c r="F12" s="619"/>
      <c r="G12" s="619"/>
      <c r="H12" s="619"/>
      <c r="I12" s="1"/>
      <c r="J12" s="628" t="s">
        <v>132</v>
      </c>
      <c r="K12" s="629"/>
      <c r="L12" s="630"/>
    </row>
    <row r="13" spans="1:12" ht="14.25" customHeight="1" x14ac:dyDescent="0.2">
      <c r="A13" s="1" t="s">
        <v>185</v>
      </c>
      <c r="B13" s="1"/>
      <c r="C13" s="598" t="s">
        <v>213</v>
      </c>
      <c r="D13" s="598"/>
      <c r="E13" s="598"/>
      <c r="F13" s="598"/>
      <c r="G13" s="598"/>
      <c r="H13" s="598"/>
      <c r="I13" s="310" t="s">
        <v>9</v>
      </c>
      <c r="J13" s="631"/>
      <c r="K13" s="632"/>
      <c r="L13" s="633"/>
    </row>
    <row r="14" spans="1:12" ht="14.25" x14ac:dyDescent="0.2">
      <c r="A14" s="1"/>
      <c r="B14" s="1"/>
      <c r="C14" s="619" t="s">
        <v>10</v>
      </c>
      <c r="D14" s="619"/>
      <c r="E14" s="619"/>
      <c r="F14" s="619"/>
      <c r="G14" s="619"/>
      <c r="H14" s="619"/>
      <c r="I14" s="1"/>
      <c r="J14" s="620"/>
      <c r="K14" s="621"/>
      <c r="L14" s="622"/>
    </row>
    <row r="15" spans="1:12" ht="30.75" customHeight="1" x14ac:dyDescent="0.2">
      <c r="A15" s="1" t="s">
        <v>17</v>
      </c>
      <c r="B15" s="1"/>
      <c r="C15" s="598" t="s">
        <v>18</v>
      </c>
      <c r="D15" s="598"/>
      <c r="E15" s="598"/>
      <c r="F15" s="598"/>
      <c r="G15" s="598"/>
      <c r="H15" s="598"/>
      <c r="I15" s="1"/>
      <c r="J15" s="603"/>
      <c r="K15" s="604"/>
      <c r="L15" s="605"/>
    </row>
    <row r="16" spans="1:12" ht="14.25" x14ac:dyDescent="0.2">
      <c r="A16" s="1"/>
      <c r="B16" s="1"/>
      <c r="C16" s="619" t="s">
        <v>20</v>
      </c>
      <c r="D16" s="619"/>
      <c r="E16" s="619"/>
      <c r="F16" s="619"/>
      <c r="G16" s="619"/>
      <c r="H16" s="619"/>
      <c r="I16" s="1"/>
      <c r="J16" s="600"/>
      <c r="K16" s="601"/>
      <c r="L16" s="602"/>
    </row>
    <row r="17" spans="1:37" ht="31.5" customHeight="1" x14ac:dyDescent="0.2">
      <c r="A17" s="1" t="s">
        <v>21</v>
      </c>
      <c r="B17" s="1"/>
      <c r="C17" s="598" t="s">
        <v>18</v>
      </c>
      <c r="D17" s="598"/>
      <c r="E17" s="598"/>
      <c r="F17" s="598"/>
      <c r="G17" s="598"/>
      <c r="H17" s="598"/>
      <c r="I17" s="1"/>
      <c r="J17" s="603"/>
      <c r="K17" s="604"/>
      <c r="L17" s="605"/>
      <c r="AJ17" s="336" t="s">
        <v>224</v>
      </c>
    </row>
    <row r="18" spans="1:37" ht="14.25" x14ac:dyDescent="0.2">
      <c r="A18" s="1"/>
      <c r="B18" s="1"/>
      <c r="C18" s="599" t="s">
        <v>22</v>
      </c>
      <c r="D18" s="599"/>
      <c r="E18" s="599"/>
      <c r="F18" s="599"/>
      <c r="G18" s="599"/>
      <c r="H18" s="599"/>
      <c r="I18" s="1"/>
      <c r="J18" s="1"/>
      <c r="K18" s="1"/>
      <c r="L18" s="1"/>
    </row>
    <row r="19" spans="1:37" ht="14.25" customHeight="1" x14ac:dyDescent="0.2">
      <c r="A19" s="1"/>
      <c r="B19" s="1"/>
      <c r="C19" s="1"/>
      <c r="D19" s="1"/>
      <c r="E19" s="1"/>
      <c r="F19" s="1"/>
      <c r="G19" s="606" t="s">
        <v>23</v>
      </c>
      <c r="H19" s="606"/>
      <c r="I19" s="607"/>
      <c r="J19" s="608"/>
      <c r="K19" s="609"/>
      <c r="L19" s="610"/>
      <c r="AJ19" s="337" t="str">
        <f>IF([80]Source!G12&lt;&gt;"Новый объект", [80]Source!G12, "")</f>
        <v>12-4017-Л-Р-8.3.1-ВК-СМ1 Инженерные системы. Тонельный водопровод и водоотвод</v>
      </c>
    </row>
    <row r="20" spans="1:37" ht="14.25" x14ac:dyDescent="0.2">
      <c r="A20" s="1"/>
      <c r="B20" s="1"/>
      <c r="C20" s="1"/>
      <c r="D20" s="1"/>
      <c r="E20" s="1"/>
      <c r="F20" s="1"/>
      <c r="G20" s="606" t="s">
        <v>24</v>
      </c>
      <c r="H20" s="607"/>
      <c r="I20" s="306" t="s">
        <v>25</v>
      </c>
      <c r="J20" s="608" t="s">
        <v>136</v>
      </c>
      <c r="K20" s="609"/>
      <c r="L20" s="610"/>
    </row>
    <row r="21" spans="1:37" ht="14.25" x14ac:dyDescent="0.2">
      <c r="A21" s="1"/>
      <c r="B21" s="1"/>
      <c r="C21" s="1"/>
      <c r="D21" s="1"/>
      <c r="E21" s="1"/>
      <c r="F21" s="1"/>
      <c r="G21" s="1"/>
      <c r="H21" s="1"/>
      <c r="I21" s="308" t="s">
        <v>26</v>
      </c>
      <c r="J21" s="616">
        <v>43811</v>
      </c>
      <c r="K21" s="617"/>
      <c r="L21" s="618"/>
    </row>
    <row r="22" spans="1:37" ht="14.25" x14ac:dyDescent="0.2">
      <c r="A22" s="1"/>
      <c r="B22" s="1"/>
      <c r="C22" s="1"/>
      <c r="D22" s="1"/>
      <c r="E22" s="1"/>
      <c r="F22" s="1"/>
      <c r="G22" s="1"/>
      <c r="H22" s="1"/>
      <c r="I22" s="310" t="s">
        <v>27</v>
      </c>
      <c r="J22" s="608"/>
      <c r="K22" s="609"/>
      <c r="L22" s="610"/>
    </row>
    <row r="23" spans="1:37" ht="14.2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37" ht="14.25" x14ac:dyDescent="0.2">
      <c r="A24" s="1"/>
      <c r="B24" s="1"/>
      <c r="C24" s="1"/>
      <c r="D24" s="1"/>
      <c r="E24" s="1"/>
      <c r="F24" s="1"/>
      <c r="G24" s="1"/>
      <c r="H24" s="1"/>
      <c r="I24" s="634" t="s">
        <v>28</v>
      </c>
      <c r="J24" s="634" t="s">
        <v>29</v>
      </c>
      <c r="K24" s="612" t="s">
        <v>30</v>
      </c>
      <c r="L24" s="613"/>
    </row>
    <row r="25" spans="1:37" ht="14.25" x14ac:dyDescent="0.2">
      <c r="A25" s="1"/>
      <c r="B25" s="1"/>
      <c r="C25" s="1"/>
      <c r="D25" s="1"/>
      <c r="E25" s="1"/>
      <c r="F25" s="1"/>
      <c r="G25" s="1"/>
      <c r="H25" s="1"/>
      <c r="I25" s="635"/>
      <c r="J25" s="635"/>
      <c r="K25" s="10" t="s">
        <v>31</v>
      </c>
      <c r="L25" s="311" t="s">
        <v>32</v>
      </c>
    </row>
    <row r="26" spans="1:37" ht="14.25" customHeight="1" x14ac:dyDescent="0.2">
      <c r="A26" s="1"/>
      <c r="B26" s="1"/>
      <c r="C26" s="1"/>
      <c r="D26" s="1"/>
      <c r="E26" s="1"/>
      <c r="F26" s="1"/>
      <c r="G26" s="1"/>
      <c r="H26" s="1"/>
      <c r="I26" s="11" t="s">
        <v>118</v>
      </c>
      <c r="J26" s="309">
        <v>44104</v>
      </c>
      <c r="K26" s="309">
        <v>44075</v>
      </c>
      <c r="L26" s="12">
        <f>J26</f>
        <v>44104</v>
      </c>
    </row>
    <row r="27" spans="1:37" ht="18" x14ac:dyDescent="0.25">
      <c r="A27" s="614" t="s">
        <v>34</v>
      </c>
      <c r="B27" s="614"/>
      <c r="C27" s="614"/>
      <c r="D27" s="614"/>
      <c r="E27" s="614"/>
      <c r="F27" s="614"/>
      <c r="G27" s="614"/>
      <c r="H27" s="614"/>
      <c r="I27" s="614"/>
      <c r="J27" s="614"/>
      <c r="K27" s="614"/>
      <c r="L27" s="614"/>
    </row>
    <row r="28" spans="1:37" ht="18" x14ac:dyDescent="0.25">
      <c r="A28" s="614" t="s">
        <v>35</v>
      </c>
      <c r="B28" s="614"/>
      <c r="C28" s="614"/>
      <c r="D28" s="614"/>
      <c r="E28" s="614"/>
      <c r="F28" s="614"/>
      <c r="G28" s="614"/>
      <c r="H28" s="614"/>
      <c r="I28" s="614"/>
      <c r="J28" s="614"/>
      <c r="K28" s="614"/>
      <c r="L28" s="614"/>
    </row>
    <row r="29" spans="1:37" ht="15" x14ac:dyDescent="0.25">
      <c r="A29" s="615" t="s">
        <v>375</v>
      </c>
      <c r="B29" s="615"/>
      <c r="C29" s="615"/>
      <c r="D29" s="615"/>
      <c r="E29" s="615"/>
      <c r="F29" s="615"/>
      <c r="G29" s="615"/>
      <c r="H29" s="615"/>
      <c r="I29" s="615"/>
      <c r="J29" s="615"/>
      <c r="K29" s="615"/>
      <c r="L29" s="615"/>
    </row>
    <row r="30" spans="1:37" ht="34.5" customHeight="1" x14ac:dyDescent="0.2">
      <c r="A30" s="591" t="s">
        <v>376</v>
      </c>
      <c r="B30" s="591"/>
      <c r="C30" s="591"/>
      <c r="D30" s="591"/>
      <c r="E30" s="591"/>
      <c r="F30" s="591"/>
      <c r="G30" s="591"/>
      <c r="H30" s="591"/>
      <c r="I30" s="591"/>
      <c r="J30" s="591"/>
      <c r="K30" s="591"/>
      <c r="L30" s="591"/>
    </row>
    <row r="31" spans="1:37" ht="14.25" x14ac:dyDescent="0.2">
      <c r="A31" s="327"/>
      <c r="B31" s="327"/>
      <c r="C31" s="327"/>
      <c r="D31" s="327"/>
      <c r="E31" s="327"/>
      <c r="F31" s="327"/>
      <c r="G31" s="327"/>
      <c r="H31" s="327"/>
      <c r="I31" s="327"/>
      <c r="J31" s="327"/>
      <c r="K31" s="327"/>
      <c r="L31" s="327"/>
    </row>
    <row r="32" spans="1:37" ht="28.5" x14ac:dyDescent="0.2">
      <c r="A32" s="611" t="s">
        <v>226</v>
      </c>
      <c r="B32" s="611"/>
      <c r="C32" s="611"/>
      <c r="D32" s="611"/>
      <c r="E32" s="611"/>
      <c r="F32" s="611"/>
      <c r="G32" s="611"/>
      <c r="H32" s="611"/>
      <c r="I32" s="611"/>
      <c r="J32" s="611"/>
      <c r="K32" s="611"/>
      <c r="L32" s="611"/>
      <c r="AK32" s="336" t="s">
        <v>226</v>
      </c>
    </row>
    <row r="33" spans="1:22" ht="14.25" x14ac:dyDescent="0.2">
      <c r="A33" s="642" t="s">
        <v>36</v>
      </c>
      <c r="B33" s="642"/>
      <c r="C33" s="642" t="s">
        <v>37</v>
      </c>
      <c r="D33" s="642" t="s">
        <v>38</v>
      </c>
      <c r="E33" s="642" t="s">
        <v>39</v>
      </c>
      <c r="F33" s="642" t="s">
        <v>40</v>
      </c>
      <c r="G33" s="642" t="s">
        <v>41</v>
      </c>
      <c r="H33" s="643" t="s">
        <v>42</v>
      </c>
      <c r="I33" s="643" t="s">
        <v>43</v>
      </c>
      <c r="J33" s="642" t="s">
        <v>227</v>
      </c>
      <c r="K33" s="642" t="s">
        <v>44</v>
      </c>
      <c r="L33" s="642" t="s">
        <v>45</v>
      </c>
    </row>
    <row r="34" spans="1:22" x14ac:dyDescent="0.2">
      <c r="A34" s="643" t="s">
        <v>46</v>
      </c>
      <c r="B34" s="643" t="s">
        <v>47</v>
      </c>
      <c r="C34" s="642"/>
      <c r="D34" s="642"/>
      <c r="E34" s="642"/>
      <c r="F34" s="642"/>
      <c r="G34" s="642"/>
      <c r="H34" s="644"/>
      <c r="I34" s="644"/>
      <c r="J34" s="642"/>
      <c r="K34" s="642"/>
      <c r="L34" s="642"/>
    </row>
    <row r="35" spans="1:22" x14ac:dyDescent="0.2">
      <c r="A35" s="644"/>
      <c r="B35" s="644"/>
      <c r="C35" s="642"/>
      <c r="D35" s="642"/>
      <c r="E35" s="642"/>
      <c r="F35" s="642"/>
      <c r="G35" s="642"/>
      <c r="H35" s="644"/>
      <c r="I35" s="644"/>
      <c r="J35" s="642"/>
      <c r="K35" s="642"/>
      <c r="L35" s="642"/>
    </row>
    <row r="36" spans="1:22" ht="20.100000000000001" customHeight="1" x14ac:dyDescent="0.2">
      <c r="A36" s="644"/>
      <c r="B36" s="644"/>
      <c r="C36" s="642"/>
      <c r="D36" s="642"/>
      <c r="E36" s="642"/>
      <c r="F36" s="642"/>
      <c r="G36" s="642"/>
      <c r="H36" s="644"/>
      <c r="I36" s="644"/>
      <c r="J36" s="642"/>
      <c r="K36" s="642"/>
      <c r="L36" s="642"/>
    </row>
    <row r="37" spans="1:22" ht="20.100000000000001" customHeight="1" x14ac:dyDescent="0.2">
      <c r="A37" s="645"/>
      <c r="B37" s="645"/>
      <c r="C37" s="642"/>
      <c r="D37" s="642"/>
      <c r="E37" s="642"/>
      <c r="F37" s="642"/>
      <c r="G37" s="642"/>
      <c r="H37" s="645"/>
      <c r="I37" s="645"/>
      <c r="J37" s="642"/>
      <c r="K37" s="642"/>
      <c r="L37" s="642"/>
    </row>
    <row r="38" spans="1:22" ht="14.25" x14ac:dyDescent="0.2">
      <c r="A38" s="344">
        <v>1</v>
      </c>
      <c r="B38" s="344">
        <v>2</v>
      </c>
      <c r="C38" s="344">
        <v>3</v>
      </c>
      <c r="D38" s="344">
        <v>4</v>
      </c>
      <c r="E38" s="344">
        <v>5</v>
      </c>
      <c r="F38" s="344">
        <v>6</v>
      </c>
      <c r="G38" s="344">
        <v>7</v>
      </c>
      <c r="H38" s="344">
        <v>8</v>
      </c>
      <c r="I38" s="344">
        <v>9</v>
      </c>
      <c r="J38" s="344">
        <v>10</v>
      </c>
      <c r="K38" s="344">
        <v>11</v>
      </c>
      <c r="L38" s="344">
        <v>12</v>
      </c>
    </row>
    <row r="40" spans="1:22" ht="15.75" x14ac:dyDescent="0.25">
      <c r="A40" s="592" t="s">
        <v>48</v>
      </c>
      <c r="B40" s="592"/>
      <c r="C40" s="592"/>
      <c r="D40" s="592"/>
      <c r="E40" s="592"/>
      <c r="F40" s="592"/>
      <c r="G40" s="592"/>
      <c r="H40" s="592"/>
      <c r="I40" s="592"/>
      <c r="J40" s="592"/>
      <c r="K40" s="592"/>
      <c r="L40" s="592"/>
    </row>
    <row r="41" spans="1:22" ht="15.75" x14ac:dyDescent="0.25">
      <c r="A41" s="592" t="s">
        <v>377</v>
      </c>
      <c r="B41" s="592"/>
      <c r="C41" s="592"/>
      <c r="D41" s="592"/>
      <c r="E41" s="592"/>
      <c r="F41" s="592"/>
      <c r="G41" s="592"/>
      <c r="H41" s="592"/>
      <c r="I41" s="592"/>
      <c r="J41" s="592"/>
      <c r="K41" s="592"/>
      <c r="L41" s="592"/>
    </row>
    <row r="42" spans="1:22" ht="15.75" x14ac:dyDescent="0.25">
      <c r="A42" s="592" t="s">
        <v>378</v>
      </c>
      <c r="B42" s="592"/>
      <c r="C42" s="592"/>
      <c r="D42" s="592"/>
      <c r="E42" s="592"/>
      <c r="F42" s="592"/>
      <c r="G42" s="592"/>
      <c r="H42" s="592"/>
      <c r="I42" s="592"/>
      <c r="J42" s="592"/>
      <c r="K42" s="592"/>
      <c r="L42" s="592"/>
    </row>
    <row r="43" spans="1:22" ht="15.75" hidden="1" x14ac:dyDescent="0.25">
      <c r="A43" s="593" t="s">
        <v>49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5"/>
    </row>
    <row r="44" spans="1:22" ht="15.75" hidden="1" x14ac:dyDescent="0.2">
      <c r="A44" s="596" t="s">
        <v>50</v>
      </c>
      <c r="B44" s="596"/>
      <c r="C44" s="596"/>
      <c r="D44" s="596"/>
      <c r="E44" s="596"/>
      <c r="F44" s="596"/>
      <c r="G44" s="596"/>
      <c r="H44" s="596"/>
      <c r="I44" s="596"/>
      <c r="J44" s="596"/>
      <c r="K44" s="596"/>
      <c r="L44" s="596"/>
    </row>
    <row r="45" spans="1:22" ht="15.75" hidden="1" x14ac:dyDescent="0.2">
      <c r="A45" s="596" t="s">
        <v>51</v>
      </c>
      <c r="B45" s="596"/>
      <c r="C45" s="596"/>
      <c r="D45" s="596"/>
      <c r="E45" s="596"/>
      <c r="F45" s="596"/>
      <c r="G45" s="596"/>
      <c r="H45" s="596"/>
      <c r="I45" s="596"/>
      <c r="J45" s="596"/>
      <c r="K45" s="596"/>
      <c r="L45" s="596"/>
    </row>
    <row r="46" spans="1:22" ht="14.25" x14ac:dyDescent="0.2">
      <c r="A46" s="14" t="s">
        <v>379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8" spans="1:22" ht="65.25" customHeight="1" x14ac:dyDescent="0.2">
      <c r="A48" s="346">
        <v>1</v>
      </c>
      <c r="B48" s="346" t="str">
        <f>[81]Source!E55</f>
        <v>12</v>
      </c>
      <c r="C48" s="347" t="s">
        <v>228</v>
      </c>
      <c r="D48" s="347" t="s">
        <v>229</v>
      </c>
      <c r="E48" s="348" t="str">
        <f>[81]Source!H55</f>
        <v>1 т фасонных частей</v>
      </c>
      <c r="F48" s="329">
        <f>[81]Source!I55</f>
        <v>2.5919999999999999E-2</v>
      </c>
      <c r="G48" s="349"/>
      <c r="H48" s="350"/>
      <c r="I48" s="329"/>
      <c r="J48" s="351"/>
      <c r="K48" s="329"/>
      <c r="L48" s="351"/>
      <c r="Q48" s="326">
        <f>ROUND(([81]Source!DN55/100)*ROUND((ROUND(([81]Source!AF55*[81]Source!AV55*[81]Source!I55),2)),2), 2)</f>
        <v>32.24</v>
      </c>
      <c r="R48" s="326">
        <f>[81]Source!X55</f>
        <v>624.89</v>
      </c>
      <c r="S48" s="326">
        <f>ROUND(([81]Source!DO55/100)*ROUND((ROUND(([81]Source!AF55*[81]Source!AV55*[81]Source!I55),2)),2), 2)</f>
        <v>24.24</v>
      </c>
      <c r="T48" s="326">
        <f>[81]Source!Y55</f>
        <v>281.2</v>
      </c>
      <c r="U48" s="326">
        <f>ROUND((175/100)*ROUND((ROUND(([81]Source!AE55*[81]Source!AV55*[81]Source!I55),2)),2), 2)</f>
        <v>1.89</v>
      </c>
      <c r="V48" s="326">
        <f>ROUND((157/100)*ROUND(ROUND((ROUND(([81]Source!AE55*[81]Source!AV55*[81]Source!I55),2)*[81]Source!BS55),2), 2), 2)</f>
        <v>41.09</v>
      </c>
    </row>
    <row r="49" spans="1:27" ht="14.25" x14ac:dyDescent="0.2">
      <c r="A49" s="346"/>
      <c r="B49" s="346"/>
      <c r="C49" s="347"/>
      <c r="D49" s="347" t="s">
        <v>52</v>
      </c>
      <c r="E49" s="348"/>
      <c r="F49" s="329"/>
      <c r="G49" s="349">
        <f>[81]Source!AO55</f>
        <v>558.44000000000005</v>
      </c>
      <c r="H49" s="350" t="str">
        <f>[81]Source!DG55</f>
        <v>*1,67</v>
      </c>
      <c r="I49" s="329">
        <f>[81]Source!AV55</f>
        <v>1.0669999999999999</v>
      </c>
      <c r="J49" s="351">
        <f>ROUND((ROUND(([81]Source!AF55*[81]Source!AV55*[81]Source!I55),2)),2)</f>
        <v>25.79</v>
      </c>
      <c r="K49" s="329">
        <f>IF([81]Source!BA55&lt;&gt; 0, [81]Source!BA55, 1)</f>
        <v>24.23</v>
      </c>
      <c r="L49" s="351">
        <f>[81]Source!S55</f>
        <v>624.89</v>
      </c>
      <c r="W49" s="326">
        <f>J49</f>
        <v>25.79</v>
      </c>
    </row>
    <row r="50" spans="1:27" ht="14.25" x14ac:dyDescent="0.2">
      <c r="A50" s="346"/>
      <c r="B50" s="346"/>
      <c r="C50" s="347"/>
      <c r="D50" s="347" t="s">
        <v>53</v>
      </c>
      <c r="E50" s="348"/>
      <c r="F50" s="329"/>
      <c r="G50" s="349">
        <f>[81]Source!AM55</f>
        <v>97.03</v>
      </c>
      <c r="H50" s="350">
        <f>[81]Source!DE55</f>
        <v>0</v>
      </c>
      <c r="I50" s="329">
        <f>[81]Source!AV55</f>
        <v>1.0669999999999999</v>
      </c>
      <c r="J50" s="351">
        <f>(ROUND((ROUND((([81]Source!ET55)*[81]Source!AV55*[81]Source!I55),2)),2)+ROUND((ROUND((([81]Source!AE55-([81]Source!EU55))*[81]Source!AV55*[81]Source!I55),2)),2))-J59</f>
        <v>2.68</v>
      </c>
      <c r="K50" s="329">
        <f>IF([81]Source!BB55&lt;&gt; 0, [81]Source!BB55, 1)</f>
        <v>10.07</v>
      </c>
      <c r="L50" s="351">
        <f>[81]Source!Q55-L59</f>
        <v>26.88</v>
      </c>
    </row>
    <row r="51" spans="1:27" ht="14.25" x14ac:dyDescent="0.2">
      <c r="A51" s="346"/>
      <c r="B51" s="346"/>
      <c r="C51" s="347"/>
      <c r="D51" s="347" t="s">
        <v>54</v>
      </c>
      <c r="E51" s="348"/>
      <c r="F51" s="329"/>
      <c r="G51" s="349">
        <f>[81]Source!AN55</f>
        <v>23.46</v>
      </c>
      <c r="H51" s="350">
        <f>[81]Source!DE55</f>
        <v>0</v>
      </c>
      <c r="I51" s="329">
        <f>[81]Source!AV55</f>
        <v>1.0669999999999999</v>
      </c>
      <c r="J51" s="352">
        <f>ROUND((ROUND(([81]Source!AE55*[81]Source!AV55*[81]Source!I55),2)),2)-J60</f>
        <v>0.65</v>
      </c>
      <c r="K51" s="329">
        <f>IF([81]Source!BS55&lt;&gt; 0, [81]Source!BS55, 1)</f>
        <v>24.23</v>
      </c>
      <c r="L51" s="352">
        <f>[81]Source!R55-L60</f>
        <v>15.64</v>
      </c>
      <c r="W51" s="326">
        <f>J51</f>
        <v>0.65</v>
      </c>
    </row>
    <row r="52" spans="1:27" ht="14.25" x14ac:dyDescent="0.2">
      <c r="A52" s="346"/>
      <c r="B52" s="346"/>
      <c r="C52" s="347"/>
      <c r="D52" s="347" t="s">
        <v>55</v>
      </c>
      <c r="E52" s="348"/>
      <c r="F52" s="329"/>
      <c r="G52" s="349">
        <f>[81]Source!AL55</f>
        <v>681.49</v>
      </c>
      <c r="H52" s="350">
        <f>[81]Source!DD55</f>
        <v>0</v>
      </c>
      <c r="I52" s="329">
        <f>[81]Source!AW55</f>
        <v>1</v>
      </c>
      <c r="J52" s="351">
        <f>ROUND((ROUND(([81]Source!AC55*[81]Source!AW55*[81]Source!I55),2)),2)</f>
        <v>17.66</v>
      </c>
      <c r="K52" s="329">
        <f>IF([81]Source!BC55&lt;&gt; 0, [81]Source!BC55, 1)</f>
        <v>4.5999999999999996</v>
      </c>
      <c r="L52" s="351">
        <f>[81]Source!P55</f>
        <v>81.239999999999995</v>
      </c>
    </row>
    <row r="53" spans="1:27" ht="14.25" x14ac:dyDescent="0.2">
      <c r="A53" s="346"/>
      <c r="B53" s="346"/>
      <c r="C53" s="347"/>
      <c r="D53" s="347" t="s">
        <v>56</v>
      </c>
      <c r="E53" s="348" t="s">
        <v>57</v>
      </c>
      <c r="F53" s="329">
        <f>[81]Source!DN55</f>
        <v>125</v>
      </c>
      <c r="G53" s="349"/>
      <c r="H53" s="350"/>
      <c r="I53" s="329"/>
      <c r="J53" s="351">
        <f>SUM(Q48:Q52)</f>
        <v>32.24</v>
      </c>
      <c r="K53" s="329">
        <f>[81]Source!BZ55</f>
        <v>100</v>
      </c>
      <c r="L53" s="351">
        <f>SUM(R48:R52)</f>
        <v>624.89</v>
      </c>
    </row>
    <row r="54" spans="1:27" ht="14.25" x14ac:dyDescent="0.2">
      <c r="A54" s="346"/>
      <c r="B54" s="346"/>
      <c r="C54" s="347"/>
      <c r="D54" s="347" t="s">
        <v>58</v>
      </c>
      <c r="E54" s="348" t="s">
        <v>57</v>
      </c>
      <c r="F54" s="329">
        <f>[81]Source!DO55</f>
        <v>94</v>
      </c>
      <c r="G54" s="349"/>
      <c r="H54" s="350"/>
      <c r="I54" s="329"/>
      <c r="J54" s="351">
        <f>SUM(S48:S53)</f>
        <v>24.24</v>
      </c>
      <c r="K54" s="329">
        <f>[81]Source!CA55</f>
        <v>45</v>
      </c>
      <c r="L54" s="351">
        <f>SUM(T48:T53)</f>
        <v>281.2</v>
      </c>
    </row>
    <row r="55" spans="1:27" ht="14.25" x14ac:dyDescent="0.2">
      <c r="A55" s="346"/>
      <c r="B55" s="346"/>
      <c r="C55" s="347"/>
      <c r="D55" s="347" t="s">
        <v>59</v>
      </c>
      <c r="E55" s="348" t="s">
        <v>57</v>
      </c>
      <c r="F55" s="329">
        <f>175</f>
        <v>175</v>
      </c>
      <c r="G55" s="349"/>
      <c r="H55" s="350"/>
      <c r="I55" s="329"/>
      <c r="J55" s="351">
        <f>SUM(U48:U54)-J61</f>
        <v>1.1399999999999999</v>
      </c>
      <c r="K55" s="329">
        <f>157</f>
        <v>157</v>
      </c>
      <c r="L55" s="351">
        <f>SUM(V48:V54)-L61</f>
        <v>24.56</v>
      </c>
    </row>
    <row r="56" spans="1:27" ht="14.25" x14ac:dyDescent="0.2">
      <c r="A56" s="346"/>
      <c r="B56" s="346"/>
      <c r="C56" s="347"/>
      <c r="D56" s="347" t="s">
        <v>60</v>
      </c>
      <c r="E56" s="348" t="s">
        <v>61</v>
      </c>
      <c r="F56" s="329">
        <f>[81]Source!AQ55</f>
        <v>48.1</v>
      </c>
      <c r="G56" s="349"/>
      <c r="H56" s="350">
        <f>[81]Source!DI55</f>
        <v>0</v>
      </c>
      <c r="I56" s="329">
        <f>[81]Source!AV55</f>
        <v>1.0669999999999999</v>
      </c>
      <c r="J56" s="351">
        <f>[81]Source!U55</f>
        <v>1.33</v>
      </c>
      <c r="K56" s="329"/>
      <c r="L56" s="351"/>
    </row>
    <row r="57" spans="1:27" ht="15" x14ac:dyDescent="0.25">
      <c r="I57" s="641">
        <f>J49+J50+J52+J53+J54+J55</f>
        <v>103.75</v>
      </c>
      <c r="J57" s="641"/>
      <c r="K57" s="641">
        <f>L49+L50+L52+L53+L54+L55</f>
        <v>1663.66</v>
      </c>
      <c r="L57" s="641"/>
      <c r="O57" s="353">
        <f>J49+J50+J52+J53+J54+J55</f>
        <v>103.75</v>
      </c>
      <c r="P57" s="353">
        <f>L49+L50+L52+L53+L54+L55</f>
        <v>1663.66</v>
      </c>
      <c r="X57" s="326">
        <f>IF([81]Source!BI55&lt;=1,J49+J50+J52+J53+J54+J55-0, 0)</f>
        <v>103.75</v>
      </c>
      <c r="Y57" s="326">
        <f>IF([81]Source!BI55=2,J49+J50+J52+J53+J54+J55-0, 0)</f>
        <v>0</v>
      </c>
      <c r="Z57" s="326">
        <f>IF([81]Source!BI55=3,J49+J50+J52+J53+J54+J55-0, 0)</f>
        <v>0</v>
      </c>
      <c r="AA57" s="326">
        <f>IF([81]Source!BI55=4,J49+J50+J52+J53+J54+J55,0)</f>
        <v>0</v>
      </c>
    </row>
    <row r="58" spans="1:27" ht="28.5" x14ac:dyDescent="0.2">
      <c r="A58" s="354"/>
      <c r="B58" s="354"/>
      <c r="C58" s="355"/>
      <c r="D58" s="355" t="s">
        <v>62</v>
      </c>
      <c r="E58" s="348"/>
      <c r="F58" s="356"/>
      <c r="G58" s="357"/>
      <c r="H58" s="348"/>
      <c r="I58" s="356"/>
      <c r="J58" s="352"/>
      <c r="K58" s="356"/>
      <c r="L58" s="352"/>
    </row>
    <row r="59" spans="1:27" ht="14.25" x14ac:dyDescent="0.2">
      <c r="A59" s="354"/>
      <c r="B59" s="354"/>
      <c r="C59" s="355"/>
      <c r="D59" s="355" t="s">
        <v>53</v>
      </c>
      <c r="E59" s="348"/>
      <c r="F59" s="356"/>
      <c r="G59" s="357">
        <f t="shared" ref="G59:L59" si="0">G60</f>
        <v>23.46</v>
      </c>
      <c r="H59" s="358" t="str">
        <f t="shared" si="0"/>
        <v>)*(1.67-1)</v>
      </c>
      <c r="I59" s="356">
        <f t="shared" si="0"/>
        <v>1.0669999999999999</v>
      </c>
      <c r="J59" s="352">
        <f t="shared" si="0"/>
        <v>0.43</v>
      </c>
      <c r="K59" s="356">
        <f t="shared" si="0"/>
        <v>24.23</v>
      </c>
      <c r="L59" s="352">
        <f t="shared" si="0"/>
        <v>10.53</v>
      </c>
    </row>
    <row r="60" spans="1:27" ht="14.25" x14ac:dyDescent="0.2">
      <c r="A60" s="354"/>
      <c r="B60" s="354"/>
      <c r="C60" s="355"/>
      <c r="D60" s="355" t="s">
        <v>54</v>
      </c>
      <c r="E60" s="348"/>
      <c r="F60" s="356"/>
      <c r="G60" s="357">
        <f>[81]Source!AN55</f>
        <v>23.46</v>
      </c>
      <c r="H60" s="358" t="s">
        <v>63</v>
      </c>
      <c r="I60" s="356">
        <f>[81]Source!AV55</f>
        <v>1.0669999999999999</v>
      </c>
      <c r="J60" s="352">
        <f>ROUND(F48*G60*I60*(1.67-1), 2)</f>
        <v>0.43</v>
      </c>
      <c r="K60" s="356">
        <f>IF([81]Source!BS55&lt;&gt; 0, [81]Source!BS55, 1)</f>
        <v>24.23</v>
      </c>
      <c r="L60" s="352">
        <f>ROUND(F48*G60*I60*(1.67-1)*K60, 2)</f>
        <v>10.53</v>
      </c>
      <c r="W60" s="326">
        <f>J60</f>
        <v>0.43</v>
      </c>
    </row>
    <row r="61" spans="1:27" ht="14.25" x14ac:dyDescent="0.2">
      <c r="A61" s="354"/>
      <c r="B61" s="354"/>
      <c r="C61" s="355"/>
      <c r="D61" s="355" t="s">
        <v>59</v>
      </c>
      <c r="E61" s="348" t="s">
        <v>57</v>
      </c>
      <c r="F61" s="356">
        <f>175</f>
        <v>175</v>
      </c>
      <c r="G61" s="357"/>
      <c r="H61" s="348"/>
      <c r="I61" s="356"/>
      <c r="J61" s="352">
        <f>ROUND(J60*(F61/100), 2)</f>
        <v>0.75</v>
      </c>
      <c r="K61" s="356">
        <f>157</f>
        <v>157</v>
      </c>
      <c r="L61" s="352">
        <f>ROUND(L60*(K61/100), 2)</f>
        <v>16.53</v>
      </c>
    </row>
    <row r="62" spans="1:27" ht="15" x14ac:dyDescent="0.25">
      <c r="I62" s="641">
        <f>J61+J60</f>
        <v>1.18</v>
      </c>
      <c r="J62" s="641"/>
      <c r="K62" s="641">
        <f>L61+L60</f>
        <v>27.06</v>
      </c>
      <c r="L62" s="641"/>
      <c r="O62" s="353">
        <f>I62</f>
        <v>1.18</v>
      </c>
      <c r="P62" s="353">
        <f>K62</f>
        <v>27.06</v>
      </c>
      <c r="X62" s="326">
        <f>IF([81]Source!BI55&lt;=1,I62, 0)</f>
        <v>1.18</v>
      </c>
      <c r="Y62" s="326">
        <f>IF([81]Source!BI55=2,I62, 0)</f>
        <v>0</v>
      </c>
      <c r="Z62" s="326">
        <f>IF([81]Source!BI55=3,I62, 0)</f>
        <v>0</v>
      </c>
      <c r="AA62" s="326">
        <f>IF([81]Source!BI55=4,I62, 0)</f>
        <v>0</v>
      </c>
    </row>
    <row r="64" spans="1:27" ht="15" x14ac:dyDescent="0.25">
      <c r="A64" s="359"/>
      <c r="B64" s="359"/>
      <c r="C64" s="360"/>
      <c r="D64" s="360" t="s">
        <v>64</v>
      </c>
      <c r="E64" s="361"/>
      <c r="F64" s="362"/>
      <c r="G64" s="363"/>
      <c r="H64" s="364"/>
      <c r="I64" s="641">
        <f>I57+I62</f>
        <v>104.93</v>
      </c>
      <c r="J64" s="641"/>
      <c r="K64" s="641">
        <f>K57+K62</f>
        <v>1690.72</v>
      </c>
      <c r="L64" s="641"/>
    </row>
    <row r="65" spans="1:27" ht="71.25" x14ac:dyDescent="0.2">
      <c r="A65" s="346">
        <v>2</v>
      </c>
      <c r="B65" s="346" t="str">
        <f>[81]Source!E57</f>
        <v>13</v>
      </c>
      <c r="C65" s="347" t="str">
        <f>[81]Source!F57</f>
        <v>МКЭ-33-1820/8-2 от 16.11.2018г.</v>
      </c>
      <c r="D65" s="347" t="s">
        <v>230</v>
      </c>
      <c r="E65" s="348" t="str">
        <f>[81]Source!H57</f>
        <v>шт.</v>
      </c>
      <c r="F65" s="329">
        <f>[81]Source!I57</f>
        <v>32</v>
      </c>
      <c r="G65" s="409">
        <f>J65/F65</f>
        <v>26.18</v>
      </c>
      <c r="H65" s="410">
        <v>1.02</v>
      </c>
      <c r="I65" s="411">
        <v>1</v>
      </c>
      <c r="J65" s="412">
        <f>L65/K65</f>
        <v>837.76</v>
      </c>
      <c r="K65" s="411">
        <v>5.58</v>
      </c>
      <c r="L65" s="412">
        <f>143.22*H65*F65</f>
        <v>4674.7</v>
      </c>
      <c r="Q65" s="326">
        <f>ROUND(([81]Source!DN57/100)*ROUND((ROUND(([81]Source!AF57*[81]Source!AV57*[81]Source!I57),2)),2), 2)</f>
        <v>0</v>
      </c>
      <c r="R65" s="326">
        <f>[81]Source!X57</f>
        <v>0</v>
      </c>
      <c r="S65" s="326">
        <f>ROUND(([81]Source!DO57/100)*ROUND((ROUND(([81]Source!AF57*[81]Source!AV57*[81]Source!I57),2)),2), 2)</f>
        <v>0</v>
      </c>
      <c r="T65" s="326">
        <f>[81]Source!Y57</f>
        <v>0</v>
      </c>
      <c r="U65" s="326">
        <f>ROUND((175/100)*ROUND((ROUND(([81]Source!AE57*[81]Source!AV57*[81]Source!I57),2)),2), 2)</f>
        <v>0</v>
      </c>
      <c r="V65" s="326">
        <f>ROUND((157/100)*ROUND(ROUND((ROUND(([81]Source!AE57*[81]Source!AV57*[81]Source!I57),2)*[81]Source!BS57),2), 2), 2)</f>
        <v>0</v>
      </c>
    </row>
    <row r="66" spans="1:27" ht="15" x14ac:dyDescent="0.25">
      <c r="A66" s="365"/>
      <c r="B66" s="365"/>
      <c r="C66" s="365"/>
      <c r="D66" s="365"/>
      <c r="E66" s="365"/>
      <c r="F66" s="365"/>
      <c r="G66" s="365"/>
      <c r="H66" s="365"/>
      <c r="I66" s="641">
        <f>J65</f>
        <v>837.76</v>
      </c>
      <c r="J66" s="641"/>
      <c r="K66" s="641">
        <f>L65</f>
        <v>4674.7</v>
      </c>
      <c r="L66" s="641"/>
      <c r="O66" s="353">
        <f>J65</f>
        <v>837.76</v>
      </c>
      <c r="P66" s="353">
        <f>L65</f>
        <v>4674.7</v>
      </c>
      <c r="X66" s="326">
        <f>IF([81]Source!BI57&lt;=1,J65-0, 0)</f>
        <v>837.76</v>
      </c>
      <c r="Y66" s="326">
        <f>IF([81]Source!BI57=2,J65-0, 0)</f>
        <v>0</v>
      </c>
      <c r="Z66" s="326">
        <f>IF([81]Source!BI57=3,J65-0, 0)</f>
        <v>0</v>
      </c>
      <c r="AA66" s="326">
        <f>IF([81]Source!BI57=4,J65,0)</f>
        <v>0</v>
      </c>
    </row>
    <row r="67" spans="1:27" ht="66.75" customHeight="1" x14ac:dyDescent="0.2">
      <c r="A67" s="346">
        <v>3</v>
      </c>
      <c r="B67" s="346" t="str">
        <f>[81]Source!E59</f>
        <v>14</v>
      </c>
      <c r="C67" s="347" t="s">
        <v>231</v>
      </c>
      <c r="D67" s="347" t="s">
        <v>232</v>
      </c>
      <c r="E67" s="348" t="str">
        <f>[81]Source!H59</f>
        <v>шт.</v>
      </c>
      <c r="F67" s="329">
        <f>[81]Source!I59</f>
        <v>32</v>
      </c>
      <c r="G67" s="349">
        <f>[81]Source!AL59</f>
        <v>17.82</v>
      </c>
      <c r="H67" s="350">
        <f>[81]Source!DD59</f>
        <v>0</v>
      </c>
      <c r="I67" s="329">
        <f>[81]Source!AW59</f>
        <v>1</v>
      </c>
      <c r="J67" s="351">
        <f>ROUND((ROUND(([81]Source!AC59*[81]Source!AW59*[81]Source!I59),2)),2)</f>
        <v>570.24</v>
      </c>
      <c r="K67" s="329">
        <f>IF([81]Source!BC59&lt;&gt; 0, [81]Source!BC59, 1)</f>
        <v>7.33</v>
      </c>
      <c r="L67" s="351">
        <f>[81]Source!P59</f>
        <v>4179.8599999999997</v>
      </c>
      <c r="Q67" s="326">
        <f>ROUND(([81]Source!DN59/100)*ROUND((ROUND(([81]Source!AF59*[81]Source!AV59*[81]Source!I59),2)),2), 2)</f>
        <v>0</v>
      </c>
      <c r="R67" s="326">
        <f>[81]Source!X59</f>
        <v>0</v>
      </c>
      <c r="S67" s="326">
        <f>ROUND(([81]Source!DO59/100)*ROUND((ROUND(([81]Source!AF59*[81]Source!AV59*[81]Source!I59),2)),2), 2)</f>
        <v>0</v>
      </c>
      <c r="T67" s="326">
        <f>[81]Source!Y59</f>
        <v>0</v>
      </c>
      <c r="U67" s="326">
        <f>ROUND((175/100)*ROUND((ROUND(([81]Source!AE59*[81]Source!AV59*[81]Source!I59),2)),2), 2)</f>
        <v>0</v>
      </c>
      <c r="V67" s="326">
        <f>ROUND((157/100)*ROUND(ROUND((ROUND(([81]Source!AE59*[81]Source!AV59*[81]Source!I59),2)*[81]Source!BS59),2), 2), 2)</f>
        <v>0</v>
      </c>
    </row>
    <row r="68" spans="1:27" ht="15" x14ac:dyDescent="0.25">
      <c r="A68" s="365"/>
      <c r="B68" s="365"/>
      <c r="C68" s="365"/>
      <c r="D68" s="365"/>
      <c r="E68" s="365"/>
      <c r="F68" s="365"/>
      <c r="G68" s="365"/>
      <c r="H68" s="365"/>
      <c r="I68" s="641">
        <f>J67</f>
        <v>570.24</v>
      </c>
      <c r="J68" s="641"/>
      <c r="K68" s="641">
        <f>L67</f>
        <v>4179.8599999999997</v>
      </c>
      <c r="L68" s="641"/>
      <c r="O68" s="353">
        <f>J67</f>
        <v>570.24</v>
      </c>
      <c r="P68" s="353">
        <f>L67</f>
        <v>4179.8599999999997</v>
      </c>
      <c r="X68" s="326">
        <f>IF([81]Source!BI59&lt;=1,J67-0, 0)</f>
        <v>570.24</v>
      </c>
      <c r="Y68" s="326">
        <f>IF([81]Source!BI59=2,J67-0, 0)</f>
        <v>0</v>
      </c>
      <c r="Z68" s="326">
        <f>IF([81]Source!BI59=3,J67-0, 0)</f>
        <v>0</v>
      </c>
      <c r="AA68" s="326">
        <f>IF([81]Source!BI59=4,J67,0)</f>
        <v>0</v>
      </c>
    </row>
    <row r="69" spans="1:27" ht="66" customHeight="1" x14ac:dyDescent="0.2">
      <c r="A69" s="346">
        <v>4</v>
      </c>
      <c r="B69" s="346" t="str">
        <f>[81]Source!E71</f>
        <v>19</v>
      </c>
      <c r="C69" s="347" t="s">
        <v>228</v>
      </c>
      <c r="D69" s="347" t="s">
        <v>229</v>
      </c>
      <c r="E69" s="348" t="str">
        <f>[81]Source!H71</f>
        <v>1 т фасонных частей</v>
      </c>
      <c r="F69" s="329">
        <f>[81]Source!I71</f>
        <v>1.5599999999999999E-2</v>
      </c>
      <c r="G69" s="349"/>
      <c r="H69" s="350"/>
      <c r="I69" s="329"/>
      <c r="J69" s="351"/>
      <c r="K69" s="329"/>
      <c r="L69" s="351"/>
      <c r="Q69" s="326">
        <f>ROUND(([81]Source!DN71/100)*ROUND((ROUND(([81]Source!AF71*[81]Source!AV71*[81]Source!I71),2)),2), 2)</f>
        <v>19.399999999999999</v>
      </c>
      <c r="R69" s="326">
        <f>[81]Source!X71</f>
        <v>376.05</v>
      </c>
      <c r="S69" s="326">
        <f>ROUND(([81]Source!DO71/100)*ROUND((ROUND(([81]Source!AF71*[81]Source!AV71*[81]Source!I71),2)),2), 2)</f>
        <v>14.59</v>
      </c>
      <c r="T69" s="326">
        <f>[81]Source!Y71</f>
        <v>169.22</v>
      </c>
      <c r="U69" s="326">
        <f>ROUND((175/100)*ROUND((ROUND(([81]Source!AE71*[81]Source!AV71*[81]Source!I71),2)),2), 2)</f>
        <v>1.1399999999999999</v>
      </c>
      <c r="V69" s="326">
        <f>ROUND((157/100)*ROUND(ROUND((ROUND(([81]Source!AE71*[81]Source!AV71*[81]Source!I71),2)*[81]Source!BS71),2), 2), 2)</f>
        <v>24.73</v>
      </c>
    </row>
    <row r="70" spans="1:27" ht="14.25" x14ac:dyDescent="0.2">
      <c r="A70" s="346"/>
      <c r="B70" s="346"/>
      <c r="C70" s="347"/>
      <c r="D70" s="347" t="s">
        <v>52</v>
      </c>
      <c r="E70" s="348"/>
      <c r="F70" s="329"/>
      <c r="G70" s="349">
        <f>[81]Source!AO71</f>
        <v>558.44000000000005</v>
      </c>
      <c r="H70" s="350" t="str">
        <f>[81]Source!DG71</f>
        <v>*1,67</v>
      </c>
      <c r="I70" s="329">
        <f>[81]Source!AV71</f>
        <v>1.0669999999999999</v>
      </c>
      <c r="J70" s="351">
        <f>ROUND((ROUND(([81]Source!AF71*[81]Source!AV71*[81]Source!I71),2)),2)</f>
        <v>15.52</v>
      </c>
      <c r="K70" s="329">
        <f>IF([81]Source!BA71&lt;&gt; 0, [81]Source!BA71, 1)</f>
        <v>24.23</v>
      </c>
      <c r="L70" s="351">
        <f>[81]Source!S71</f>
        <v>376.05</v>
      </c>
      <c r="W70" s="326">
        <f>J70</f>
        <v>15.52</v>
      </c>
    </row>
    <row r="71" spans="1:27" ht="14.25" x14ac:dyDescent="0.2">
      <c r="A71" s="346"/>
      <c r="B71" s="346"/>
      <c r="C71" s="347"/>
      <c r="D71" s="347" t="s">
        <v>53</v>
      </c>
      <c r="E71" s="348"/>
      <c r="F71" s="329"/>
      <c r="G71" s="349">
        <f>[81]Source!AM71</f>
        <v>97.03</v>
      </c>
      <c r="H71" s="350">
        <f>[81]Source!DE71</f>
        <v>0</v>
      </c>
      <c r="I71" s="329">
        <f>[81]Source!AV71</f>
        <v>1.0669999999999999</v>
      </c>
      <c r="J71" s="351">
        <f>(ROUND((ROUND((([81]Source!ET71)*[81]Source!AV71*[81]Source!I71),2)),2)+ROUND((ROUND((([81]Source!AE71-([81]Source!EU71))*[81]Source!AV71*[81]Source!I71),2)),2))-J80</f>
        <v>1.62</v>
      </c>
      <c r="K71" s="329">
        <f>IF([81]Source!BB71&lt;&gt; 0, [81]Source!BB71, 1)</f>
        <v>10.07</v>
      </c>
      <c r="L71" s="351">
        <f>[81]Source!Q71-L80</f>
        <v>16.27</v>
      </c>
    </row>
    <row r="72" spans="1:27" ht="14.25" x14ac:dyDescent="0.2">
      <c r="A72" s="346"/>
      <c r="B72" s="346"/>
      <c r="C72" s="347"/>
      <c r="D72" s="347" t="s">
        <v>54</v>
      </c>
      <c r="E72" s="348"/>
      <c r="F72" s="329"/>
      <c r="G72" s="349">
        <f>[81]Source!AN71</f>
        <v>23.46</v>
      </c>
      <c r="H72" s="350">
        <f>[81]Source!DE71</f>
        <v>0</v>
      </c>
      <c r="I72" s="329">
        <f>[81]Source!AV71</f>
        <v>1.0669999999999999</v>
      </c>
      <c r="J72" s="352">
        <f>ROUND((ROUND(([81]Source!AE71*[81]Source!AV71*[81]Source!I71),2)),2)-J81</f>
        <v>0.39</v>
      </c>
      <c r="K72" s="329">
        <f>IF([81]Source!BS71&lt;&gt; 0, [81]Source!BS71, 1)</f>
        <v>24.23</v>
      </c>
      <c r="L72" s="352">
        <f>[81]Source!R71-L81</f>
        <v>9.41</v>
      </c>
      <c r="W72" s="326">
        <f>J72</f>
        <v>0.39</v>
      </c>
    </row>
    <row r="73" spans="1:27" ht="14.25" x14ac:dyDescent="0.2">
      <c r="A73" s="346"/>
      <c r="B73" s="346"/>
      <c r="C73" s="347"/>
      <c r="D73" s="347" t="s">
        <v>55</v>
      </c>
      <c r="E73" s="348"/>
      <c r="F73" s="329"/>
      <c r="G73" s="349">
        <f>[81]Source!AL71</f>
        <v>681.49</v>
      </c>
      <c r="H73" s="350">
        <f>[81]Source!DD71</f>
        <v>0</v>
      </c>
      <c r="I73" s="329">
        <f>[81]Source!AW71</f>
        <v>1</v>
      </c>
      <c r="J73" s="351">
        <f>ROUND((ROUND(([81]Source!AC71*[81]Source!AW71*[81]Source!I71),2)),2)</f>
        <v>10.63</v>
      </c>
      <c r="K73" s="329">
        <f>IF([81]Source!BC71&lt;&gt; 0, [81]Source!BC71, 1)</f>
        <v>4.5999999999999996</v>
      </c>
      <c r="L73" s="351">
        <f>[81]Source!P71</f>
        <v>48.9</v>
      </c>
    </row>
    <row r="74" spans="1:27" ht="14.25" x14ac:dyDescent="0.2">
      <c r="A74" s="346"/>
      <c r="B74" s="346"/>
      <c r="C74" s="347"/>
      <c r="D74" s="347" t="s">
        <v>56</v>
      </c>
      <c r="E74" s="348" t="s">
        <v>57</v>
      </c>
      <c r="F74" s="329">
        <f>[81]Source!DN71</f>
        <v>125</v>
      </c>
      <c r="G74" s="349"/>
      <c r="H74" s="350"/>
      <c r="I74" s="329"/>
      <c r="J74" s="351">
        <f>SUM(Q69:Q73)</f>
        <v>19.399999999999999</v>
      </c>
      <c r="K74" s="329">
        <f>[81]Source!BZ71</f>
        <v>100</v>
      </c>
      <c r="L74" s="351">
        <f>SUM(R69:R73)</f>
        <v>376.05</v>
      </c>
    </row>
    <row r="75" spans="1:27" ht="14.25" x14ac:dyDescent="0.2">
      <c r="A75" s="346"/>
      <c r="B75" s="346"/>
      <c r="C75" s="347"/>
      <c r="D75" s="347" t="s">
        <v>58</v>
      </c>
      <c r="E75" s="348" t="s">
        <v>57</v>
      </c>
      <c r="F75" s="329">
        <f>[81]Source!DO71</f>
        <v>94</v>
      </c>
      <c r="G75" s="349"/>
      <c r="H75" s="350"/>
      <c r="I75" s="329"/>
      <c r="J75" s="351">
        <f>SUM(S69:S74)</f>
        <v>14.59</v>
      </c>
      <c r="K75" s="329">
        <f>[81]Source!CA71</f>
        <v>45</v>
      </c>
      <c r="L75" s="351">
        <f>SUM(T69:T74)</f>
        <v>169.22</v>
      </c>
    </row>
    <row r="76" spans="1:27" ht="14.25" x14ac:dyDescent="0.2">
      <c r="A76" s="346"/>
      <c r="B76" s="346"/>
      <c r="C76" s="347"/>
      <c r="D76" s="347" t="s">
        <v>59</v>
      </c>
      <c r="E76" s="348" t="s">
        <v>57</v>
      </c>
      <c r="F76" s="329">
        <f>175</f>
        <v>175</v>
      </c>
      <c r="G76" s="349"/>
      <c r="H76" s="350"/>
      <c r="I76" s="329"/>
      <c r="J76" s="351">
        <f>SUM(U69:U75)-J82</f>
        <v>0.68</v>
      </c>
      <c r="K76" s="329">
        <f>157</f>
        <v>157</v>
      </c>
      <c r="L76" s="351">
        <f>SUM(V69:V75)-L82</f>
        <v>14.78</v>
      </c>
    </row>
    <row r="77" spans="1:27" ht="14.25" x14ac:dyDescent="0.2">
      <c r="A77" s="346"/>
      <c r="B77" s="346"/>
      <c r="C77" s="347"/>
      <c r="D77" s="347" t="s">
        <v>60</v>
      </c>
      <c r="E77" s="348" t="s">
        <v>61</v>
      </c>
      <c r="F77" s="329">
        <f>[81]Source!AQ71</f>
        <v>48.1</v>
      </c>
      <c r="G77" s="349"/>
      <c r="H77" s="350">
        <f>[81]Source!DI71</f>
        <v>0</v>
      </c>
      <c r="I77" s="329">
        <f>[81]Source!AV71</f>
        <v>1.0669999999999999</v>
      </c>
      <c r="J77" s="351">
        <f>[81]Source!U71</f>
        <v>0.8</v>
      </c>
      <c r="K77" s="329"/>
      <c r="L77" s="351"/>
    </row>
    <row r="78" spans="1:27" ht="15" x14ac:dyDescent="0.25">
      <c r="I78" s="641">
        <f>J70+J71+J73+J74+J75+J76</f>
        <v>62.44</v>
      </c>
      <c r="J78" s="641"/>
      <c r="K78" s="641">
        <f>L70+L71+L73+L74+L75+L76</f>
        <v>1001.27</v>
      </c>
      <c r="L78" s="641"/>
      <c r="O78" s="353">
        <f>J70+J71+J73+J74+J75+J76</f>
        <v>62.44</v>
      </c>
      <c r="P78" s="353">
        <f>L70+L71+L73+L74+L75+L76</f>
        <v>1001.27</v>
      </c>
      <c r="X78" s="326">
        <f>IF([81]Source!BI71&lt;=1,J70+J71+J73+J74+J75+J76-0, 0)</f>
        <v>62.44</v>
      </c>
      <c r="Y78" s="326">
        <f>IF([81]Source!BI71=2,J70+J71+J73+J74+J75+J76-0, 0)</f>
        <v>0</v>
      </c>
      <c r="Z78" s="326">
        <f>IF([81]Source!BI71=3,J70+J71+J73+J74+J75+J76-0, 0)</f>
        <v>0</v>
      </c>
      <c r="AA78" s="326">
        <f>IF([81]Source!BI71=4,J70+J71+J73+J74+J75+J76,0)</f>
        <v>0</v>
      </c>
    </row>
    <row r="79" spans="1:27" ht="28.5" x14ac:dyDescent="0.2">
      <c r="A79" s="354"/>
      <c r="B79" s="354"/>
      <c r="C79" s="355"/>
      <c r="D79" s="355" t="s">
        <v>62</v>
      </c>
      <c r="E79" s="348"/>
      <c r="F79" s="356"/>
      <c r="G79" s="357"/>
      <c r="H79" s="348"/>
      <c r="I79" s="356"/>
      <c r="J79" s="352"/>
      <c r="K79" s="356"/>
      <c r="L79" s="352"/>
    </row>
    <row r="80" spans="1:27" ht="14.25" x14ac:dyDescent="0.2">
      <c r="A80" s="354"/>
      <c r="B80" s="354"/>
      <c r="C80" s="355"/>
      <c r="D80" s="355" t="s">
        <v>53</v>
      </c>
      <c r="E80" s="348"/>
      <c r="F80" s="356"/>
      <c r="G80" s="357">
        <f t="shared" ref="G80:L80" si="1">G81</f>
        <v>23.46</v>
      </c>
      <c r="H80" s="358" t="str">
        <f t="shared" si="1"/>
        <v>)*(1.67-1)</v>
      </c>
      <c r="I80" s="356">
        <f t="shared" si="1"/>
        <v>1.0669999999999999</v>
      </c>
      <c r="J80" s="352">
        <f t="shared" si="1"/>
        <v>0.26</v>
      </c>
      <c r="K80" s="356">
        <f t="shared" si="1"/>
        <v>24.23</v>
      </c>
      <c r="L80" s="352">
        <f t="shared" si="1"/>
        <v>6.34</v>
      </c>
    </row>
    <row r="81" spans="1:27" ht="14.25" x14ac:dyDescent="0.2">
      <c r="A81" s="354"/>
      <c r="B81" s="354"/>
      <c r="C81" s="355"/>
      <c r="D81" s="355" t="s">
        <v>54</v>
      </c>
      <c r="E81" s="348"/>
      <c r="F81" s="356"/>
      <c r="G81" s="357">
        <f>[81]Source!AN71</f>
        <v>23.46</v>
      </c>
      <c r="H81" s="358" t="s">
        <v>63</v>
      </c>
      <c r="I81" s="356">
        <f>[81]Source!AV71</f>
        <v>1.0669999999999999</v>
      </c>
      <c r="J81" s="352">
        <f>ROUND(F69*G81*I81*(1.67-1), 2)</f>
        <v>0.26</v>
      </c>
      <c r="K81" s="356">
        <f>IF([81]Source!BS71&lt;&gt; 0, [81]Source!BS71, 1)</f>
        <v>24.23</v>
      </c>
      <c r="L81" s="352">
        <f>ROUND(F69*G81*I81*(1.67-1)*K81, 2)</f>
        <v>6.34</v>
      </c>
      <c r="W81" s="326">
        <f>J81</f>
        <v>0.26</v>
      </c>
    </row>
    <row r="82" spans="1:27" ht="14.25" x14ac:dyDescent="0.2">
      <c r="A82" s="354"/>
      <c r="B82" s="354"/>
      <c r="C82" s="355"/>
      <c r="D82" s="355" t="s">
        <v>59</v>
      </c>
      <c r="E82" s="348" t="s">
        <v>57</v>
      </c>
      <c r="F82" s="356">
        <f>175</f>
        <v>175</v>
      </c>
      <c r="G82" s="357"/>
      <c r="H82" s="348"/>
      <c r="I82" s="356"/>
      <c r="J82" s="352">
        <f>ROUND(J81*(F82/100), 2)</f>
        <v>0.46</v>
      </c>
      <c r="K82" s="356">
        <f>157</f>
        <v>157</v>
      </c>
      <c r="L82" s="352">
        <f>ROUND(L81*(K82/100), 2)</f>
        <v>9.9499999999999993</v>
      </c>
    </row>
    <row r="83" spans="1:27" ht="15" x14ac:dyDescent="0.25">
      <c r="I83" s="641">
        <f>J82+J81</f>
        <v>0.72</v>
      </c>
      <c r="J83" s="641"/>
      <c r="K83" s="641">
        <f>L82+L81</f>
        <v>16.29</v>
      </c>
      <c r="L83" s="641"/>
      <c r="O83" s="353">
        <f>I83</f>
        <v>0.72</v>
      </c>
      <c r="P83" s="353">
        <f>K83</f>
        <v>16.29</v>
      </c>
      <c r="X83" s="326">
        <f>IF([81]Source!BI71&lt;=1,I83, 0)</f>
        <v>0.72</v>
      </c>
      <c r="Y83" s="326">
        <f>IF([81]Source!BI71=2,I83, 0)</f>
        <v>0</v>
      </c>
      <c r="Z83" s="326">
        <f>IF([81]Source!BI71=3,I83, 0)</f>
        <v>0</v>
      </c>
      <c r="AA83" s="326">
        <f>IF([81]Source!BI71=4,I83, 0)</f>
        <v>0</v>
      </c>
    </row>
    <row r="85" spans="1:27" ht="15" x14ac:dyDescent="0.25">
      <c r="A85" s="359"/>
      <c r="B85" s="359"/>
      <c r="C85" s="360"/>
      <c r="D85" s="360" t="s">
        <v>64</v>
      </c>
      <c r="E85" s="361"/>
      <c r="F85" s="362"/>
      <c r="G85" s="363"/>
      <c r="H85" s="364"/>
      <c r="I85" s="641">
        <f>I78+I83</f>
        <v>63.16</v>
      </c>
      <c r="J85" s="641"/>
      <c r="K85" s="641">
        <f>K78+K83</f>
        <v>1017.56</v>
      </c>
      <c r="L85" s="641"/>
    </row>
    <row r="86" spans="1:27" ht="82.5" x14ac:dyDescent="0.2">
      <c r="A86" s="346">
        <v>5</v>
      </c>
      <c r="B86" s="346" t="str">
        <f>[81]Source!E73</f>
        <v>20</v>
      </c>
      <c r="C86" s="347" t="str">
        <f>[81]Source!F73</f>
        <v>МКЭ-33-168/8-5 от 14.09.2018г.</v>
      </c>
      <c r="D86" s="347" t="s">
        <v>233</v>
      </c>
      <c r="E86" s="348" t="str">
        <f>[81]Source!H73</f>
        <v>шт.</v>
      </c>
      <c r="F86" s="329">
        <f>[81]Source!I73</f>
        <v>96</v>
      </c>
      <c r="G86" s="413">
        <f>J86/F86</f>
        <v>23.58</v>
      </c>
      <c r="H86" s="414">
        <v>1.02</v>
      </c>
      <c r="I86" s="415">
        <v>1</v>
      </c>
      <c r="J86" s="413">
        <f>L86/K86</f>
        <v>2263.7399999999998</v>
      </c>
      <c r="K86" s="415">
        <v>5.58</v>
      </c>
      <c r="L86" s="413">
        <f>129*H86*F86</f>
        <v>12631.68</v>
      </c>
      <c r="Q86" s="326">
        <f>ROUND(([81]Source!DN73/100)*ROUND((ROUND(([81]Source!AF73*[81]Source!AV73*[81]Source!I73),2)),2), 2)</f>
        <v>0</v>
      </c>
      <c r="R86" s="326">
        <f>[81]Source!X73</f>
        <v>0</v>
      </c>
      <c r="S86" s="326">
        <f>ROUND(([81]Source!DO73/100)*ROUND((ROUND(([81]Source!AF73*[81]Source!AV73*[81]Source!I73),2)),2), 2)</f>
        <v>0</v>
      </c>
      <c r="T86" s="326">
        <f>[81]Source!Y73</f>
        <v>0</v>
      </c>
      <c r="U86" s="326">
        <f>ROUND((175/100)*ROUND((ROUND(([81]Source!AE73*[81]Source!AV73*[81]Source!I73),2)),2), 2)</f>
        <v>0</v>
      </c>
      <c r="V86" s="326">
        <f>ROUND((157/100)*ROUND(ROUND((ROUND(([81]Source!AE73*[81]Source!AV73*[81]Source!I73),2)*[81]Source!BS73),2), 2), 2)</f>
        <v>0</v>
      </c>
    </row>
    <row r="87" spans="1:27" ht="15" x14ac:dyDescent="0.25">
      <c r="A87" s="365"/>
      <c r="B87" s="365"/>
      <c r="C87" s="365"/>
      <c r="D87" s="365"/>
      <c r="E87" s="365"/>
      <c r="F87" s="365"/>
      <c r="G87" s="365"/>
      <c r="H87" s="365"/>
      <c r="I87" s="641">
        <f>J86</f>
        <v>2263.7399999999998</v>
      </c>
      <c r="J87" s="641"/>
      <c r="K87" s="641">
        <f>L86</f>
        <v>12631.68</v>
      </c>
      <c r="L87" s="641"/>
      <c r="O87" s="353">
        <f>J86</f>
        <v>2263.7399999999998</v>
      </c>
      <c r="P87" s="353">
        <f>L86</f>
        <v>12631.68</v>
      </c>
      <c r="X87" s="326">
        <f>IF([81]Source!BI73&lt;=1,J86-0, 0)</f>
        <v>2263.7399999999998</v>
      </c>
      <c r="Y87" s="326">
        <f>IF([81]Source!BI73=2,J86-0, 0)</f>
        <v>0</v>
      </c>
      <c r="Z87" s="326">
        <f>IF([81]Source!BI73=3,J86-0, 0)</f>
        <v>0</v>
      </c>
      <c r="AA87" s="326">
        <f>IF([81]Source!BI73=4,J86,0)</f>
        <v>0</v>
      </c>
    </row>
    <row r="88" spans="1:27" ht="54" customHeight="1" x14ac:dyDescent="0.2">
      <c r="A88" s="346">
        <v>6</v>
      </c>
      <c r="B88" s="346" t="str">
        <f>[81]Source!E75</f>
        <v>21</v>
      </c>
      <c r="C88" s="347" t="s">
        <v>231</v>
      </c>
      <c r="D88" s="347" t="s">
        <v>232</v>
      </c>
      <c r="E88" s="348" t="str">
        <f>[81]Source!H75</f>
        <v>шт.</v>
      </c>
      <c r="F88" s="329">
        <f>[81]Source!I75</f>
        <v>96</v>
      </c>
      <c r="G88" s="349">
        <f>[81]Source!AL75</f>
        <v>17.82</v>
      </c>
      <c r="H88" s="350">
        <f>[81]Source!DD75</f>
        <v>0</v>
      </c>
      <c r="I88" s="329">
        <f>[81]Source!AW75</f>
        <v>1</v>
      </c>
      <c r="J88" s="351">
        <f>ROUND((ROUND(([81]Source!AC75*[81]Source!AW75*[81]Source!I75),2)),2)</f>
        <v>1710.72</v>
      </c>
      <c r="K88" s="329">
        <f>IF([81]Source!BC75&lt;&gt; 0, [81]Source!BC75, 1)</f>
        <v>7.33</v>
      </c>
      <c r="L88" s="351">
        <f>[81]Source!P75</f>
        <v>12539.58</v>
      </c>
      <c r="Q88" s="326">
        <f>ROUND(([81]Source!DN75/100)*ROUND((ROUND(([81]Source!AF75*[81]Source!AV75*[81]Source!I75),2)),2), 2)</f>
        <v>0</v>
      </c>
      <c r="R88" s="326">
        <f>[81]Source!X75</f>
        <v>0</v>
      </c>
      <c r="S88" s="326">
        <f>ROUND(([81]Source!DO75/100)*ROUND((ROUND(([81]Source!AF75*[81]Source!AV75*[81]Source!I75),2)),2), 2)</f>
        <v>0</v>
      </c>
      <c r="T88" s="326">
        <f>[81]Source!Y75</f>
        <v>0</v>
      </c>
      <c r="U88" s="326">
        <f>ROUND((175/100)*ROUND((ROUND(([81]Source!AE75*[81]Source!AV75*[81]Source!I75),2)),2), 2)</f>
        <v>0</v>
      </c>
      <c r="V88" s="326">
        <f>ROUND((157/100)*ROUND(ROUND((ROUND(([81]Source!AE75*[81]Source!AV75*[81]Source!I75),2)*[81]Source!BS75),2), 2), 2)</f>
        <v>0</v>
      </c>
    </row>
    <row r="89" spans="1:27" ht="15" x14ac:dyDescent="0.25">
      <c r="A89" s="365"/>
      <c r="B89" s="365"/>
      <c r="C89" s="365"/>
      <c r="D89" s="365"/>
      <c r="E89" s="365"/>
      <c r="F89" s="365"/>
      <c r="G89" s="365"/>
      <c r="H89" s="365"/>
      <c r="I89" s="641">
        <f>J88</f>
        <v>1710.72</v>
      </c>
      <c r="J89" s="641"/>
      <c r="K89" s="641">
        <f>L88</f>
        <v>12539.58</v>
      </c>
      <c r="L89" s="641"/>
      <c r="O89" s="353">
        <f>J88</f>
        <v>1710.72</v>
      </c>
      <c r="P89" s="353">
        <f>L88</f>
        <v>12539.58</v>
      </c>
      <c r="X89" s="326">
        <f>IF([81]Source!BI75&lt;=1,J88-0, 0)</f>
        <v>1710.72</v>
      </c>
      <c r="Y89" s="326">
        <f>IF([81]Source!BI75=2,J88-0, 0)</f>
        <v>0</v>
      </c>
      <c r="Z89" s="326">
        <f>IF([81]Source!BI75=3,J88-0, 0)</f>
        <v>0</v>
      </c>
      <c r="AA89" s="326">
        <f>IF([81]Source!BI75=4,J88,0)</f>
        <v>0</v>
      </c>
    </row>
    <row r="90" spans="1:27" ht="79.5" customHeight="1" x14ac:dyDescent="0.2">
      <c r="A90" s="346">
        <v>7</v>
      </c>
      <c r="B90" s="346" t="str">
        <f>[81]Source!E83</f>
        <v>24</v>
      </c>
      <c r="C90" s="347" t="s">
        <v>234</v>
      </c>
      <c r="D90" s="347" t="s">
        <v>235</v>
      </c>
      <c r="E90" s="348" t="str">
        <f>[81]Source!H83</f>
        <v>м</v>
      </c>
      <c r="F90" s="329">
        <f>[81]Source!I83</f>
        <v>1.2</v>
      </c>
      <c r="G90" s="349">
        <f>[81]Source!AL83</f>
        <v>451.61</v>
      </c>
      <c r="H90" s="350">
        <f>[81]Source!DD83</f>
        <v>0</v>
      </c>
      <c r="I90" s="329">
        <f>[81]Source!AW83</f>
        <v>1</v>
      </c>
      <c r="J90" s="351">
        <f>ROUND((ROUND(([81]Source!AC83*[81]Source!AW83*[81]Source!I83),2)),2)</f>
        <v>541.92999999999995</v>
      </c>
      <c r="K90" s="329">
        <f>IF([81]Source!BC83&lt;&gt; 0, [81]Source!BC83, 1)</f>
        <v>3.41</v>
      </c>
      <c r="L90" s="351">
        <f>[81]Source!P83</f>
        <v>1847.98</v>
      </c>
      <c r="Q90" s="326">
        <f>ROUND(([81]Source!DN83/100)*ROUND((ROUND(([81]Source!AF83*[81]Source!AV83*[81]Source!I83),2)),2), 2)</f>
        <v>0</v>
      </c>
      <c r="R90" s="326">
        <f>[81]Source!X83</f>
        <v>0</v>
      </c>
      <c r="S90" s="326">
        <f>ROUND(([81]Source!DO83/100)*ROUND((ROUND(([81]Source!AF83*[81]Source!AV83*[81]Source!I83),2)),2), 2)</f>
        <v>0</v>
      </c>
      <c r="T90" s="326">
        <f>[81]Source!Y83</f>
        <v>0</v>
      </c>
      <c r="U90" s="326">
        <f>ROUND((175/100)*ROUND((ROUND(([81]Source!AE83*[81]Source!AV83*[81]Source!I83),2)),2), 2)</f>
        <v>0</v>
      </c>
      <c r="V90" s="326">
        <f>ROUND((157/100)*ROUND(ROUND((ROUND(([81]Source!AE83*[81]Source!AV83*[81]Source!I83),2)*[81]Source!BS83),2), 2), 2)</f>
        <v>0</v>
      </c>
    </row>
    <row r="91" spans="1:27" ht="15" x14ac:dyDescent="0.25">
      <c r="A91" s="365"/>
      <c r="B91" s="365"/>
      <c r="C91" s="365"/>
      <c r="D91" s="365"/>
      <c r="E91" s="365"/>
      <c r="F91" s="365"/>
      <c r="G91" s="365"/>
      <c r="H91" s="365"/>
      <c r="I91" s="641">
        <f>J90</f>
        <v>541.92999999999995</v>
      </c>
      <c r="J91" s="641"/>
      <c r="K91" s="641">
        <f>L90</f>
        <v>1847.98</v>
      </c>
      <c r="L91" s="641"/>
      <c r="O91" s="353">
        <f>J90</f>
        <v>541.92999999999995</v>
      </c>
      <c r="P91" s="353">
        <f>L90</f>
        <v>1847.98</v>
      </c>
      <c r="X91" s="326">
        <f>IF([81]Source!BI83&lt;=1,J90-0, 0)</f>
        <v>541.92999999999995</v>
      </c>
      <c r="Y91" s="326">
        <f>IF([81]Source!BI83=2,J90-0, 0)</f>
        <v>0</v>
      </c>
      <c r="Z91" s="326">
        <f>IF([81]Source!BI83=3,J90-0, 0)</f>
        <v>0</v>
      </c>
      <c r="AA91" s="326">
        <f>IF([81]Source!BI83=4,J90,0)</f>
        <v>0</v>
      </c>
    </row>
    <row r="92" spans="1:27" ht="66.75" customHeight="1" x14ac:dyDescent="0.2">
      <c r="A92" s="346">
        <v>8</v>
      </c>
      <c r="B92" s="346" t="str">
        <f>[81]Source!E91</f>
        <v>28</v>
      </c>
      <c r="C92" s="347" t="s">
        <v>231</v>
      </c>
      <c r="D92" s="347" t="s">
        <v>232</v>
      </c>
      <c r="E92" s="348" t="str">
        <f>[81]Source!H91</f>
        <v>шт.</v>
      </c>
      <c r="F92" s="329">
        <f>[81]Source!I91</f>
        <v>20</v>
      </c>
      <c r="G92" s="349">
        <f>[81]Source!AL91</f>
        <v>17.82</v>
      </c>
      <c r="H92" s="350">
        <f>[81]Source!DD91</f>
        <v>0</v>
      </c>
      <c r="I92" s="329">
        <f>[81]Source!AW91</f>
        <v>1</v>
      </c>
      <c r="J92" s="351">
        <f>ROUND((ROUND(([81]Source!AC91*[81]Source!AW91*[81]Source!I91),2)),2)</f>
        <v>356.4</v>
      </c>
      <c r="K92" s="329">
        <f>IF([81]Source!BC91&lt;&gt; 0, [81]Source!BC91, 1)</f>
        <v>7.33</v>
      </c>
      <c r="L92" s="351">
        <f>[81]Source!P91</f>
        <v>2612.41</v>
      </c>
      <c r="Q92" s="326">
        <f>ROUND(([81]Source!DN91/100)*ROUND((ROUND(([81]Source!AF91*[81]Source!AV91*[81]Source!I91),2)),2), 2)</f>
        <v>0</v>
      </c>
      <c r="R92" s="326">
        <f>[81]Source!X91</f>
        <v>0</v>
      </c>
      <c r="S92" s="326">
        <f>ROUND(([81]Source!DO91/100)*ROUND((ROUND(([81]Source!AF91*[81]Source!AV91*[81]Source!I91),2)),2), 2)</f>
        <v>0</v>
      </c>
      <c r="T92" s="326">
        <f>[81]Source!Y91</f>
        <v>0</v>
      </c>
      <c r="U92" s="326">
        <f>ROUND((175/100)*ROUND((ROUND(([81]Source!AE91*[81]Source!AV91*[81]Source!I91),2)),2), 2)</f>
        <v>0</v>
      </c>
      <c r="V92" s="326">
        <f>ROUND((157/100)*ROUND(ROUND((ROUND(([81]Source!AE91*[81]Source!AV91*[81]Source!I91),2)*[81]Source!BS91),2), 2), 2)</f>
        <v>0</v>
      </c>
    </row>
    <row r="93" spans="1:27" ht="15" x14ac:dyDescent="0.25">
      <c r="A93" s="365"/>
      <c r="B93" s="365"/>
      <c r="C93" s="365"/>
      <c r="D93" s="365"/>
      <c r="E93" s="365"/>
      <c r="F93" s="365"/>
      <c r="G93" s="365"/>
      <c r="H93" s="365"/>
      <c r="I93" s="641">
        <f>J92</f>
        <v>356.4</v>
      </c>
      <c r="J93" s="641"/>
      <c r="K93" s="641">
        <f>L92</f>
        <v>2612.41</v>
      </c>
      <c r="L93" s="641"/>
      <c r="O93" s="353">
        <f>J92</f>
        <v>356.4</v>
      </c>
      <c r="P93" s="353">
        <f>L92</f>
        <v>2612.41</v>
      </c>
      <c r="X93" s="326">
        <f>IF([81]Source!BI91&lt;=1,J92-0, 0)</f>
        <v>356.4</v>
      </c>
      <c r="Y93" s="326">
        <f>IF([81]Source!BI91=2,J92-0, 0)</f>
        <v>0</v>
      </c>
      <c r="Z93" s="326">
        <f>IF([81]Source!BI91=3,J92-0, 0)</f>
        <v>0</v>
      </c>
      <c r="AA93" s="326">
        <f>IF([81]Source!BI91=4,J92,0)</f>
        <v>0</v>
      </c>
    </row>
    <row r="94" spans="1:27" ht="71.25" x14ac:dyDescent="0.2">
      <c r="A94" s="346">
        <v>9</v>
      </c>
      <c r="B94" s="346" t="str">
        <f>[81]Source!E93</f>
        <v>29</v>
      </c>
      <c r="C94" s="347" t="str">
        <f>[81]Source!F93</f>
        <v>МКЭ-33-1982/7-1 от 09.11.2017г.</v>
      </c>
      <c r="D94" s="347" t="s">
        <v>236</v>
      </c>
      <c r="E94" s="348" t="str">
        <f>[81]Source!H93</f>
        <v>шт.</v>
      </c>
      <c r="F94" s="329">
        <f>[81]Source!I93</f>
        <v>12</v>
      </c>
      <c r="G94" s="413">
        <f>J94/F94</f>
        <v>190.11</v>
      </c>
      <c r="H94" s="414">
        <v>1.02</v>
      </c>
      <c r="I94" s="415">
        <v>1</v>
      </c>
      <c r="J94" s="413">
        <f>L94/K94</f>
        <v>2281.29</v>
      </c>
      <c r="K94" s="415">
        <v>5.58</v>
      </c>
      <c r="L94" s="413">
        <f>1040*H94*F94</f>
        <v>12729.6</v>
      </c>
      <c r="Q94" s="326">
        <f>ROUND(([81]Source!DN93/100)*ROUND((ROUND(([81]Source!AF93*[81]Source!AV93*[81]Source!I93),2)),2), 2)</f>
        <v>0</v>
      </c>
      <c r="R94" s="326">
        <f>[81]Source!X93</f>
        <v>0</v>
      </c>
      <c r="S94" s="326">
        <f>ROUND(([81]Source!DO93/100)*ROUND((ROUND(([81]Source!AF93*[81]Source!AV93*[81]Source!I93),2)),2), 2)</f>
        <v>0</v>
      </c>
      <c r="T94" s="326">
        <f>[81]Source!Y93</f>
        <v>0</v>
      </c>
      <c r="U94" s="326">
        <f>ROUND((175/100)*ROUND((ROUND(([81]Source!AE93*[81]Source!AV93*[81]Source!I93),2)),2), 2)</f>
        <v>0</v>
      </c>
      <c r="V94" s="326">
        <f>ROUND((157/100)*ROUND(ROUND((ROUND(([81]Source!AE93*[81]Source!AV93*[81]Source!I93),2)*[81]Source!BS93),2), 2), 2)</f>
        <v>0</v>
      </c>
    </row>
    <row r="95" spans="1:27" ht="15" x14ac:dyDescent="0.25">
      <c r="A95" s="365"/>
      <c r="B95" s="365"/>
      <c r="C95" s="365"/>
      <c r="D95" s="365"/>
      <c r="E95" s="365"/>
      <c r="F95" s="365"/>
      <c r="G95" s="365"/>
      <c r="H95" s="365"/>
      <c r="I95" s="641">
        <f>J94</f>
        <v>2281.29</v>
      </c>
      <c r="J95" s="641"/>
      <c r="K95" s="641">
        <f>L94</f>
        <v>12729.6</v>
      </c>
      <c r="L95" s="641"/>
      <c r="O95" s="353">
        <f>J94</f>
        <v>2281.29</v>
      </c>
      <c r="P95" s="353">
        <f>L94</f>
        <v>12729.6</v>
      </c>
      <c r="X95" s="326">
        <f>IF([81]Source!BI93&lt;=1,J94-0, 0)</f>
        <v>2281.29</v>
      </c>
      <c r="Y95" s="326">
        <f>IF([81]Source!BI93=2,J94-0, 0)</f>
        <v>0</v>
      </c>
      <c r="Z95" s="326">
        <f>IF([81]Source!BI93=3,J94-0, 0)</f>
        <v>0</v>
      </c>
      <c r="AA95" s="326">
        <f>IF([81]Source!BI93=4,J94,0)</f>
        <v>0</v>
      </c>
    </row>
    <row r="97" spans="1:256" ht="30" x14ac:dyDescent="0.25">
      <c r="A97" s="637" t="str">
        <f>CONCATENATE("Итого по разделу: ",IF([81]Source!G181&lt;&gt;"Новый раздел", [81]Source!G181, ""))</f>
        <v>Итого по разделу: Перегон от ст. "Мичуренский проспект" до ст. "Аминьевское шоссе". Хозяйственно-питьевой, производственный и противопожарный тонельный водопровод В1Т</v>
      </c>
      <c r="B97" s="637"/>
      <c r="C97" s="637"/>
      <c r="D97" s="637"/>
      <c r="E97" s="637"/>
      <c r="F97" s="637"/>
      <c r="G97" s="637"/>
      <c r="H97" s="637"/>
      <c r="I97" s="638">
        <f>SUM(O48:O96)</f>
        <v>8730.17</v>
      </c>
      <c r="J97" s="639"/>
      <c r="K97" s="638">
        <f>SUM(P48:P96)</f>
        <v>53924.09</v>
      </c>
      <c r="L97" s="639"/>
      <c r="AL97" s="366" t="str">
        <f>CONCATENATE("Итого по разделу: ",IF([81]Source!G181&lt;&gt;"Новый раздел", [81]Source!G181, ""))</f>
        <v>Итого по разделу: Перегон от ст. "Мичуренский проспект" до ст. "Аминьевское шоссе". Хозяйственно-питьевой, производственный и противопожарный тонельный водопровод В1Т</v>
      </c>
    </row>
    <row r="98" spans="1:256" hidden="1" x14ac:dyDescent="0.2">
      <c r="A98" s="326" t="s">
        <v>67</v>
      </c>
      <c r="J98" s="326">
        <f>SUM(AC48:AC97)</f>
        <v>0</v>
      </c>
      <c r="K98" s="326">
        <f>SUM(AD48:AD97)</f>
        <v>0</v>
      </c>
    </row>
    <row r="99" spans="1:256" hidden="1" x14ac:dyDescent="0.2">
      <c r="A99" s="326" t="s">
        <v>68</v>
      </c>
      <c r="J99" s="326">
        <f>SUM(AE48:AE98)</f>
        <v>0</v>
      </c>
      <c r="K99" s="326">
        <f>SUM(AF48:AF98)</f>
        <v>0</v>
      </c>
    </row>
    <row r="101" spans="1:256" ht="15" x14ac:dyDescent="0.25">
      <c r="A101" s="637" t="str">
        <f>CONCATENATE("Итого по локальной смете: ",IF([81]Source!G338&lt;&gt;"Новая локальная смета", [81]Source!G338, ""))</f>
        <v>Итого по локальной смете: Инженерные системы. Тонельный водопровод и водоотвод.</v>
      </c>
      <c r="B101" s="637"/>
      <c r="C101" s="637"/>
      <c r="D101" s="637"/>
      <c r="E101" s="637"/>
      <c r="F101" s="637"/>
      <c r="G101" s="637"/>
      <c r="H101" s="637"/>
      <c r="I101" s="638">
        <f>SUM(O39:O100)</f>
        <v>8730.17</v>
      </c>
      <c r="J101" s="639"/>
      <c r="K101" s="638">
        <f>SUM(P39:P100)</f>
        <v>53924.09</v>
      </c>
      <c r="L101" s="639"/>
      <c r="AL101" s="366" t="str">
        <f>CONCATENATE("Итого по локальной смете: ",IF([81]Source!G338&lt;&gt;"Новая локальная смета", [81]Source!G338, ""))</f>
        <v>Итого по локальной смете: Инженерные системы. Тонельный водопровод и водоотвод.</v>
      </c>
    </row>
    <row r="102" spans="1:256" hidden="1" x14ac:dyDescent="0.2">
      <c r="A102" s="326" t="s">
        <v>67</v>
      </c>
      <c r="J102" s="326">
        <f>SUM(AC39:AC101)</f>
        <v>0</v>
      </c>
      <c r="K102" s="326">
        <f>SUM(AD39:AD101)</f>
        <v>0</v>
      </c>
    </row>
    <row r="103" spans="1:256" hidden="1" x14ac:dyDescent="0.2">
      <c r="A103" s="326" t="s">
        <v>68</v>
      </c>
      <c r="J103" s="326">
        <f>SUM(AE39:AE102)</f>
        <v>0</v>
      </c>
      <c r="K103" s="326">
        <f>SUM(AF39:AF102)</f>
        <v>0</v>
      </c>
    </row>
    <row r="104" spans="1:256" ht="14.25" x14ac:dyDescent="0.2">
      <c r="D104" s="367" t="str">
        <f>[81]Source!H344</f>
        <v>Стоимость материалов (всего)</v>
      </c>
      <c r="E104" s="367"/>
      <c r="F104" s="367"/>
      <c r="G104" s="367"/>
      <c r="H104" s="367"/>
      <c r="I104" s="640">
        <f>SUMIF(D13:D95,"МР",J13:J95)+J94+J92+J90+J88+J86+J67+J65</f>
        <v>8590.3700000000008</v>
      </c>
      <c r="J104" s="636"/>
      <c r="K104" s="640">
        <f>SUMIF(D13:D95,"МР",L13:L95)+L94+L92+L90+L88+L86+L67+L65</f>
        <v>51345.95</v>
      </c>
      <c r="L104" s="636"/>
    </row>
    <row r="105" spans="1:256" ht="14.25" x14ac:dyDescent="0.2">
      <c r="D105" s="367" t="str">
        <f>[81]Source!H352</f>
        <v>ЗП машинистов</v>
      </c>
      <c r="E105" s="367"/>
      <c r="F105" s="367"/>
      <c r="G105" s="367"/>
      <c r="H105" s="367"/>
      <c r="I105" s="636">
        <f>SUMIF(D13:D95,"в т.ч. ЗПМ",J13:J95)</f>
        <v>1.73</v>
      </c>
      <c r="J105" s="636"/>
      <c r="K105" s="636">
        <f>SUMIF(D13:D95,"в т.ч. ЗПМ",L13:L95)</f>
        <v>41.92</v>
      </c>
      <c r="L105" s="636"/>
    </row>
    <row r="106" spans="1:256" ht="14.25" x14ac:dyDescent="0.2">
      <c r="D106" s="367" t="str">
        <f>[81]Source!H353</f>
        <v>Основная ЗП рабочих</v>
      </c>
      <c r="E106" s="367"/>
      <c r="F106" s="367"/>
      <c r="G106" s="367"/>
      <c r="H106" s="367"/>
      <c r="I106" s="636">
        <f>SUMIF(D13:D95,"ЗП",J13:J95)</f>
        <v>41.31</v>
      </c>
      <c r="J106" s="636"/>
      <c r="K106" s="636">
        <f>SUMIF(D13:D95,"ЗП",L13:L95)</f>
        <v>1000.94</v>
      </c>
      <c r="L106" s="636"/>
    </row>
    <row r="107" spans="1:256" ht="14.25" x14ac:dyDescent="0.2">
      <c r="D107" s="367" t="str">
        <f>[81]Source!H363</f>
        <v>Накладные расходы</v>
      </c>
      <c r="E107" s="367"/>
      <c r="F107" s="367"/>
      <c r="G107" s="367"/>
      <c r="H107" s="367"/>
      <c r="I107" s="636">
        <f>SUMIF(D13:D95,"НР от ЗП",J13:J95)</f>
        <v>51.64</v>
      </c>
      <c r="J107" s="636"/>
      <c r="K107" s="636">
        <f>SUMIF(D13:D95,"НР от ЗП",L13:L95)</f>
        <v>1000.94</v>
      </c>
      <c r="L107" s="636"/>
    </row>
    <row r="108" spans="1:256" ht="14.25" x14ac:dyDescent="0.2">
      <c r="D108" s="367" t="str">
        <f>[81]Source!H364</f>
        <v>Сметная прибыль</v>
      </c>
      <c r="E108" s="367"/>
      <c r="F108" s="367"/>
      <c r="G108" s="367"/>
      <c r="H108" s="367"/>
      <c r="I108" s="636">
        <f>SUMIF(D13:D95,"СП от ЗП",J13:J95)</f>
        <v>38.83</v>
      </c>
      <c r="J108" s="636"/>
      <c r="K108" s="636">
        <f>SUMIF(D13:D95,"СП от ЗП",L13:L95)</f>
        <v>450.42</v>
      </c>
      <c r="L108" s="636"/>
    </row>
    <row r="109" spans="1:256" ht="14.25" x14ac:dyDescent="0.2">
      <c r="A109" s="327"/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</row>
    <row r="110" spans="1:256" ht="15" x14ac:dyDescent="0.25">
      <c r="A110" s="237"/>
      <c r="B110" s="237"/>
      <c r="C110" s="237"/>
      <c r="D110" s="623" t="s">
        <v>191</v>
      </c>
      <c r="E110" s="623"/>
      <c r="F110" s="623"/>
      <c r="G110" s="623"/>
      <c r="H110" s="623"/>
      <c r="I110" s="368"/>
      <c r="J110" s="369">
        <v>0</v>
      </c>
      <c r="K110" s="369"/>
      <c r="L110" s="369">
        <v>0</v>
      </c>
      <c r="M110" s="370" t="e">
        <v>#REF!</v>
      </c>
      <c r="N110" s="371"/>
      <c r="O110" s="371"/>
      <c r="P110" s="371"/>
      <c r="Q110" s="371"/>
      <c r="R110" s="371"/>
      <c r="S110" s="371"/>
      <c r="T110" s="371"/>
      <c r="U110" s="371"/>
      <c r="V110" s="371"/>
      <c r="W110" s="371"/>
      <c r="X110" s="371"/>
      <c r="Y110" s="371"/>
      <c r="Z110" s="371"/>
      <c r="AA110" s="371"/>
      <c r="AB110" s="371"/>
      <c r="AC110" s="371"/>
      <c r="AD110" s="371"/>
      <c r="AE110" s="371"/>
      <c r="AF110" s="371"/>
      <c r="AG110" s="371"/>
      <c r="AH110" s="371"/>
      <c r="AI110" s="371"/>
      <c r="AJ110" s="371"/>
      <c r="AK110" s="371"/>
      <c r="AL110" s="371"/>
      <c r="AM110" s="371"/>
      <c r="AN110" s="371"/>
      <c r="AO110" s="371"/>
      <c r="AP110" s="371"/>
      <c r="AQ110" s="371"/>
      <c r="AR110" s="371"/>
      <c r="AS110" s="371"/>
      <c r="AT110" s="371"/>
      <c r="AU110" s="371"/>
      <c r="AV110" s="371"/>
      <c r="AW110" s="371"/>
      <c r="AX110" s="371"/>
      <c r="AY110" s="371"/>
      <c r="AZ110" s="371"/>
      <c r="BA110" s="371"/>
      <c r="BB110" s="371"/>
      <c r="BC110" s="371"/>
      <c r="BD110" s="371"/>
      <c r="BE110" s="371"/>
      <c r="BF110" s="371"/>
      <c r="BG110" s="371"/>
      <c r="BH110" s="371"/>
      <c r="BI110" s="371"/>
      <c r="BJ110" s="371"/>
      <c r="BK110" s="371"/>
      <c r="BL110" s="371"/>
      <c r="BM110" s="371"/>
      <c r="BN110" s="371"/>
      <c r="BO110" s="371"/>
      <c r="BP110" s="371"/>
      <c r="BQ110" s="371"/>
      <c r="BR110" s="371"/>
      <c r="BS110" s="371"/>
      <c r="BT110" s="371"/>
      <c r="BU110" s="371"/>
      <c r="BV110" s="371"/>
      <c r="BW110" s="371"/>
      <c r="BX110" s="371"/>
      <c r="BY110" s="371"/>
      <c r="BZ110" s="371"/>
      <c r="CA110" s="371"/>
      <c r="CB110" s="371"/>
      <c r="CC110" s="371"/>
      <c r="CD110" s="371"/>
      <c r="CE110" s="371"/>
      <c r="CF110" s="371"/>
      <c r="CG110" s="371"/>
      <c r="CH110" s="371"/>
      <c r="CI110" s="371"/>
      <c r="CJ110" s="371"/>
      <c r="CK110" s="371"/>
      <c r="CL110" s="371"/>
      <c r="CM110" s="371"/>
      <c r="CN110" s="371"/>
      <c r="CO110" s="371"/>
      <c r="CP110" s="371"/>
      <c r="CQ110" s="371"/>
      <c r="CR110" s="371"/>
      <c r="CS110" s="371"/>
      <c r="CT110" s="371"/>
      <c r="CU110" s="371"/>
      <c r="CV110" s="371"/>
      <c r="CW110" s="371"/>
      <c r="CX110" s="371"/>
      <c r="CY110" s="371"/>
      <c r="CZ110" s="371"/>
      <c r="DA110" s="371"/>
      <c r="DB110" s="371"/>
      <c r="DC110" s="371"/>
      <c r="DD110" s="371"/>
      <c r="DE110" s="371"/>
      <c r="DF110" s="371"/>
      <c r="DG110" s="371"/>
      <c r="DH110" s="371"/>
      <c r="DI110" s="371"/>
      <c r="DJ110" s="371"/>
      <c r="DK110" s="371"/>
      <c r="DL110" s="371"/>
      <c r="DM110" s="371"/>
      <c r="DN110" s="371"/>
      <c r="DO110" s="371"/>
      <c r="DP110" s="371"/>
      <c r="DQ110" s="371"/>
      <c r="DR110" s="371"/>
      <c r="DS110" s="371"/>
      <c r="DT110" s="371"/>
      <c r="DU110" s="371"/>
      <c r="DV110" s="371"/>
      <c r="DW110" s="371"/>
      <c r="DX110" s="371"/>
      <c r="DY110" s="371"/>
      <c r="DZ110" s="371"/>
      <c r="EA110" s="371"/>
      <c r="EB110" s="371"/>
      <c r="EC110" s="371"/>
      <c r="ED110" s="371"/>
      <c r="EE110" s="371"/>
      <c r="EF110" s="371"/>
      <c r="EG110" s="371"/>
      <c r="EH110" s="371"/>
      <c r="EI110" s="371"/>
      <c r="EJ110" s="371"/>
      <c r="EK110" s="371"/>
      <c r="EL110" s="371"/>
      <c r="EM110" s="371"/>
      <c r="EN110" s="371"/>
      <c r="EO110" s="371"/>
      <c r="EP110" s="371"/>
      <c r="EQ110" s="371"/>
      <c r="ER110" s="371"/>
      <c r="ES110" s="371"/>
      <c r="ET110" s="371"/>
      <c r="EU110" s="371"/>
      <c r="EV110" s="371"/>
      <c r="EW110" s="371"/>
      <c r="EX110" s="371"/>
      <c r="EY110" s="371"/>
      <c r="EZ110" s="371"/>
      <c r="FA110" s="371"/>
      <c r="FB110" s="371"/>
      <c r="FC110" s="371"/>
      <c r="FD110" s="371"/>
      <c r="FE110" s="371"/>
      <c r="FF110" s="371"/>
      <c r="FG110" s="371"/>
      <c r="FH110" s="371"/>
      <c r="FI110" s="371"/>
      <c r="FJ110" s="371"/>
      <c r="FK110" s="371"/>
      <c r="FL110" s="371"/>
      <c r="FM110" s="371"/>
      <c r="FN110" s="371"/>
      <c r="FO110" s="371"/>
      <c r="FP110" s="371"/>
      <c r="FQ110" s="371"/>
      <c r="FR110" s="371"/>
      <c r="FS110" s="371"/>
      <c r="FT110" s="371"/>
      <c r="FU110" s="371"/>
      <c r="FV110" s="371"/>
      <c r="FW110" s="371"/>
      <c r="FX110" s="371"/>
      <c r="FY110" s="371"/>
      <c r="FZ110" s="371"/>
      <c r="GA110" s="371"/>
      <c r="GB110" s="371"/>
      <c r="GC110" s="371"/>
      <c r="GD110" s="371"/>
      <c r="GE110" s="371"/>
      <c r="GF110" s="371"/>
      <c r="GG110" s="371"/>
      <c r="GH110" s="371"/>
      <c r="GI110" s="371"/>
      <c r="GJ110" s="371"/>
      <c r="GK110" s="371"/>
      <c r="GL110" s="371"/>
      <c r="GM110" s="371"/>
      <c r="GN110" s="371"/>
      <c r="GO110" s="371"/>
      <c r="GP110" s="371"/>
      <c r="GQ110" s="371"/>
      <c r="GR110" s="371"/>
      <c r="GS110" s="371"/>
      <c r="GT110" s="371"/>
      <c r="GU110" s="371"/>
      <c r="GV110" s="371"/>
      <c r="GW110" s="371"/>
      <c r="GX110" s="371"/>
      <c r="GY110" s="371"/>
      <c r="GZ110" s="371"/>
      <c r="HA110" s="371"/>
      <c r="HB110" s="371"/>
      <c r="HC110" s="371"/>
      <c r="HD110" s="371"/>
      <c r="HE110" s="371"/>
      <c r="HF110" s="371"/>
      <c r="HG110" s="371"/>
      <c r="HH110" s="371"/>
      <c r="HI110" s="371"/>
      <c r="HJ110" s="371"/>
      <c r="HK110" s="371"/>
      <c r="HL110" s="371"/>
      <c r="HM110" s="371"/>
      <c r="HN110" s="371"/>
      <c r="HO110" s="371"/>
      <c r="HP110" s="371"/>
      <c r="HQ110" s="371"/>
      <c r="HR110" s="371"/>
      <c r="HS110" s="371"/>
      <c r="HT110" s="371"/>
      <c r="HU110" s="371"/>
      <c r="HV110" s="371"/>
      <c r="HW110" s="371"/>
      <c r="HX110" s="371"/>
      <c r="HY110" s="371"/>
      <c r="HZ110" s="371"/>
      <c r="IA110" s="371"/>
      <c r="IB110" s="371"/>
      <c r="IC110" s="371"/>
      <c r="ID110" s="371"/>
      <c r="IE110" s="371"/>
      <c r="IF110" s="371"/>
      <c r="IG110" s="371"/>
      <c r="IH110" s="371"/>
      <c r="II110" s="371"/>
      <c r="IJ110" s="371"/>
      <c r="IK110" s="371"/>
      <c r="IL110" s="371"/>
      <c r="IM110" s="371"/>
      <c r="IN110" s="371"/>
      <c r="IO110" s="371"/>
      <c r="IP110" s="371"/>
      <c r="IQ110" s="371"/>
      <c r="IR110" s="371"/>
      <c r="IS110" s="371"/>
      <c r="IT110" s="371"/>
      <c r="IU110" s="371"/>
      <c r="IV110" s="371"/>
    </row>
    <row r="111" spans="1:256" ht="15" x14ac:dyDescent="0.25">
      <c r="A111" s="239"/>
      <c r="B111" s="239"/>
      <c r="C111" s="239"/>
      <c r="D111" s="623" t="s">
        <v>192</v>
      </c>
      <c r="E111" s="623"/>
      <c r="F111" s="623"/>
      <c r="G111" s="623"/>
      <c r="H111" s="623"/>
      <c r="I111" s="368"/>
      <c r="J111" s="369">
        <v>0</v>
      </c>
      <c r="K111" s="372"/>
      <c r="L111" s="369">
        <v>0</v>
      </c>
      <c r="M111" s="370"/>
      <c r="N111" s="373"/>
      <c r="O111" s="373"/>
      <c r="P111" s="373"/>
      <c r="Q111" s="373"/>
      <c r="R111" s="373"/>
      <c r="S111" s="373"/>
      <c r="T111" s="373"/>
      <c r="U111" s="373"/>
      <c r="V111" s="373"/>
      <c r="W111" s="373"/>
      <c r="X111" s="373"/>
      <c r="Y111" s="373"/>
      <c r="Z111" s="373"/>
      <c r="AA111" s="373"/>
      <c r="AB111" s="373"/>
      <c r="AC111" s="373"/>
      <c r="AD111" s="373"/>
      <c r="AE111" s="373"/>
      <c r="AF111" s="373"/>
      <c r="AG111" s="373"/>
      <c r="AH111" s="373"/>
      <c r="AI111" s="373"/>
      <c r="AJ111" s="373"/>
      <c r="AK111" s="373"/>
      <c r="AL111" s="373"/>
      <c r="AM111" s="373"/>
      <c r="AN111" s="373"/>
      <c r="AO111" s="373"/>
      <c r="AP111" s="373"/>
      <c r="AQ111" s="373"/>
      <c r="AR111" s="373"/>
      <c r="AS111" s="373"/>
      <c r="AT111" s="373"/>
      <c r="AU111" s="373"/>
      <c r="AV111" s="373"/>
      <c r="AW111" s="373"/>
      <c r="AX111" s="373"/>
      <c r="AY111" s="373"/>
      <c r="AZ111" s="373"/>
      <c r="BA111" s="373"/>
      <c r="BB111" s="373"/>
      <c r="BC111" s="373"/>
      <c r="BD111" s="373"/>
      <c r="BE111" s="373"/>
      <c r="BF111" s="373"/>
      <c r="BG111" s="373"/>
      <c r="BH111" s="373"/>
      <c r="BI111" s="373"/>
      <c r="BJ111" s="373"/>
      <c r="BK111" s="373"/>
      <c r="BL111" s="373"/>
      <c r="BM111" s="373"/>
      <c r="BN111" s="373"/>
      <c r="BO111" s="373"/>
      <c r="BP111" s="373"/>
      <c r="BQ111" s="373"/>
      <c r="BR111" s="373"/>
      <c r="BS111" s="373"/>
      <c r="BT111" s="373"/>
      <c r="BU111" s="373"/>
      <c r="BV111" s="373"/>
      <c r="BW111" s="373"/>
      <c r="BX111" s="373"/>
      <c r="BY111" s="373"/>
      <c r="BZ111" s="373"/>
      <c r="CA111" s="373"/>
      <c r="CB111" s="373"/>
      <c r="CC111" s="373"/>
      <c r="CD111" s="373"/>
      <c r="CE111" s="373"/>
      <c r="CF111" s="373"/>
      <c r="CG111" s="373"/>
      <c r="CH111" s="373"/>
      <c r="CI111" s="373"/>
      <c r="CJ111" s="373"/>
      <c r="CK111" s="373"/>
      <c r="CL111" s="373"/>
      <c r="CM111" s="373"/>
      <c r="CN111" s="373"/>
      <c r="CO111" s="373"/>
      <c r="CP111" s="373"/>
      <c r="CQ111" s="373"/>
      <c r="CR111" s="373"/>
      <c r="CS111" s="373"/>
      <c r="CT111" s="373"/>
      <c r="CU111" s="373"/>
      <c r="CV111" s="373"/>
      <c r="CW111" s="373"/>
      <c r="CX111" s="373"/>
      <c r="CY111" s="373"/>
      <c r="CZ111" s="373"/>
      <c r="DA111" s="373"/>
      <c r="DB111" s="373"/>
      <c r="DC111" s="373"/>
      <c r="DD111" s="373"/>
      <c r="DE111" s="373"/>
      <c r="DF111" s="373"/>
      <c r="DG111" s="373"/>
      <c r="DH111" s="373"/>
      <c r="DI111" s="373"/>
      <c r="DJ111" s="373"/>
      <c r="DK111" s="373"/>
      <c r="DL111" s="373"/>
      <c r="DM111" s="373"/>
      <c r="DN111" s="373"/>
      <c r="DO111" s="373"/>
      <c r="DP111" s="373"/>
      <c r="DQ111" s="373"/>
      <c r="DR111" s="373"/>
      <c r="DS111" s="373"/>
      <c r="DT111" s="373"/>
      <c r="DU111" s="373"/>
      <c r="DV111" s="373"/>
      <c r="DW111" s="373"/>
      <c r="DX111" s="373"/>
      <c r="DY111" s="373"/>
      <c r="DZ111" s="373"/>
      <c r="EA111" s="373"/>
      <c r="EB111" s="373"/>
      <c r="EC111" s="373"/>
      <c r="ED111" s="373"/>
      <c r="EE111" s="373"/>
      <c r="EF111" s="373"/>
      <c r="EG111" s="373"/>
      <c r="EH111" s="373"/>
      <c r="EI111" s="373"/>
      <c r="EJ111" s="373"/>
      <c r="EK111" s="373"/>
      <c r="EL111" s="373"/>
      <c r="EM111" s="373"/>
      <c r="EN111" s="373"/>
      <c r="EO111" s="373"/>
      <c r="EP111" s="373"/>
      <c r="EQ111" s="373"/>
      <c r="ER111" s="373"/>
      <c r="ES111" s="373"/>
      <c r="ET111" s="373"/>
      <c r="EU111" s="373"/>
      <c r="EV111" s="373"/>
      <c r="EW111" s="373"/>
      <c r="EX111" s="373"/>
      <c r="EY111" s="373"/>
      <c r="EZ111" s="373"/>
      <c r="FA111" s="373"/>
      <c r="FB111" s="373"/>
      <c r="FC111" s="373"/>
      <c r="FD111" s="373"/>
      <c r="FE111" s="373"/>
      <c r="FF111" s="373"/>
      <c r="FG111" s="373"/>
      <c r="FH111" s="373"/>
      <c r="FI111" s="373"/>
      <c r="FJ111" s="373"/>
      <c r="FK111" s="373"/>
      <c r="FL111" s="373"/>
      <c r="FM111" s="373"/>
      <c r="FN111" s="373"/>
      <c r="FO111" s="373"/>
      <c r="FP111" s="373"/>
      <c r="FQ111" s="373"/>
      <c r="FR111" s="373"/>
      <c r="FS111" s="373"/>
      <c r="FT111" s="373"/>
      <c r="FU111" s="373"/>
      <c r="FV111" s="373"/>
      <c r="FW111" s="373"/>
      <c r="FX111" s="373"/>
      <c r="FY111" s="373"/>
      <c r="FZ111" s="373"/>
      <c r="GA111" s="373"/>
      <c r="GB111" s="373"/>
      <c r="GC111" s="373"/>
      <c r="GD111" s="373"/>
      <c r="GE111" s="373"/>
      <c r="GF111" s="373"/>
      <c r="GG111" s="373"/>
      <c r="GH111" s="373"/>
      <c r="GI111" s="373"/>
      <c r="GJ111" s="373"/>
      <c r="GK111" s="373"/>
      <c r="GL111" s="373"/>
      <c r="GM111" s="373"/>
      <c r="GN111" s="373"/>
      <c r="GO111" s="373"/>
      <c r="GP111" s="373"/>
      <c r="GQ111" s="373"/>
      <c r="GR111" s="373"/>
      <c r="GS111" s="373"/>
      <c r="GT111" s="373"/>
      <c r="GU111" s="373"/>
      <c r="GV111" s="373"/>
      <c r="GW111" s="373"/>
      <c r="GX111" s="373"/>
      <c r="GY111" s="373"/>
      <c r="GZ111" s="373"/>
      <c r="HA111" s="373"/>
      <c r="HB111" s="373"/>
      <c r="HC111" s="373"/>
      <c r="HD111" s="373"/>
      <c r="HE111" s="373"/>
      <c r="HF111" s="373"/>
      <c r="HG111" s="373"/>
      <c r="HH111" s="373"/>
      <c r="HI111" s="373"/>
      <c r="HJ111" s="373"/>
      <c r="HK111" s="373"/>
      <c r="HL111" s="373"/>
      <c r="HM111" s="373"/>
      <c r="HN111" s="373"/>
      <c r="HO111" s="373"/>
      <c r="HP111" s="373"/>
      <c r="HQ111" s="373"/>
      <c r="HR111" s="373"/>
      <c r="HS111" s="373"/>
      <c r="HT111" s="373"/>
      <c r="HU111" s="373"/>
      <c r="HV111" s="373"/>
      <c r="HW111" s="373"/>
      <c r="HX111" s="373"/>
      <c r="HY111" s="373"/>
      <c r="HZ111" s="373"/>
      <c r="IA111" s="373"/>
      <c r="IB111" s="373"/>
      <c r="IC111" s="373"/>
      <c r="ID111" s="373"/>
      <c r="IE111" s="373"/>
      <c r="IF111" s="373"/>
      <c r="IG111" s="373"/>
      <c r="IH111" s="373"/>
      <c r="II111" s="373"/>
      <c r="IJ111" s="373"/>
      <c r="IK111" s="373"/>
      <c r="IL111" s="373"/>
      <c r="IM111" s="373"/>
      <c r="IN111" s="373"/>
      <c r="IO111" s="373"/>
      <c r="IP111" s="373"/>
      <c r="IQ111" s="373"/>
      <c r="IR111" s="373"/>
      <c r="IS111" s="373"/>
      <c r="IT111" s="373"/>
      <c r="IU111" s="373"/>
      <c r="IV111" s="373"/>
    </row>
    <row r="112" spans="1:256" ht="15" x14ac:dyDescent="0.25">
      <c r="A112" s="239"/>
      <c r="B112" s="239"/>
      <c r="C112" s="239"/>
      <c r="D112" s="372" t="s">
        <v>193</v>
      </c>
      <c r="E112" s="372"/>
      <c r="F112" s="372"/>
      <c r="G112" s="372"/>
      <c r="H112" s="372"/>
      <c r="I112" s="372"/>
      <c r="J112" s="369">
        <v>0</v>
      </c>
      <c r="K112" s="372"/>
      <c r="L112" s="369">
        <v>0</v>
      </c>
      <c r="M112" s="370"/>
      <c r="N112" s="373"/>
      <c r="O112" s="373"/>
      <c r="P112" s="373"/>
      <c r="Q112" s="373"/>
      <c r="R112" s="373"/>
      <c r="S112" s="373"/>
      <c r="T112" s="373"/>
      <c r="U112" s="373"/>
      <c r="V112" s="373"/>
      <c r="W112" s="373"/>
      <c r="X112" s="373"/>
      <c r="Y112" s="373"/>
      <c r="Z112" s="373"/>
      <c r="AA112" s="373"/>
      <c r="AB112" s="373"/>
      <c r="AC112" s="373"/>
      <c r="AD112" s="373"/>
      <c r="AE112" s="373"/>
      <c r="AF112" s="373"/>
      <c r="AG112" s="373"/>
      <c r="AH112" s="373"/>
      <c r="AI112" s="373"/>
      <c r="AJ112" s="373"/>
      <c r="AK112" s="373"/>
      <c r="AL112" s="373"/>
      <c r="AM112" s="373"/>
      <c r="AN112" s="373"/>
      <c r="AO112" s="373"/>
      <c r="AP112" s="373"/>
      <c r="AQ112" s="373"/>
      <c r="AR112" s="373"/>
      <c r="AS112" s="373"/>
      <c r="AT112" s="373"/>
      <c r="AU112" s="373"/>
      <c r="AV112" s="373"/>
      <c r="AW112" s="373"/>
      <c r="AX112" s="373"/>
      <c r="AY112" s="373"/>
      <c r="AZ112" s="373"/>
      <c r="BA112" s="373"/>
      <c r="BB112" s="373"/>
      <c r="BC112" s="373"/>
      <c r="BD112" s="373"/>
      <c r="BE112" s="373"/>
      <c r="BF112" s="373"/>
      <c r="BG112" s="373"/>
      <c r="BH112" s="373"/>
      <c r="BI112" s="373"/>
      <c r="BJ112" s="373"/>
      <c r="BK112" s="373"/>
      <c r="BL112" s="373"/>
      <c r="BM112" s="373"/>
      <c r="BN112" s="373"/>
      <c r="BO112" s="373"/>
      <c r="BP112" s="373"/>
      <c r="BQ112" s="373"/>
      <c r="BR112" s="373"/>
      <c r="BS112" s="373"/>
      <c r="BT112" s="373"/>
      <c r="BU112" s="373"/>
      <c r="BV112" s="373"/>
      <c r="BW112" s="373"/>
      <c r="BX112" s="373"/>
      <c r="BY112" s="373"/>
      <c r="BZ112" s="373"/>
      <c r="CA112" s="373"/>
      <c r="CB112" s="373"/>
      <c r="CC112" s="373"/>
      <c r="CD112" s="373"/>
      <c r="CE112" s="373"/>
      <c r="CF112" s="373"/>
      <c r="CG112" s="373"/>
      <c r="CH112" s="373"/>
      <c r="CI112" s="373"/>
      <c r="CJ112" s="373"/>
      <c r="CK112" s="373"/>
      <c r="CL112" s="373"/>
      <c r="CM112" s="373"/>
      <c r="CN112" s="373"/>
      <c r="CO112" s="373"/>
      <c r="CP112" s="373"/>
      <c r="CQ112" s="373"/>
      <c r="CR112" s="373"/>
      <c r="CS112" s="373"/>
      <c r="CT112" s="373"/>
      <c r="CU112" s="373"/>
      <c r="CV112" s="373"/>
      <c r="CW112" s="373"/>
      <c r="CX112" s="373"/>
      <c r="CY112" s="373"/>
      <c r="CZ112" s="373"/>
      <c r="DA112" s="373"/>
      <c r="DB112" s="373"/>
      <c r="DC112" s="373"/>
      <c r="DD112" s="373"/>
      <c r="DE112" s="373"/>
      <c r="DF112" s="373"/>
      <c r="DG112" s="373"/>
      <c r="DH112" s="373"/>
      <c r="DI112" s="373"/>
      <c r="DJ112" s="373"/>
      <c r="DK112" s="373"/>
      <c r="DL112" s="373"/>
      <c r="DM112" s="373"/>
      <c r="DN112" s="373"/>
      <c r="DO112" s="373"/>
      <c r="DP112" s="373"/>
      <c r="DQ112" s="373"/>
      <c r="DR112" s="373"/>
      <c r="DS112" s="373"/>
      <c r="DT112" s="373"/>
      <c r="DU112" s="373"/>
      <c r="DV112" s="373"/>
      <c r="DW112" s="373"/>
      <c r="DX112" s="373"/>
      <c r="DY112" s="373"/>
      <c r="DZ112" s="373"/>
      <c r="EA112" s="373"/>
      <c r="EB112" s="373"/>
      <c r="EC112" s="373"/>
      <c r="ED112" s="373"/>
      <c r="EE112" s="373"/>
      <c r="EF112" s="373"/>
      <c r="EG112" s="373"/>
      <c r="EH112" s="373"/>
      <c r="EI112" s="373"/>
      <c r="EJ112" s="373"/>
      <c r="EK112" s="373"/>
      <c r="EL112" s="373"/>
      <c r="EM112" s="373"/>
      <c r="EN112" s="373"/>
      <c r="EO112" s="373"/>
      <c r="EP112" s="373"/>
      <c r="EQ112" s="373"/>
      <c r="ER112" s="373"/>
      <c r="ES112" s="373"/>
      <c r="ET112" s="373"/>
      <c r="EU112" s="373"/>
      <c r="EV112" s="373"/>
      <c r="EW112" s="373"/>
      <c r="EX112" s="373"/>
      <c r="EY112" s="373"/>
      <c r="EZ112" s="373"/>
      <c r="FA112" s="373"/>
      <c r="FB112" s="373"/>
      <c r="FC112" s="373"/>
      <c r="FD112" s="373"/>
      <c r="FE112" s="373"/>
      <c r="FF112" s="373"/>
      <c r="FG112" s="373"/>
      <c r="FH112" s="373"/>
      <c r="FI112" s="373"/>
      <c r="FJ112" s="373"/>
      <c r="FK112" s="373"/>
      <c r="FL112" s="373"/>
      <c r="FM112" s="373"/>
      <c r="FN112" s="373"/>
      <c r="FO112" s="373"/>
      <c r="FP112" s="373"/>
      <c r="FQ112" s="373"/>
      <c r="FR112" s="373"/>
      <c r="FS112" s="373"/>
      <c r="FT112" s="373"/>
      <c r="FU112" s="373"/>
      <c r="FV112" s="373"/>
      <c r="FW112" s="373"/>
      <c r="FX112" s="373"/>
      <c r="FY112" s="373"/>
      <c r="FZ112" s="373"/>
      <c r="GA112" s="373"/>
      <c r="GB112" s="373"/>
      <c r="GC112" s="373"/>
      <c r="GD112" s="373"/>
      <c r="GE112" s="373"/>
      <c r="GF112" s="373"/>
      <c r="GG112" s="373"/>
      <c r="GH112" s="373"/>
      <c r="GI112" s="373"/>
      <c r="GJ112" s="373"/>
      <c r="GK112" s="373"/>
      <c r="GL112" s="373"/>
      <c r="GM112" s="373"/>
      <c r="GN112" s="373"/>
      <c r="GO112" s="373"/>
      <c r="GP112" s="373"/>
      <c r="GQ112" s="373"/>
      <c r="GR112" s="373"/>
      <c r="GS112" s="373"/>
      <c r="GT112" s="373"/>
      <c r="GU112" s="373"/>
      <c r="GV112" s="373"/>
      <c r="GW112" s="373"/>
      <c r="GX112" s="373"/>
      <c r="GY112" s="373"/>
      <c r="GZ112" s="373"/>
      <c r="HA112" s="373"/>
      <c r="HB112" s="373"/>
      <c r="HC112" s="373"/>
      <c r="HD112" s="373"/>
      <c r="HE112" s="373"/>
      <c r="HF112" s="373"/>
      <c r="HG112" s="373"/>
      <c r="HH112" s="373"/>
      <c r="HI112" s="373"/>
      <c r="HJ112" s="373"/>
      <c r="HK112" s="373"/>
      <c r="HL112" s="373"/>
      <c r="HM112" s="373"/>
      <c r="HN112" s="373"/>
      <c r="HO112" s="373"/>
      <c r="HP112" s="373"/>
      <c r="HQ112" s="373"/>
      <c r="HR112" s="373"/>
      <c r="HS112" s="373"/>
      <c r="HT112" s="373"/>
      <c r="HU112" s="373"/>
      <c r="HV112" s="373"/>
      <c r="HW112" s="373"/>
      <c r="HX112" s="373"/>
      <c r="HY112" s="373"/>
      <c r="HZ112" s="373"/>
      <c r="IA112" s="373"/>
      <c r="IB112" s="373"/>
      <c r="IC112" s="373"/>
      <c r="ID112" s="373"/>
      <c r="IE112" s="373"/>
      <c r="IF112" s="373"/>
      <c r="IG112" s="373"/>
      <c r="IH112" s="373"/>
      <c r="II112" s="373"/>
      <c r="IJ112" s="373"/>
      <c r="IK112" s="373"/>
      <c r="IL112" s="373"/>
      <c r="IM112" s="373"/>
      <c r="IN112" s="373"/>
      <c r="IO112" s="373"/>
      <c r="IP112" s="373"/>
      <c r="IQ112" s="373"/>
      <c r="IR112" s="373"/>
      <c r="IS112" s="373"/>
      <c r="IT112" s="373"/>
      <c r="IU112" s="373"/>
      <c r="IV112" s="373"/>
    </row>
    <row r="113" spans="1:256" ht="14.25" x14ac:dyDescent="0.2">
      <c r="A113" s="241"/>
      <c r="B113" s="241"/>
      <c r="C113" s="241"/>
      <c r="D113" s="241"/>
      <c r="E113" s="241"/>
      <c r="F113" s="241"/>
      <c r="G113" s="241"/>
      <c r="H113" s="241"/>
      <c r="I113" s="241"/>
      <c r="J113" s="241"/>
      <c r="K113" s="241"/>
      <c r="L113" s="241"/>
      <c r="M113" s="374"/>
      <c r="N113" s="375"/>
      <c r="O113" s="375"/>
      <c r="P113" s="375"/>
      <c r="Q113" s="375"/>
      <c r="R113" s="375"/>
      <c r="S113" s="375"/>
      <c r="T113" s="375"/>
      <c r="U113" s="375"/>
      <c r="V113" s="375"/>
      <c r="W113" s="375"/>
      <c r="X113" s="375"/>
      <c r="Y113" s="375"/>
      <c r="Z113" s="375"/>
      <c r="AA113" s="375"/>
      <c r="AB113" s="375"/>
      <c r="AC113" s="375"/>
      <c r="AD113" s="375"/>
      <c r="AE113" s="375"/>
      <c r="AF113" s="375"/>
      <c r="AG113" s="375"/>
      <c r="AH113" s="375"/>
      <c r="AI113" s="375"/>
      <c r="AJ113" s="375"/>
      <c r="AK113" s="375"/>
      <c r="AL113" s="375"/>
      <c r="AM113" s="375"/>
      <c r="AN113" s="375"/>
      <c r="AO113" s="375"/>
      <c r="AP113" s="375"/>
      <c r="AQ113" s="375"/>
      <c r="AR113" s="375"/>
      <c r="AS113" s="375"/>
      <c r="AT113" s="375"/>
      <c r="AU113" s="375"/>
      <c r="AV113" s="375"/>
      <c r="AW113" s="375"/>
      <c r="AX113" s="375"/>
      <c r="AY113" s="375"/>
      <c r="AZ113" s="375"/>
      <c r="BA113" s="375"/>
      <c r="BB113" s="375"/>
      <c r="BC113" s="375"/>
      <c r="BD113" s="375"/>
      <c r="BE113" s="375"/>
      <c r="BF113" s="375"/>
      <c r="BG113" s="375"/>
      <c r="BH113" s="375"/>
      <c r="BI113" s="375"/>
      <c r="BJ113" s="375"/>
      <c r="BK113" s="375"/>
      <c r="BL113" s="375"/>
      <c r="BM113" s="375"/>
      <c r="BN113" s="375"/>
      <c r="BO113" s="375"/>
      <c r="BP113" s="375"/>
      <c r="BQ113" s="375"/>
      <c r="BR113" s="375"/>
      <c r="BS113" s="375"/>
      <c r="BT113" s="375"/>
      <c r="BU113" s="375"/>
      <c r="BV113" s="375"/>
      <c r="BW113" s="375"/>
      <c r="BX113" s="375"/>
      <c r="BY113" s="375"/>
      <c r="BZ113" s="375"/>
      <c r="CA113" s="375"/>
      <c r="CB113" s="375"/>
      <c r="CC113" s="375"/>
      <c r="CD113" s="375"/>
      <c r="CE113" s="375"/>
      <c r="CF113" s="375"/>
      <c r="CG113" s="375"/>
      <c r="CH113" s="375"/>
      <c r="CI113" s="375"/>
      <c r="CJ113" s="375"/>
      <c r="CK113" s="375"/>
      <c r="CL113" s="375"/>
      <c r="CM113" s="375"/>
      <c r="CN113" s="375"/>
      <c r="CO113" s="375"/>
      <c r="CP113" s="375"/>
      <c r="CQ113" s="375"/>
      <c r="CR113" s="375"/>
      <c r="CS113" s="375"/>
      <c r="CT113" s="375"/>
      <c r="CU113" s="375"/>
      <c r="CV113" s="375"/>
      <c r="CW113" s="375"/>
      <c r="CX113" s="375"/>
      <c r="CY113" s="375"/>
      <c r="CZ113" s="375"/>
      <c r="DA113" s="375"/>
      <c r="DB113" s="375"/>
      <c r="DC113" s="375"/>
      <c r="DD113" s="375"/>
      <c r="DE113" s="375"/>
      <c r="DF113" s="375"/>
      <c r="DG113" s="375"/>
      <c r="DH113" s="375"/>
      <c r="DI113" s="375"/>
      <c r="DJ113" s="375"/>
      <c r="DK113" s="375"/>
      <c r="DL113" s="375"/>
      <c r="DM113" s="375"/>
      <c r="DN113" s="375"/>
      <c r="DO113" s="375"/>
      <c r="DP113" s="375"/>
      <c r="DQ113" s="375"/>
      <c r="DR113" s="375"/>
      <c r="DS113" s="375"/>
      <c r="DT113" s="375"/>
      <c r="DU113" s="375"/>
      <c r="DV113" s="375"/>
      <c r="DW113" s="375"/>
      <c r="DX113" s="375"/>
      <c r="DY113" s="375"/>
      <c r="DZ113" s="375"/>
      <c r="EA113" s="375"/>
      <c r="EB113" s="375"/>
      <c r="EC113" s="375"/>
      <c r="ED113" s="375"/>
      <c r="EE113" s="375"/>
      <c r="EF113" s="375"/>
      <c r="EG113" s="375"/>
      <c r="EH113" s="375"/>
      <c r="EI113" s="375"/>
      <c r="EJ113" s="375"/>
      <c r="EK113" s="375"/>
      <c r="EL113" s="375"/>
      <c r="EM113" s="375"/>
      <c r="EN113" s="375"/>
      <c r="EO113" s="375"/>
      <c r="EP113" s="375"/>
      <c r="EQ113" s="375"/>
      <c r="ER113" s="375"/>
      <c r="ES113" s="375"/>
      <c r="ET113" s="375"/>
      <c r="EU113" s="375"/>
      <c r="EV113" s="375"/>
      <c r="EW113" s="375"/>
      <c r="EX113" s="375"/>
      <c r="EY113" s="375"/>
      <c r="EZ113" s="375"/>
      <c r="FA113" s="375"/>
      <c r="FB113" s="375"/>
      <c r="FC113" s="375"/>
      <c r="FD113" s="375"/>
      <c r="FE113" s="375"/>
      <c r="FF113" s="375"/>
      <c r="FG113" s="375"/>
      <c r="FH113" s="375"/>
      <c r="FI113" s="375"/>
      <c r="FJ113" s="375"/>
      <c r="FK113" s="375"/>
      <c r="FL113" s="375"/>
      <c r="FM113" s="375"/>
      <c r="FN113" s="375"/>
      <c r="FO113" s="375"/>
      <c r="FP113" s="375"/>
      <c r="FQ113" s="375"/>
      <c r="FR113" s="375"/>
      <c r="FS113" s="375"/>
      <c r="FT113" s="375"/>
      <c r="FU113" s="375"/>
      <c r="FV113" s="375"/>
      <c r="FW113" s="375"/>
      <c r="FX113" s="375"/>
      <c r="FY113" s="375"/>
      <c r="FZ113" s="375"/>
      <c r="GA113" s="375"/>
      <c r="GB113" s="375"/>
      <c r="GC113" s="375"/>
      <c r="GD113" s="375"/>
      <c r="GE113" s="375"/>
      <c r="GF113" s="375"/>
      <c r="GG113" s="375"/>
      <c r="GH113" s="375"/>
      <c r="GI113" s="375"/>
      <c r="GJ113" s="375"/>
      <c r="GK113" s="375"/>
      <c r="GL113" s="375"/>
      <c r="GM113" s="375"/>
      <c r="GN113" s="375"/>
      <c r="GO113" s="375"/>
      <c r="GP113" s="375"/>
      <c r="GQ113" s="375"/>
      <c r="GR113" s="375"/>
      <c r="GS113" s="375"/>
      <c r="GT113" s="375"/>
      <c r="GU113" s="375"/>
      <c r="GV113" s="375"/>
      <c r="GW113" s="375"/>
      <c r="GX113" s="375"/>
      <c r="GY113" s="375"/>
      <c r="GZ113" s="375"/>
      <c r="HA113" s="375"/>
      <c r="HB113" s="375"/>
      <c r="HC113" s="375"/>
      <c r="HD113" s="375"/>
      <c r="HE113" s="375"/>
      <c r="HF113" s="375"/>
      <c r="HG113" s="375"/>
      <c r="HH113" s="375"/>
      <c r="HI113" s="375"/>
      <c r="HJ113" s="375"/>
      <c r="HK113" s="375"/>
      <c r="HL113" s="375"/>
      <c r="HM113" s="375"/>
      <c r="HN113" s="375"/>
      <c r="HO113" s="375"/>
      <c r="HP113" s="375"/>
      <c r="HQ113" s="375"/>
      <c r="HR113" s="375"/>
      <c r="HS113" s="375"/>
      <c r="HT113" s="375"/>
      <c r="HU113" s="375"/>
      <c r="HV113" s="375"/>
      <c r="HW113" s="375"/>
      <c r="HX113" s="375"/>
      <c r="HY113" s="375"/>
      <c r="HZ113" s="375"/>
      <c r="IA113" s="375"/>
      <c r="IB113" s="375"/>
      <c r="IC113" s="375"/>
      <c r="ID113" s="375"/>
      <c r="IE113" s="375"/>
      <c r="IF113" s="375"/>
      <c r="IG113" s="375"/>
      <c r="IH113" s="375"/>
      <c r="II113" s="375"/>
      <c r="IJ113" s="375"/>
      <c r="IK113" s="375"/>
      <c r="IL113" s="375"/>
      <c r="IM113" s="375"/>
      <c r="IN113" s="375"/>
      <c r="IO113" s="375"/>
      <c r="IP113" s="375"/>
      <c r="IQ113" s="375"/>
      <c r="IR113" s="375"/>
      <c r="IS113" s="375"/>
      <c r="IT113" s="375"/>
      <c r="IU113" s="375"/>
      <c r="IV113" s="375"/>
    </row>
    <row r="114" spans="1:256" ht="30" x14ac:dyDescent="0.25">
      <c r="A114" s="239"/>
      <c r="B114" s="239"/>
      <c r="C114" s="239"/>
      <c r="D114" s="242" t="s">
        <v>194</v>
      </c>
      <c r="E114" s="242"/>
      <c r="F114" s="242"/>
      <c r="G114" s="242"/>
      <c r="H114" s="242"/>
      <c r="I114" s="243"/>
      <c r="J114" s="244">
        <f>I101-J112</f>
        <v>8730.17</v>
      </c>
      <c r="K114" s="245"/>
      <c r="L114" s="244">
        <f>K101-L112</f>
        <v>53924.09</v>
      </c>
      <c r="M114" s="374" t="e">
        <v>#REF!</v>
      </c>
      <c r="N114" s="373"/>
      <c r="O114" s="373"/>
      <c r="P114" s="373"/>
      <c r="Q114" s="373"/>
      <c r="R114" s="373"/>
      <c r="S114" s="373"/>
      <c r="T114" s="373"/>
      <c r="U114" s="373"/>
      <c r="V114" s="373"/>
      <c r="W114" s="373"/>
      <c r="X114" s="373"/>
      <c r="Y114" s="373"/>
      <c r="Z114" s="373"/>
      <c r="AA114" s="373"/>
      <c r="AB114" s="373"/>
      <c r="AC114" s="373"/>
      <c r="AD114" s="373"/>
      <c r="AE114" s="373"/>
      <c r="AF114" s="373"/>
      <c r="AG114" s="373"/>
      <c r="AH114" s="373"/>
      <c r="AI114" s="373"/>
      <c r="AJ114" s="373"/>
      <c r="AK114" s="373"/>
      <c r="AL114" s="373"/>
      <c r="AM114" s="373"/>
      <c r="AN114" s="373"/>
      <c r="AO114" s="373"/>
      <c r="AP114" s="373"/>
      <c r="AQ114" s="373"/>
      <c r="AR114" s="373"/>
      <c r="AS114" s="373"/>
      <c r="AT114" s="373"/>
      <c r="AU114" s="373"/>
      <c r="AV114" s="373"/>
      <c r="AW114" s="373"/>
      <c r="AX114" s="373"/>
      <c r="AY114" s="373"/>
      <c r="AZ114" s="373"/>
      <c r="BA114" s="373"/>
      <c r="BB114" s="373"/>
      <c r="BC114" s="373"/>
      <c r="BD114" s="373"/>
      <c r="BE114" s="373"/>
      <c r="BF114" s="373"/>
      <c r="BG114" s="373"/>
      <c r="BH114" s="373"/>
      <c r="BI114" s="373"/>
      <c r="BJ114" s="373"/>
      <c r="BK114" s="373"/>
      <c r="BL114" s="373"/>
      <c r="BM114" s="373"/>
      <c r="BN114" s="373"/>
      <c r="BO114" s="373"/>
      <c r="BP114" s="373"/>
      <c r="BQ114" s="373"/>
      <c r="BR114" s="373"/>
      <c r="BS114" s="373"/>
      <c r="BT114" s="373"/>
      <c r="BU114" s="373"/>
      <c r="BV114" s="373"/>
      <c r="BW114" s="373"/>
      <c r="BX114" s="373"/>
      <c r="BY114" s="373"/>
      <c r="BZ114" s="373"/>
      <c r="CA114" s="373"/>
      <c r="CB114" s="373"/>
      <c r="CC114" s="373"/>
      <c r="CD114" s="373"/>
      <c r="CE114" s="373"/>
      <c r="CF114" s="373"/>
      <c r="CG114" s="373"/>
      <c r="CH114" s="373"/>
      <c r="CI114" s="373"/>
      <c r="CJ114" s="373"/>
      <c r="CK114" s="373"/>
      <c r="CL114" s="373"/>
      <c r="CM114" s="373"/>
      <c r="CN114" s="373"/>
      <c r="CO114" s="373"/>
      <c r="CP114" s="373"/>
      <c r="CQ114" s="373"/>
      <c r="CR114" s="373"/>
      <c r="CS114" s="373"/>
      <c r="CT114" s="373"/>
      <c r="CU114" s="373"/>
      <c r="CV114" s="373"/>
      <c r="CW114" s="373"/>
      <c r="CX114" s="373"/>
      <c r="CY114" s="373"/>
      <c r="CZ114" s="373"/>
      <c r="DA114" s="373"/>
      <c r="DB114" s="373"/>
      <c r="DC114" s="373"/>
      <c r="DD114" s="373"/>
      <c r="DE114" s="373"/>
      <c r="DF114" s="373"/>
      <c r="DG114" s="373"/>
      <c r="DH114" s="373"/>
      <c r="DI114" s="373"/>
      <c r="DJ114" s="373"/>
      <c r="DK114" s="373"/>
      <c r="DL114" s="373"/>
      <c r="DM114" s="373"/>
      <c r="DN114" s="373"/>
      <c r="DO114" s="373"/>
      <c r="DP114" s="373"/>
      <c r="DQ114" s="373"/>
      <c r="DR114" s="373"/>
      <c r="DS114" s="373"/>
      <c r="DT114" s="373"/>
      <c r="DU114" s="373"/>
      <c r="DV114" s="373"/>
      <c r="DW114" s="373"/>
      <c r="DX114" s="373"/>
      <c r="DY114" s="373"/>
      <c r="DZ114" s="373"/>
      <c r="EA114" s="373"/>
      <c r="EB114" s="373"/>
      <c r="EC114" s="373"/>
      <c r="ED114" s="373"/>
      <c r="EE114" s="373"/>
      <c r="EF114" s="373"/>
      <c r="EG114" s="373"/>
      <c r="EH114" s="373"/>
      <c r="EI114" s="373"/>
      <c r="EJ114" s="373"/>
      <c r="EK114" s="373"/>
      <c r="EL114" s="373"/>
      <c r="EM114" s="373"/>
      <c r="EN114" s="373"/>
      <c r="EO114" s="373"/>
      <c r="EP114" s="373"/>
      <c r="EQ114" s="373"/>
      <c r="ER114" s="373"/>
      <c r="ES114" s="373"/>
      <c r="ET114" s="373"/>
      <c r="EU114" s="373"/>
      <c r="EV114" s="373"/>
      <c r="EW114" s="373"/>
      <c r="EX114" s="373"/>
      <c r="EY114" s="373"/>
      <c r="EZ114" s="373"/>
      <c r="FA114" s="373"/>
      <c r="FB114" s="373"/>
      <c r="FC114" s="373"/>
      <c r="FD114" s="373"/>
      <c r="FE114" s="373"/>
      <c r="FF114" s="373"/>
      <c r="FG114" s="373"/>
      <c r="FH114" s="373"/>
      <c r="FI114" s="373"/>
      <c r="FJ114" s="373"/>
      <c r="FK114" s="373"/>
      <c r="FL114" s="373"/>
      <c r="FM114" s="373"/>
      <c r="FN114" s="373"/>
      <c r="FO114" s="373"/>
      <c r="FP114" s="373"/>
      <c r="FQ114" s="373"/>
      <c r="FR114" s="373"/>
      <c r="FS114" s="373"/>
      <c r="FT114" s="373"/>
      <c r="FU114" s="373"/>
      <c r="FV114" s="373"/>
      <c r="FW114" s="373"/>
      <c r="FX114" s="373"/>
      <c r="FY114" s="373"/>
      <c r="FZ114" s="373"/>
      <c r="GA114" s="373"/>
      <c r="GB114" s="373"/>
      <c r="GC114" s="373"/>
      <c r="GD114" s="373"/>
      <c r="GE114" s="373"/>
      <c r="GF114" s="373"/>
      <c r="GG114" s="373"/>
      <c r="GH114" s="373"/>
      <c r="GI114" s="373"/>
      <c r="GJ114" s="373"/>
      <c r="GK114" s="373"/>
      <c r="GL114" s="373"/>
      <c r="GM114" s="373"/>
      <c r="GN114" s="373"/>
      <c r="GO114" s="373"/>
      <c r="GP114" s="373"/>
      <c r="GQ114" s="373"/>
      <c r="GR114" s="373"/>
      <c r="GS114" s="373"/>
      <c r="GT114" s="373"/>
      <c r="GU114" s="373"/>
      <c r="GV114" s="373"/>
      <c r="GW114" s="373"/>
      <c r="GX114" s="373"/>
      <c r="GY114" s="373"/>
      <c r="GZ114" s="373"/>
      <c r="HA114" s="373"/>
      <c r="HB114" s="373"/>
      <c r="HC114" s="373"/>
      <c r="HD114" s="373"/>
      <c r="HE114" s="373"/>
      <c r="HF114" s="373"/>
      <c r="HG114" s="373"/>
      <c r="HH114" s="373"/>
      <c r="HI114" s="373"/>
      <c r="HJ114" s="373"/>
      <c r="HK114" s="373"/>
      <c r="HL114" s="373"/>
      <c r="HM114" s="373"/>
      <c r="HN114" s="373"/>
      <c r="HO114" s="373"/>
      <c r="HP114" s="373"/>
      <c r="HQ114" s="373"/>
      <c r="HR114" s="373"/>
      <c r="HS114" s="373"/>
      <c r="HT114" s="373"/>
      <c r="HU114" s="373"/>
      <c r="HV114" s="373"/>
      <c r="HW114" s="373"/>
      <c r="HX114" s="373"/>
      <c r="HY114" s="373"/>
      <c r="HZ114" s="373"/>
      <c r="IA114" s="373"/>
      <c r="IB114" s="373"/>
      <c r="IC114" s="373"/>
      <c r="ID114" s="373"/>
      <c r="IE114" s="373"/>
      <c r="IF114" s="373"/>
      <c r="IG114" s="373"/>
      <c r="IH114" s="373"/>
      <c r="II114" s="373"/>
      <c r="IJ114" s="373"/>
      <c r="IK114" s="373"/>
      <c r="IL114" s="373"/>
      <c r="IM114" s="373"/>
      <c r="IN114" s="373"/>
      <c r="IO114" s="373"/>
      <c r="IP114" s="373"/>
      <c r="IQ114" s="373"/>
      <c r="IR114" s="373"/>
      <c r="IS114" s="373"/>
      <c r="IT114" s="373"/>
      <c r="IU114" s="373"/>
      <c r="IV114" s="373"/>
    </row>
    <row r="115" spans="1:256" ht="14.25" x14ac:dyDescent="0.2">
      <c r="A115" s="239"/>
      <c r="B115" s="239"/>
      <c r="C115" s="239"/>
      <c r="D115" s="246" t="s">
        <v>69</v>
      </c>
      <c r="E115" s="246"/>
      <c r="F115" s="246"/>
      <c r="G115" s="246"/>
      <c r="H115" s="246"/>
      <c r="I115" s="247"/>
      <c r="J115" s="248">
        <f>J114-J118</f>
        <v>8730.17</v>
      </c>
      <c r="K115" s="249"/>
      <c r="L115" s="248">
        <f>L114-L118</f>
        <v>53924.09</v>
      </c>
      <c r="M115" s="374"/>
      <c r="N115" s="373"/>
      <c r="O115" s="373"/>
      <c r="P115" s="373"/>
      <c r="Q115" s="373"/>
      <c r="R115" s="373"/>
      <c r="S115" s="373"/>
      <c r="T115" s="373"/>
      <c r="U115" s="373"/>
      <c r="V115" s="373"/>
      <c r="W115" s="373"/>
      <c r="X115" s="373"/>
      <c r="Y115" s="373"/>
      <c r="Z115" s="373"/>
      <c r="AA115" s="373"/>
      <c r="AB115" s="373"/>
      <c r="AC115" s="373"/>
      <c r="AD115" s="373"/>
      <c r="AE115" s="373"/>
      <c r="AF115" s="373"/>
      <c r="AG115" s="373"/>
      <c r="AH115" s="373"/>
      <c r="AI115" s="373"/>
      <c r="AJ115" s="373"/>
      <c r="AK115" s="373"/>
      <c r="AL115" s="373"/>
      <c r="AM115" s="373"/>
      <c r="AN115" s="373"/>
      <c r="AO115" s="373"/>
      <c r="AP115" s="373"/>
      <c r="AQ115" s="373"/>
      <c r="AR115" s="373"/>
      <c r="AS115" s="373"/>
      <c r="AT115" s="373"/>
      <c r="AU115" s="373"/>
      <c r="AV115" s="373"/>
      <c r="AW115" s="373"/>
      <c r="AX115" s="373"/>
      <c r="AY115" s="373"/>
      <c r="AZ115" s="373"/>
      <c r="BA115" s="373"/>
      <c r="BB115" s="373"/>
      <c r="BC115" s="373"/>
      <c r="BD115" s="373"/>
      <c r="BE115" s="373"/>
      <c r="BF115" s="373"/>
      <c r="BG115" s="373"/>
      <c r="BH115" s="373"/>
      <c r="BI115" s="373"/>
      <c r="BJ115" s="373"/>
      <c r="BK115" s="373"/>
      <c r="BL115" s="373"/>
      <c r="BM115" s="373"/>
      <c r="BN115" s="373"/>
      <c r="BO115" s="373"/>
      <c r="BP115" s="373"/>
      <c r="BQ115" s="373"/>
      <c r="BR115" s="373"/>
      <c r="BS115" s="373"/>
      <c r="BT115" s="373"/>
      <c r="BU115" s="373"/>
      <c r="BV115" s="373"/>
      <c r="BW115" s="373"/>
      <c r="BX115" s="373"/>
      <c r="BY115" s="373"/>
      <c r="BZ115" s="373"/>
      <c r="CA115" s="373"/>
      <c r="CB115" s="373"/>
      <c r="CC115" s="373"/>
      <c r="CD115" s="373"/>
      <c r="CE115" s="373"/>
      <c r="CF115" s="373"/>
      <c r="CG115" s="373"/>
      <c r="CH115" s="373"/>
      <c r="CI115" s="373"/>
      <c r="CJ115" s="373"/>
      <c r="CK115" s="373"/>
      <c r="CL115" s="373"/>
      <c r="CM115" s="373"/>
      <c r="CN115" s="373"/>
      <c r="CO115" s="373"/>
      <c r="CP115" s="373"/>
      <c r="CQ115" s="373"/>
      <c r="CR115" s="373"/>
      <c r="CS115" s="373"/>
      <c r="CT115" s="373"/>
      <c r="CU115" s="373"/>
      <c r="CV115" s="373"/>
      <c r="CW115" s="373"/>
      <c r="CX115" s="373"/>
      <c r="CY115" s="373"/>
      <c r="CZ115" s="373"/>
      <c r="DA115" s="373"/>
      <c r="DB115" s="373"/>
      <c r="DC115" s="373"/>
      <c r="DD115" s="373"/>
      <c r="DE115" s="373"/>
      <c r="DF115" s="373"/>
      <c r="DG115" s="373"/>
      <c r="DH115" s="373"/>
      <c r="DI115" s="373"/>
      <c r="DJ115" s="373"/>
      <c r="DK115" s="373"/>
      <c r="DL115" s="373"/>
      <c r="DM115" s="373"/>
      <c r="DN115" s="373"/>
      <c r="DO115" s="373"/>
      <c r="DP115" s="373"/>
      <c r="DQ115" s="373"/>
      <c r="DR115" s="373"/>
      <c r="DS115" s="373"/>
      <c r="DT115" s="373"/>
      <c r="DU115" s="373"/>
      <c r="DV115" s="373"/>
      <c r="DW115" s="373"/>
      <c r="DX115" s="373"/>
      <c r="DY115" s="373"/>
      <c r="DZ115" s="373"/>
      <c r="EA115" s="373"/>
      <c r="EB115" s="373"/>
      <c r="EC115" s="373"/>
      <c r="ED115" s="373"/>
      <c r="EE115" s="373"/>
      <c r="EF115" s="373"/>
      <c r="EG115" s="373"/>
      <c r="EH115" s="373"/>
      <c r="EI115" s="373"/>
      <c r="EJ115" s="373"/>
      <c r="EK115" s="373"/>
      <c r="EL115" s="373"/>
      <c r="EM115" s="373"/>
      <c r="EN115" s="373"/>
      <c r="EO115" s="373"/>
      <c r="EP115" s="373"/>
      <c r="EQ115" s="373"/>
      <c r="ER115" s="373"/>
      <c r="ES115" s="373"/>
      <c r="ET115" s="373"/>
      <c r="EU115" s="373"/>
      <c r="EV115" s="373"/>
      <c r="EW115" s="373"/>
      <c r="EX115" s="373"/>
      <c r="EY115" s="373"/>
      <c r="EZ115" s="373"/>
      <c r="FA115" s="373"/>
      <c r="FB115" s="373"/>
      <c r="FC115" s="373"/>
      <c r="FD115" s="373"/>
      <c r="FE115" s="373"/>
      <c r="FF115" s="373"/>
      <c r="FG115" s="373"/>
      <c r="FH115" s="373"/>
      <c r="FI115" s="373"/>
      <c r="FJ115" s="373"/>
      <c r="FK115" s="373"/>
      <c r="FL115" s="373"/>
      <c r="FM115" s="373"/>
      <c r="FN115" s="373"/>
      <c r="FO115" s="373"/>
      <c r="FP115" s="373"/>
      <c r="FQ115" s="373"/>
      <c r="FR115" s="373"/>
      <c r="FS115" s="373"/>
      <c r="FT115" s="373"/>
      <c r="FU115" s="373"/>
      <c r="FV115" s="373"/>
      <c r="FW115" s="373"/>
      <c r="FX115" s="373"/>
      <c r="FY115" s="373"/>
      <c r="FZ115" s="373"/>
      <c r="GA115" s="373"/>
      <c r="GB115" s="373"/>
      <c r="GC115" s="373"/>
      <c r="GD115" s="373"/>
      <c r="GE115" s="373"/>
      <c r="GF115" s="373"/>
      <c r="GG115" s="373"/>
      <c r="GH115" s="373"/>
      <c r="GI115" s="373"/>
      <c r="GJ115" s="373"/>
      <c r="GK115" s="373"/>
      <c r="GL115" s="373"/>
      <c r="GM115" s="373"/>
      <c r="GN115" s="373"/>
      <c r="GO115" s="373"/>
      <c r="GP115" s="373"/>
      <c r="GQ115" s="373"/>
      <c r="GR115" s="373"/>
      <c r="GS115" s="373"/>
      <c r="GT115" s="373"/>
      <c r="GU115" s="373"/>
      <c r="GV115" s="373"/>
      <c r="GW115" s="373"/>
      <c r="GX115" s="373"/>
      <c r="GY115" s="373"/>
      <c r="GZ115" s="373"/>
      <c r="HA115" s="373"/>
      <c r="HB115" s="373"/>
      <c r="HC115" s="373"/>
      <c r="HD115" s="373"/>
      <c r="HE115" s="373"/>
      <c r="HF115" s="373"/>
      <c r="HG115" s="373"/>
      <c r="HH115" s="373"/>
      <c r="HI115" s="373"/>
      <c r="HJ115" s="373"/>
      <c r="HK115" s="373"/>
      <c r="HL115" s="373"/>
      <c r="HM115" s="373"/>
      <c r="HN115" s="373"/>
      <c r="HO115" s="373"/>
      <c r="HP115" s="373"/>
      <c r="HQ115" s="373"/>
      <c r="HR115" s="373"/>
      <c r="HS115" s="373"/>
      <c r="HT115" s="373"/>
      <c r="HU115" s="373"/>
      <c r="HV115" s="373"/>
      <c r="HW115" s="373"/>
      <c r="HX115" s="373"/>
      <c r="HY115" s="373"/>
      <c r="HZ115" s="373"/>
      <c r="IA115" s="373"/>
      <c r="IB115" s="373"/>
      <c r="IC115" s="373"/>
      <c r="ID115" s="373"/>
      <c r="IE115" s="373"/>
      <c r="IF115" s="373"/>
      <c r="IG115" s="373"/>
      <c r="IH115" s="373"/>
      <c r="II115" s="373"/>
      <c r="IJ115" s="373"/>
      <c r="IK115" s="373"/>
      <c r="IL115" s="373"/>
      <c r="IM115" s="373"/>
      <c r="IN115" s="373"/>
      <c r="IO115" s="373"/>
      <c r="IP115" s="373"/>
      <c r="IQ115" s="373"/>
      <c r="IR115" s="373"/>
      <c r="IS115" s="373"/>
      <c r="IT115" s="373"/>
      <c r="IU115" s="373"/>
      <c r="IV115" s="373"/>
    </row>
    <row r="116" spans="1:256" ht="14.25" x14ac:dyDescent="0.2">
      <c r="A116" s="239"/>
      <c r="B116" s="239"/>
      <c r="C116" s="239"/>
      <c r="D116" s="246" t="s">
        <v>70</v>
      </c>
      <c r="E116" s="246"/>
      <c r="F116" s="246"/>
      <c r="G116" s="246"/>
      <c r="H116" s="246"/>
      <c r="I116" s="247"/>
      <c r="J116" s="248">
        <f>I105+I106</f>
        <v>43.04</v>
      </c>
      <c r="K116" s="249"/>
      <c r="L116" s="248">
        <f>K105+K106</f>
        <v>1042.8599999999999</v>
      </c>
      <c r="M116" s="374">
        <v>23353.06</v>
      </c>
      <c r="N116" s="373"/>
      <c r="O116" s="373"/>
      <c r="P116" s="373"/>
      <c r="Q116" s="373"/>
      <c r="R116" s="373"/>
      <c r="S116" s="373"/>
      <c r="T116" s="373"/>
      <c r="U116" s="373"/>
      <c r="V116" s="373"/>
      <c r="W116" s="373"/>
      <c r="X116" s="373"/>
      <c r="Y116" s="373"/>
      <c r="Z116" s="373"/>
      <c r="AA116" s="373"/>
      <c r="AB116" s="373"/>
      <c r="AC116" s="373"/>
      <c r="AD116" s="373"/>
      <c r="AE116" s="373"/>
      <c r="AF116" s="373"/>
      <c r="AG116" s="373"/>
      <c r="AH116" s="373"/>
      <c r="AI116" s="373"/>
      <c r="AJ116" s="373"/>
      <c r="AK116" s="373"/>
      <c r="AL116" s="373"/>
      <c r="AM116" s="373"/>
      <c r="AN116" s="373"/>
      <c r="AO116" s="373"/>
      <c r="AP116" s="373"/>
      <c r="AQ116" s="373"/>
      <c r="AR116" s="373"/>
      <c r="AS116" s="373"/>
      <c r="AT116" s="373"/>
      <c r="AU116" s="373"/>
      <c r="AV116" s="373"/>
      <c r="AW116" s="373"/>
      <c r="AX116" s="373"/>
      <c r="AY116" s="373"/>
      <c r="AZ116" s="373"/>
      <c r="BA116" s="373"/>
      <c r="BB116" s="373"/>
      <c r="BC116" s="373"/>
      <c r="BD116" s="373"/>
      <c r="BE116" s="373"/>
      <c r="BF116" s="373"/>
      <c r="BG116" s="373"/>
      <c r="BH116" s="373"/>
      <c r="BI116" s="373"/>
      <c r="BJ116" s="373"/>
      <c r="BK116" s="373"/>
      <c r="BL116" s="373"/>
      <c r="BM116" s="373"/>
      <c r="BN116" s="373"/>
      <c r="BO116" s="373"/>
      <c r="BP116" s="373"/>
      <c r="BQ116" s="373"/>
      <c r="BR116" s="373"/>
      <c r="BS116" s="373"/>
      <c r="BT116" s="373"/>
      <c r="BU116" s="373"/>
      <c r="BV116" s="373"/>
      <c r="BW116" s="373"/>
      <c r="BX116" s="373"/>
      <c r="BY116" s="373"/>
      <c r="BZ116" s="373"/>
      <c r="CA116" s="373"/>
      <c r="CB116" s="373"/>
      <c r="CC116" s="373"/>
      <c r="CD116" s="373"/>
      <c r="CE116" s="373"/>
      <c r="CF116" s="373"/>
      <c r="CG116" s="373"/>
      <c r="CH116" s="373"/>
      <c r="CI116" s="373"/>
      <c r="CJ116" s="373"/>
      <c r="CK116" s="373"/>
      <c r="CL116" s="373"/>
      <c r="CM116" s="373"/>
      <c r="CN116" s="373"/>
      <c r="CO116" s="373"/>
      <c r="CP116" s="373"/>
      <c r="CQ116" s="373"/>
      <c r="CR116" s="373"/>
      <c r="CS116" s="373"/>
      <c r="CT116" s="373"/>
      <c r="CU116" s="373"/>
      <c r="CV116" s="373"/>
      <c r="CW116" s="373"/>
      <c r="CX116" s="373"/>
      <c r="CY116" s="373"/>
      <c r="CZ116" s="373"/>
      <c r="DA116" s="373"/>
      <c r="DB116" s="373"/>
      <c r="DC116" s="373"/>
      <c r="DD116" s="373"/>
      <c r="DE116" s="373"/>
      <c r="DF116" s="373"/>
      <c r="DG116" s="373"/>
      <c r="DH116" s="373"/>
      <c r="DI116" s="373"/>
      <c r="DJ116" s="373"/>
      <c r="DK116" s="373"/>
      <c r="DL116" s="373"/>
      <c r="DM116" s="373"/>
      <c r="DN116" s="373"/>
      <c r="DO116" s="373"/>
      <c r="DP116" s="373"/>
      <c r="DQ116" s="373"/>
      <c r="DR116" s="373"/>
      <c r="DS116" s="373"/>
      <c r="DT116" s="373"/>
      <c r="DU116" s="373"/>
      <c r="DV116" s="373"/>
      <c r="DW116" s="373"/>
      <c r="DX116" s="373"/>
      <c r="DY116" s="373"/>
      <c r="DZ116" s="373"/>
      <c r="EA116" s="373"/>
      <c r="EB116" s="373"/>
      <c r="EC116" s="373"/>
      <c r="ED116" s="373"/>
      <c r="EE116" s="373"/>
      <c r="EF116" s="373"/>
      <c r="EG116" s="373"/>
      <c r="EH116" s="373"/>
      <c r="EI116" s="373"/>
      <c r="EJ116" s="373"/>
      <c r="EK116" s="373"/>
      <c r="EL116" s="373"/>
      <c r="EM116" s="373"/>
      <c r="EN116" s="373"/>
      <c r="EO116" s="373"/>
      <c r="EP116" s="373"/>
      <c r="EQ116" s="373"/>
      <c r="ER116" s="373"/>
      <c r="ES116" s="373"/>
      <c r="ET116" s="373"/>
      <c r="EU116" s="373"/>
      <c r="EV116" s="373"/>
      <c r="EW116" s="373"/>
      <c r="EX116" s="373"/>
      <c r="EY116" s="373"/>
      <c r="EZ116" s="373"/>
      <c r="FA116" s="373"/>
      <c r="FB116" s="373"/>
      <c r="FC116" s="373"/>
      <c r="FD116" s="373"/>
      <c r="FE116" s="373"/>
      <c r="FF116" s="373"/>
      <c r="FG116" s="373"/>
      <c r="FH116" s="373"/>
      <c r="FI116" s="373"/>
      <c r="FJ116" s="373"/>
      <c r="FK116" s="373"/>
      <c r="FL116" s="373"/>
      <c r="FM116" s="373"/>
      <c r="FN116" s="373"/>
      <c r="FO116" s="373"/>
      <c r="FP116" s="373"/>
      <c r="FQ116" s="373"/>
      <c r="FR116" s="373"/>
      <c r="FS116" s="373"/>
      <c r="FT116" s="373"/>
      <c r="FU116" s="373"/>
      <c r="FV116" s="373"/>
      <c r="FW116" s="373"/>
      <c r="FX116" s="373"/>
      <c r="FY116" s="373"/>
      <c r="FZ116" s="373"/>
      <c r="GA116" s="373"/>
      <c r="GB116" s="373"/>
      <c r="GC116" s="373"/>
      <c r="GD116" s="373"/>
      <c r="GE116" s="373"/>
      <c r="GF116" s="373"/>
      <c r="GG116" s="373"/>
      <c r="GH116" s="373"/>
      <c r="GI116" s="373"/>
      <c r="GJ116" s="373"/>
      <c r="GK116" s="373"/>
      <c r="GL116" s="373"/>
      <c r="GM116" s="373"/>
      <c r="GN116" s="373"/>
      <c r="GO116" s="373"/>
      <c r="GP116" s="373"/>
      <c r="GQ116" s="373"/>
      <c r="GR116" s="373"/>
      <c r="GS116" s="373"/>
      <c r="GT116" s="373"/>
      <c r="GU116" s="373"/>
      <c r="GV116" s="373"/>
      <c r="GW116" s="373"/>
      <c r="GX116" s="373"/>
      <c r="GY116" s="373"/>
      <c r="GZ116" s="373"/>
      <c r="HA116" s="373"/>
      <c r="HB116" s="373"/>
      <c r="HC116" s="373"/>
      <c r="HD116" s="373"/>
      <c r="HE116" s="373"/>
      <c r="HF116" s="373"/>
      <c r="HG116" s="373"/>
      <c r="HH116" s="373"/>
      <c r="HI116" s="373"/>
      <c r="HJ116" s="373"/>
      <c r="HK116" s="373"/>
      <c r="HL116" s="373"/>
      <c r="HM116" s="373"/>
      <c r="HN116" s="373"/>
      <c r="HO116" s="373"/>
      <c r="HP116" s="373"/>
      <c r="HQ116" s="373"/>
      <c r="HR116" s="373"/>
      <c r="HS116" s="373"/>
      <c r="HT116" s="373"/>
      <c r="HU116" s="373"/>
      <c r="HV116" s="373"/>
      <c r="HW116" s="373"/>
      <c r="HX116" s="373"/>
      <c r="HY116" s="373"/>
      <c r="HZ116" s="373"/>
      <c r="IA116" s="373"/>
      <c r="IB116" s="373"/>
      <c r="IC116" s="373"/>
      <c r="ID116" s="373"/>
      <c r="IE116" s="373"/>
      <c r="IF116" s="373"/>
      <c r="IG116" s="373"/>
      <c r="IH116" s="373"/>
      <c r="II116" s="373"/>
      <c r="IJ116" s="373"/>
      <c r="IK116" s="373"/>
      <c r="IL116" s="373"/>
      <c r="IM116" s="373"/>
      <c r="IN116" s="373"/>
      <c r="IO116" s="373"/>
      <c r="IP116" s="373"/>
      <c r="IQ116" s="373"/>
      <c r="IR116" s="373"/>
      <c r="IS116" s="373"/>
      <c r="IT116" s="373"/>
      <c r="IU116" s="373"/>
      <c r="IV116" s="373"/>
    </row>
    <row r="117" spans="1:256" ht="14.25" x14ac:dyDescent="0.2">
      <c r="A117" s="239"/>
      <c r="B117" s="239"/>
      <c r="C117" s="239"/>
      <c r="D117" s="246" t="s">
        <v>195</v>
      </c>
      <c r="E117" s="246"/>
      <c r="F117" s="246"/>
      <c r="G117" s="246"/>
      <c r="H117" s="246"/>
      <c r="I117" s="247"/>
      <c r="J117" s="248">
        <f>I104</f>
        <v>8590.3700000000008</v>
      </c>
      <c r="K117" s="249"/>
      <c r="L117" s="248">
        <f>K104</f>
        <v>51345.95</v>
      </c>
      <c r="M117" s="374" t="e">
        <v>#REF!</v>
      </c>
      <c r="N117" s="373"/>
      <c r="O117" s="373"/>
      <c r="P117" s="373"/>
      <c r="Q117" s="373"/>
      <c r="R117" s="373"/>
      <c r="S117" s="373"/>
      <c r="T117" s="373"/>
      <c r="U117" s="373"/>
      <c r="V117" s="373"/>
      <c r="W117" s="373"/>
      <c r="X117" s="373"/>
      <c r="Y117" s="373"/>
      <c r="Z117" s="373"/>
      <c r="AA117" s="373"/>
      <c r="AB117" s="373"/>
      <c r="AC117" s="373"/>
      <c r="AD117" s="373"/>
      <c r="AE117" s="373"/>
      <c r="AF117" s="373"/>
      <c r="AG117" s="373"/>
      <c r="AH117" s="373"/>
      <c r="AI117" s="373"/>
      <c r="AJ117" s="373"/>
      <c r="AK117" s="373"/>
      <c r="AL117" s="373"/>
      <c r="AM117" s="373"/>
      <c r="AN117" s="373"/>
      <c r="AO117" s="373"/>
      <c r="AP117" s="373"/>
      <c r="AQ117" s="373"/>
      <c r="AR117" s="373"/>
      <c r="AS117" s="373"/>
      <c r="AT117" s="373"/>
      <c r="AU117" s="373"/>
      <c r="AV117" s="373"/>
      <c r="AW117" s="373"/>
      <c r="AX117" s="373"/>
      <c r="AY117" s="373"/>
      <c r="AZ117" s="373"/>
      <c r="BA117" s="373"/>
      <c r="BB117" s="373"/>
      <c r="BC117" s="373"/>
      <c r="BD117" s="373"/>
      <c r="BE117" s="373"/>
      <c r="BF117" s="373"/>
      <c r="BG117" s="373"/>
      <c r="BH117" s="373"/>
      <c r="BI117" s="373"/>
      <c r="BJ117" s="373"/>
      <c r="BK117" s="373"/>
      <c r="BL117" s="373"/>
      <c r="BM117" s="373"/>
      <c r="BN117" s="373"/>
      <c r="BO117" s="373"/>
      <c r="BP117" s="373"/>
      <c r="BQ117" s="373"/>
      <c r="BR117" s="373"/>
      <c r="BS117" s="373"/>
      <c r="BT117" s="373"/>
      <c r="BU117" s="373"/>
      <c r="BV117" s="373"/>
      <c r="BW117" s="373"/>
      <c r="BX117" s="373"/>
      <c r="BY117" s="373"/>
      <c r="BZ117" s="373"/>
      <c r="CA117" s="373"/>
      <c r="CB117" s="373"/>
      <c r="CC117" s="373"/>
      <c r="CD117" s="373"/>
      <c r="CE117" s="373"/>
      <c r="CF117" s="373"/>
      <c r="CG117" s="373"/>
      <c r="CH117" s="373"/>
      <c r="CI117" s="373"/>
      <c r="CJ117" s="373"/>
      <c r="CK117" s="373"/>
      <c r="CL117" s="373"/>
      <c r="CM117" s="373"/>
      <c r="CN117" s="373"/>
      <c r="CO117" s="373"/>
      <c r="CP117" s="373"/>
      <c r="CQ117" s="373"/>
      <c r="CR117" s="373"/>
      <c r="CS117" s="373"/>
      <c r="CT117" s="373"/>
      <c r="CU117" s="373"/>
      <c r="CV117" s="373"/>
      <c r="CW117" s="373"/>
      <c r="CX117" s="373"/>
      <c r="CY117" s="373"/>
      <c r="CZ117" s="373"/>
      <c r="DA117" s="373"/>
      <c r="DB117" s="373"/>
      <c r="DC117" s="373"/>
      <c r="DD117" s="373"/>
      <c r="DE117" s="373"/>
      <c r="DF117" s="373"/>
      <c r="DG117" s="373"/>
      <c r="DH117" s="373"/>
      <c r="DI117" s="373"/>
      <c r="DJ117" s="373"/>
      <c r="DK117" s="373"/>
      <c r="DL117" s="373"/>
      <c r="DM117" s="373"/>
      <c r="DN117" s="373"/>
      <c r="DO117" s="373"/>
      <c r="DP117" s="373"/>
      <c r="DQ117" s="373"/>
      <c r="DR117" s="373"/>
      <c r="DS117" s="373"/>
      <c r="DT117" s="373"/>
      <c r="DU117" s="373"/>
      <c r="DV117" s="373"/>
      <c r="DW117" s="373"/>
      <c r="DX117" s="373"/>
      <c r="DY117" s="373"/>
      <c r="DZ117" s="373"/>
      <c r="EA117" s="373"/>
      <c r="EB117" s="373"/>
      <c r="EC117" s="373"/>
      <c r="ED117" s="373"/>
      <c r="EE117" s="373"/>
      <c r="EF117" s="373"/>
      <c r="EG117" s="373"/>
      <c r="EH117" s="373"/>
      <c r="EI117" s="373"/>
      <c r="EJ117" s="373"/>
      <c r="EK117" s="373"/>
      <c r="EL117" s="373"/>
      <c r="EM117" s="373"/>
      <c r="EN117" s="373"/>
      <c r="EO117" s="373"/>
      <c r="EP117" s="373"/>
      <c r="EQ117" s="373"/>
      <c r="ER117" s="373"/>
      <c r="ES117" s="373"/>
      <c r="ET117" s="373"/>
      <c r="EU117" s="373"/>
      <c r="EV117" s="373"/>
      <c r="EW117" s="373"/>
      <c r="EX117" s="373"/>
      <c r="EY117" s="373"/>
      <c r="EZ117" s="373"/>
      <c r="FA117" s="373"/>
      <c r="FB117" s="373"/>
      <c r="FC117" s="373"/>
      <c r="FD117" s="373"/>
      <c r="FE117" s="373"/>
      <c r="FF117" s="373"/>
      <c r="FG117" s="373"/>
      <c r="FH117" s="373"/>
      <c r="FI117" s="373"/>
      <c r="FJ117" s="373"/>
      <c r="FK117" s="373"/>
      <c r="FL117" s="373"/>
      <c r="FM117" s="373"/>
      <c r="FN117" s="373"/>
      <c r="FO117" s="373"/>
      <c r="FP117" s="373"/>
      <c r="FQ117" s="373"/>
      <c r="FR117" s="373"/>
      <c r="FS117" s="373"/>
      <c r="FT117" s="373"/>
      <c r="FU117" s="373"/>
      <c r="FV117" s="373"/>
      <c r="FW117" s="373"/>
      <c r="FX117" s="373"/>
      <c r="FY117" s="373"/>
      <c r="FZ117" s="373"/>
      <c r="GA117" s="373"/>
      <c r="GB117" s="373"/>
      <c r="GC117" s="373"/>
      <c r="GD117" s="373"/>
      <c r="GE117" s="373"/>
      <c r="GF117" s="373"/>
      <c r="GG117" s="373"/>
      <c r="GH117" s="373"/>
      <c r="GI117" s="373"/>
      <c r="GJ117" s="373"/>
      <c r="GK117" s="373"/>
      <c r="GL117" s="373"/>
      <c r="GM117" s="373"/>
      <c r="GN117" s="373"/>
      <c r="GO117" s="373"/>
      <c r="GP117" s="373"/>
      <c r="GQ117" s="373"/>
      <c r="GR117" s="373"/>
      <c r="GS117" s="373"/>
      <c r="GT117" s="373"/>
      <c r="GU117" s="373"/>
      <c r="GV117" s="373"/>
      <c r="GW117" s="373"/>
      <c r="GX117" s="373"/>
      <c r="GY117" s="373"/>
      <c r="GZ117" s="373"/>
      <c r="HA117" s="373"/>
      <c r="HB117" s="373"/>
      <c r="HC117" s="373"/>
      <c r="HD117" s="373"/>
      <c r="HE117" s="373"/>
      <c r="HF117" s="373"/>
      <c r="HG117" s="373"/>
      <c r="HH117" s="373"/>
      <c r="HI117" s="373"/>
      <c r="HJ117" s="373"/>
      <c r="HK117" s="373"/>
      <c r="HL117" s="373"/>
      <c r="HM117" s="373"/>
      <c r="HN117" s="373"/>
      <c r="HO117" s="373"/>
      <c r="HP117" s="373"/>
      <c r="HQ117" s="373"/>
      <c r="HR117" s="373"/>
      <c r="HS117" s="373"/>
      <c r="HT117" s="373"/>
      <c r="HU117" s="373"/>
      <c r="HV117" s="373"/>
      <c r="HW117" s="373"/>
      <c r="HX117" s="373"/>
      <c r="HY117" s="373"/>
      <c r="HZ117" s="373"/>
      <c r="IA117" s="373"/>
      <c r="IB117" s="373"/>
      <c r="IC117" s="373"/>
      <c r="ID117" s="373"/>
      <c r="IE117" s="373"/>
      <c r="IF117" s="373"/>
      <c r="IG117" s="373"/>
      <c r="IH117" s="373"/>
      <c r="II117" s="373"/>
      <c r="IJ117" s="373"/>
      <c r="IK117" s="373"/>
      <c r="IL117" s="373"/>
      <c r="IM117" s="373"/>
      <c r="IN117" s="373"/>
      <c r="IO117" s="373"/>
      <c r="IP117" s="373"/>
      <c r="IQ117" s="373"/>
      <c r="IR117" s="373"/>
      <c r="IS117" s="373"/>
      <c r="IT117" s="373"/>
      <c r="IU117" s="373"/>
      <c r="IV117" s="373"/>
    </row>
    <row r="118" spans="1:256" ht="14.25" x14ac:dyDescent="0.2">
      <c r="A118" s="250"/>
      <c r="B118" s="250"/>
      <c r="C118" s="250"/>
      <c r="D118" s="251" t="s">
        <v>157</v>
      </c>
      <c r="E118" s="251"/>
      <c r="F118" s="251"/>
      <c r="G118" s="251"/>
      <c r="H118" s="251"/>
      <c r="I118" s="252"/>
      <c r="J118" s="253">
        <v>0</v>
      </c>
      <c r="K118" s="254"/>
      <c r="L118" s="253">
        <v>0</v>
      </c>
      <c r="M118" s="374"/>
      <c r="N118" s="376"/>
      <c r="O118" s="376"/>
      <c r="P118" s="376"/>
      <c r="Q118" s="376"/>
      <c r="R118" s="376"/>
      <c r="S118" s="376"/>
      <c r="T118" s="376"/>
      <c r="U118" s="376"/>
      <c r="V118" s="376"/>
      <c r="W118" s="376"/>
      <c r="X118" s="376"/>
      <c r="Y118" s="376"/>
      <c r="Z118" s="376"/>
      <c r="AA118" s="376"/>
      <c r="AB118" s="376"/>
      <c r="AC118" s="376"/>
      <c r="AD118" s="376"/>
      <c r="AE118" s="376"/>
      <c r="AF118" s="376"/>
      <c r="AG118" s="376"/>
      <c r="AH118" s="376"/>
      <c r="AI118" s="376"/>
      <c r="AJ118" s="376"/>
      <c r="AK118" s="376"/>
      <c r="AL118" s="376"/>
      <c r="AM118" s="376"/>
      <c r="AN118" s="376"/>
      <c r="AO118" s="376"/>
      <c r="AP118" s="376"/>
      <c r="AQ118" s="376"/>
      <c r="AR118" s="376"/>
      <c r="AS118" s="376"/>
      <c r="AT118" s="376"/>
      <c r="AU118" s="376"/>
      <c r="AV118" s="376"/>
      <c r="AW118" s="376"/>
      <c r="AX118" s="376"/>
      <c r="AY118" s="376"/>
      <c r="AZ118" s="376"/>
      <c r="BA118" s="376"/>
      <c r="BB118" s="376"/>
      <c r="BC118" s="376"/>
      <c r="BD118" s="376"/>
      <c r="BE118" s="376"/>
      <c r="BF118" s="376"/>
      <c r="BG118" s="376"/>
      <c r="BH118" s="376"/>
      <c r="BI118" s="376"/>
      <c r="BJ118" s="376"/>
      <c r="BK118" s="376"/>
      <c r="BL118" s="376"/>
      <c r="BM118" s="376"/>
      <c r="BN118" s="376"/>
      <c r="BO118" s="376"/>
      <c r="BP118" s="376"/>
      <c r="BQ118" s="376"/>
      <c r="BR118" s="376"/>
      <c r="BS118" s="376"/>
      <c r="BT118" s="376"/>
      <c r="BU118" s="376"/>
      <c r="BV118" s="376"/>
      <c r="BW118" s="376"/>
      <c r="BX118" s="376"/>
      <c r="BY118" s="376"/>
      <c r="BZ118" s="376"/>
      <c r="CA118" s="376"/>
      <c r="CB118" s="376"/>
      <c r="CC118" s="376"/>
      <c r="CD118" s="376"/>
      <c r="CE118" s="376"/>
      <c r="CF118" s="376"/>
      <c r="CG118" s="376"/>
      <c r="CH118" s="376"/>
      <c r="CI118" s="376"/>
      <c r="CJ118" s="376"/>
      <c r="CK118" s="376"/>
      <c r="CL118" s="376"/>
      <c r="CM118" s="376"/>
      <c r="CN118" s="376"/>
      <c r="CO118" s="376"/>
      <c r="CP118" s="376"/>
      <c r="CQ118" s="376"/>
      <c r="CR118" s="376"/>
      <c r="CS118" s="376"/>
      <c r="CT118" s="376"/>
      <c r="CU118" s="376"/>
      <c r="CV118" s="376"/>
      <c r="CW118" s="376"/>
      <c r="CX118" s="376"/>
      <c r="CY118" s="376"/>
      <c r="CZ118" s="376"/>
      <c r="DA118" s="376"/>
      <c r="DB118" s="376"/>
      <c r="DC118" s="376"/>
      <c r="DD118" s="376"/>
      <c r="DE118" s="376"/>
      <c r="DF118" s="376"/>
      <c r="DG118" s="376"/>
      <c r="DH118" s="376"/>
      <c r="DI118" s="376"/>
      <c r="DJ118" s="376"/>
      <c r="DK118" s="376"/>
      <c r="DL118" s="376"/>
      <c r="DM118" s="376"/>
      <c r="DN118" s="376"/>
      <c r="DO118" s="376"/>
      <c r="DP118" s="376"/>
      <c r="DQ118" s="376"/>
      <c r="DR118" s="376"/>
      <c r="DS118" s="376"/>
      <c r="DT118" s="376"/>
      <c r="DU118" s="376"/>
      <c r="DV118" s="376"/>
      <c r="DW118" s="376"/>
      <c r="DX118" s="376"/>
      <c r="DY118" s="376"/>
      <c r="DZ118" s="376"/>
      <c r="EA118" s="376"/>
      <c r="EB118" s="376"/>
      <c r="EC118" s="376"/>
      <c r="ED118" s="376"/>
      <c r="EE118" s="376"/>
      <c r="EF118" s="376"/>
      <c r="EG118" s="376"/>
      <c r="EH118" s="376"/>
      <c r="EI118" s="376"/>
      <c r="EJ118" s="376"/>
      <c r="EK118" s="376"/>
      <c r="EL118" s="376"/>
      <c r="EM118" s="376"/>
      <c r="EN118" s="376"/>
      <c r="EO118" s="376"/>
      <c r="EP118" s="376"/>
      <c r="EQ118" s="376"/>
      <c r="ER118" s="376"/>
      <c r="ES118" s="376"/>
      <c r="ET118" s="376"/>
      <c r="EU118" s="376"/>
      <c r="EV118" s="376"/>
      <c r="EW118" s="376"/>
      <c r="EX118" s="376"/>
      <c r="EY118" s="376"/>
      <c r="EZ118" s="376"/>
      <c r="FA118" s="376"/>
      <c r="FB118" s="376"/>
      <c r="FC118" s="376"/>
      <c r="FD118" s="376"/>
      <c r="FE118" s="376"/>
      <c r="FF118" s="376"/>
      <c r="FG118" s="376"/>
      <c r="FH118" s="376"/>
      <c r="FI118" s="376"/>
      <c r="FJ118" s="376"/>
      <c r="FK118" s="376"/>
      <c r="FL118" s="376"/>
      <c r="FM118" s="376"/>
      <c r="FN118" s="376"/>
      <c r="FO118" s="376"/>
      <c r="FP118" s="376"/>
      <c r="FQ118" s="376"/>
      <c r="FR118" s="376"/>
      <c r="FS118" s="376"/>
      <c r="FT118" s="376"/>
      <c r="FU118" s="376"/>
      <c r="FV118" s="376"/>
      <c r="FW118" s="376"/>
      <c r="FX118" s="376"/>
      <c r="FY118" s="376"/>
      <c r="FZ118" s="376"/>
      <c r="GA118" s="376"/>
      <c r="GB118" s="376"/>
      <c r="GC118" s="376"/>
      <c r="GD118" s="376"/>
      <c r="GE118" s="376"/>
      <c r="GF118" s="376"/>
      <c r="GG118" s="376"/>
      <c r="GH118" s="376"/>
      <c r="GI118" s="376"/>
      <c r="GJ118" s="376"/>
      <c r="GK118" s="376"/>
      <c r="GL118" s="376"/>
      <c r="GM118" s="376"/>
      <c r="GN118" s="376"/>
      <c r="GO118" s="376"/>
      <c r="GP118" s="376"/>
      <c r="GQ118" s="376"/>
      <c r="GR118" s="376"/>
      <c r="GS118" s="376"/>
      <c r="GT118" s="376"/>
      <c r="GU118" s="376"/>
      <c r="GV118" s="376"/>
      <c r="GW118" s="376"/>
      <c r="GX118" s="376"/>
      <c r="GY118" s="376"/>
      <c r="GZ118" s="376"/>
      <c r="HA118" s="376"/>
      <c r="HB118" s="376"/>
      <c r="HC118" s="376"/>
      <c r="HD118" s="376"/>
      <c r="HE118" s="376"/>
      <c r="HF118" s="376"/>
      <c r="HG118" s="376"/>
      <c r="HH118" s="376"/>
      <c r="HI118" s="376"/>
      <c r="HJ118" s="376"/>
      <c r="HK118" s="376"/>
      <c r="HL118" s="376"/>
      <c r="HM118" s="376"/>
      <c r="HN118" s="376"/>
      <c r="HO118" s="376"/>
      <c r="HP118" s="376"/>
      <c r="HQ118" s="376"/>
      <c r="HR118" s="376"/>
      <c r="HS118" s="376"/>
      <c r="HT118" s="376"/>
      <c r="HU118" s="376"/>
      <c r="HV118" s="376"/>
      <c r="HW118" s="376"/>
      <c r="HX118" s="376"/>
      <c r="HY118" s="376"/>
      <c r="HZ118" s="376"/>
      <c r="IA118" s="376"/>
      <c r="IB118" s="376"/>
      <c r="IC118" s="376"/>
      <c r="ID118" s="376"/>
      <c r="IE118" s="376"/>
      <c r="IF118" s="376"/>
      <c r="IG118" s="376"/>
      <c r="IH118" s="376"/>
      <c r="II118" s="376"/>
      <c r="IJ118" s="376"/>
      <c r="IK118" s="376"/>
      <c r="IL118" s="376"/>
      <c r="IM118" s="376"/>
      <c r="IN118" s="376"/>
      <c r="IO118" s="376"/>
      <c r="IP118" s="376"/>
      <c r="IQ118" s="376"/>
      <c r="IR118" s="376"/>
      <c r="IS118" s="376"/>
      <c r="IT118" s="376"/>
      <c r="IU118" s="376"/>
      <c r="IV118" s="376"/>
    </row>
    <row r="119" spans="1:256" ht="15" x14ac:dyDescent="0.25">
      <c r="A119" s="237"/>
      <c r="B119" s="237"/>
      <c r="C119" s="237"/>
      <c r="D119" s="377" t="s">
        <v>196</v>
      </c>
      <c r="E119" s="377"/>
      <c r="F119" s="377"/>
      <c r="G119" s="377"/>
      <c r="H119" s="377"/>
      <c r="I119" s="377"/>
      <c r="J119" s="378">
        <f>J116*15%</f>
        <v>6.46</v>
      </c>
      <c r="K119" s="378"/>
      <c r="L119" s="378">
        <f>L116*15%</f>
        <v>156.43</v>
      </c>
      <c r="M119" s="370">
        <v>3502.96</v>
      </c>
      <c r="N119" s="371"/>
      <c r="O119" s="371"/>
      <c r="P119" s="371"/>
      <c r="Q119" s="371"/>
      <c r="R119" s="371"/>
      <c r="S119" s="371"/>
      <c r="T119" s="371"/>
      <c r="U119" s="371"/>
      <c r="V119" s="371"/>
      <c r="W119" s="371"/>
      <c r="X119" s="371"/>
      <c r="Y119" s="371"/>
      <c r="Z119" s="371"/>
      <c r="AA119" s="371"/>
      <c r="AB119" s="371"/>
      <c r="AC119" s="371"/>
      <c r="AD119" s="371"/>
      <c r="AE119" s="371"/>
      <c r="AF119" s="371"/>
      <c r="AG119" s="371"/>
      <c r="AH119" s="371"/>
      <c r="AI119" s="371"/>
      <c r="AJ119" s="371"/>
      <c r="AK119" s="371"/>
      <c r="AL119" s="371"/>
      <c r="AM119" s="371"/>
      <c r="AN119" s="371"/>
      <c r="AO119" s="371"/>
      <c r="AP119" s="371"/>
      <c r="AQ119" s="371"/>
      <c r="AR119" s="371"/>
      <c r="AS119" s="371"/>
      <c r="AT119" s="371"/>
      <c r="AU119" s="371"/>
      <c r="AV119" s="371"/>
      <c r="AW119" s="371"/>
      <c r="AX119" s="371"/>
      <c r="AY119" s="371"/>
      <c r="AZ119" s="371"/>
      <c r="BA119" s="371"/>
      <c r="BB119" s="371"/>
      <c r="BC119" s="371"/>
      <c r="BD119" s="371"/>
      <c r="BE119" s="371"/>
      <c r="BF119" s="371"/>
      <c r="BG119" s="371"/>
      <c r="BH119" s="371"/>
      <c r="BI119" s="371"/>
      <c r="BJ119" s="371"/>
      <c r="BK119" s="371"/>
      <c r="BL119" s="371"/>
      <c r="BM119" s="371"/>
      <c r="BN119" s="371"/>
      <c r="BO119" s="371"/>
      <c r="BP119" s="371"/>
      <c r="BQ119" s="371"/>
      <c r="BR119" s="371"/>
      <c r="BS119" s="371"/>
      <c r="BT119" s="371"/>
      <c r="BU119" s="371"/>
      <c r="BV119" s="371"/>
      <c r="BW119" s="371"/>
      <c r="BX119" s="371"/>
      <c r="BY119" s="371"/>
      <c r="BZ119" s="371"/>
      <c r="CA119" s="371"/>
      <c r="CB119" s="371"/>
      <c r="CC119" s="371"/>
      <c r="CD119" s="371"/>
      <c r="CE119" s="371"/>
      <c r="CF119" s="371"/>
      <c r="CG119" s="371"/>
      <c r="CH119" s="371"/>
      <c r="CI119" s="371"/>
      <c r="CJ119" s="371"/>
      <c r="CK119" s="371"/>
      <c r="CL119" s="371"/>
      <c r="CM119" s="371"/>
      <c r="CN119" s="371"/>
      <c r="CO119" s="371"/>
      <c r="CP119" s="371"/>
      <c r="CQ119" s="371"/>
      <c r="CR119" s="371"/>
      <c r="CS119" s="371"/>
      <c r="CT119" s="371"/>
      <c r="CU119" s="371"/>
      <c r="CV119" s="371"/>
      <c r="CW119" s="371"/>
      <c r="CX119" s="371"/>
      <c r="CY119" s="371"/>
      <c r="CZ119" s="371"/>
      <c r="DA119" s="371"/>
      <c r="DB119" s="371"/>
      <c r="DC119" s="371"/>
      <c r="DD119" s="371"/>
      <c r="DE119" s="371"/>
      <c r="DF119" s="371"/>
      <c r="DG119" s="371"/>
      <c r="DH119" s="371"/>
      <c r="DI119" s="371"/>
      <c r="DJ119" s="371"/>
      <c r="DK119" s="371"/>
      <c r="DL119" s="371"/>
      <c r="DM119" s="371"/>
      <c r="DN119" s="371"/>
      <c r="DO119" s="371"/>
      <c r="DP119" s="371"/>
      <c r="DQ119" s="371"/>
      <c r="DR119" s="371"/>
      <c r="DS119" s="371"/>
      <c r="DT119" s="371"/>
      <c r="DU119" s="371"/>
      <c r="DV119" s="371"/>
      <c r="DW119" s="371"/>
      <c r="DX119" s="371"/>
      <c r="DY119" s="371"/>
      <c r="DZ119" s="371"/>
      <c r="EA119" s="371"/>
      <c r="EB119" s="371"/>
      <c r="EC119" s="371"/>
      <c r="ED119" s="371"/>
      <c r="EE119" s="371"/>
      <c r="EF119" s="371"/>
      <c r="EG119" s="371"/>
      <c r="EH119" s="371"/>
      <c r="EI119" s="371"/>
      <c r="EJ119" s="371"/>
      <c r="EK119" s="371"/>
      <c r="EL119" s="371"/>
      <c r="EM119" s="371"/>
      <c r="EN119" s="371"/>
      <c r="EO119" s="371"/>
      <c r="EP119" s="371"/>
      <c r="EQ119" s="371"/>
      <c r="ER119" s="371"/>
      <c r="ES119" s="371"/>
      <c r="ET119" s="371"/>
      <c r="EU119" s="371"/>
      <c r="EV119" s="371"/>
      <c r="EW119" s="371"/>
      <c r="EX119" s="371"/>
      <c r="EY119" s="371"/>
      <c r="EZ119" s="371"/>
      <c r="FA119" s="371"/>
      <c r="FB119" s="371"/>
      <c r="FC119" s="371"/>
      <c r="FD119" s="371"/>
      <c r="FE119" s="371"/>
      <c r="FF119" s="371"/>
      <c r="FG119" s="371"/>
      <c r="FH119" s="371"/>
      <c r="FI119" s="371"/>
      <c r="FJ119" s="371"/>
      <c r="FK119" s="371"/>
      <c r="FL119" s="371"/>
      <c r="FM119" s="371"/>
      <c r="FN119" s="371"/>
      <c r="FO119" s="371"/>
      <c r="FP119" s="371"/>
      <c r="FQ119" s="371"/>
      <c r="FR119" s="371"/>
      <c r="FS119" s="371"/>
      <c r="FT119" s="371"/>
      <c r="FU119" s="371"/>
      <c r="FV119" s="371"/>
      <c r="FW119" s="371"/>
      <c r="FX119" s="371"/>
      <c r="FY119" s="371"/>
      <c r="FZ119" s="371"/>
      <c r="GA119" s="371"/>
      <c r="GB119" s="371"/>
      <c r="GC119" s="371"/>
      <c r="GD119" s="371"/>
      <c r="GE119" s="371"/>
      <c r="GF119" s="371"/>
      <c r="GG119" s="371"/>
      <c r="GH119" s="371"/>
      <c r="GI119" s="371"/>
      <c r="GJ119" s="371"/>
      <c r="GK119" s="371"/>
      <c r="GL119" s="371"/>
      <c r="GM119" s="371"/>
      <c r="GN119" s="371"/>
      <c r="GO119" s="371"/>
      <c r="GP119" s="371"/>
      <c r="GQ119" s="371"/>
      <c r="GR119" s="371"/>
      <c r="GS119" s="371"/>
      <c r="GT119" s="371"/>
      <c r="GU119" s="371"/>
      <c r="GV119" s="371"/>
      <c r="GW119" s="371"/>
      <c r="GX119" s="371"/>
      <c r="GY119" s="371"/>
      <c r="GZ119" s="371"/>
      <c r="HA119" s="371"/>
      <c r="HB119" s="371"/>
      <c r="HC119" s="371"/>
      <c r="HD119" s="371"/>
      <c r="HE119" s="371"/>
      <c r="HF119" s="371"/>
      <c r="HG119" s="371"/>
      <c r="HH119" s="371"/>
      <c r="HI119" s="371"/>
      <c r="HJ119" s="371"/>
      <c r="HK119" s="371"/>
      <c r="HL119" s="371"/>
      <c r="HM119" s="371"/>
      <c r="HN119" s="371"/>
      <c r="HO119" s="371"/>
      <c r="HP119" s="371"/>
      <c r="HQ119" s="371"/>
      <c r="HR119" s="371"/>
      <c r="HS119" s="371"/>
      <c r="HT119" s="371"/>
      <c r="HU119" s="371"/>
      <c r="HV119" s="371"/>
      <c r="HW119" s="371"/>
      <c r="HX119" s="371"/>
      <c r="HY119" s="371"/>
      <c r="HZ119" s="371"/>
      <c r="IA119" s="371"/>
      <c r="IB119" s="371"/>
      <c r="IC119" s="371"/>
      <c r="ID119" s="371"/>
      <c r="IE119" s="371"/>
      <c r="IF119" s="371"/>
      <c r="IG119" s="371"/>
      <c r="IH119" s="371"/>
      <c r="II119" s="371"/>
      <c r="IJ119" s="371"/>
      <c r="IK119" s="371"/>
      <c r="IL119" s="371"/>
      <c r="IM119" s="371"/>
      <c r="IN119" s="371"/>
      <c r="IO119" s="371"/>
      <c r="IP119" s="371"/>
      <c r="IQ119" s="371"/>
      <c r="IR119" s="371"/>
      <c r="IS119" s="371"/>
      <c r="IT119" s="371"/>
      <c r="IU119" s="371"/>
      <c r="IV119" s="371"/>
    </row>
    <row r="120" spans="1:256" ht="14.25" x14ac:dyDescent="0.2">
      <c r="A120" s="237"/>
      <c r="B120" s="237"/>
      <c r="C120" s="237"/>
      <c r="D120" s="379" t="s">
        <v>197</v>
      </c>
      <c r="E120" s="380"/>
      <c r="F120" s="380"/>
      <c r="G120" s="380"/>
      <c r="H120" s="380"/>
      <c r="I120" s="380"/>
      <c r="J120" s="381">
        <f>J114+J119</f>
        <v>8736.6299999999992</v>
      </c>
      <c r="K120" s="381"/>
      <c r="L120" s="381">
        <f>L114+L119</f>
        <v>54080.52</v>
      </c>
      <c r="M120" s="370" t="e">
        <v>#REF!</v>
      </c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  <c r="X120" s="371"/>
      <c r="Y120" s="371"/>
      <c r="Z120" s="371"/>
      <c r="AA120" s="371"/>
      <c r="AB120" s="371"/>
      <c r="AC120" s="371"/>
      <c r="AD120" s="371"/>
      <c r="AE120" s="371"/>
      <c r="AF120" s="371"/>
      <c r="AG120" s="371"/>
      <c r="AH120" s="371"/>
      <c r="AI120" s="371"/>
      <c r="AJ120" s="371"/>
      <c r="AK120" s="371"/>
      <c r="AL120" s="371"/>
      <c r="AM120" s="371"/>
      <c r="AN120" s="371"/>
      <c r="AO120" s="371"/>
      <c r="AP120" s="371"/>
      <c r="AQ120" s="371"/>
      <c r="AR120" s="371"/>
      <c r="AS120" s="371"/>
      <c r="AT120" s="371"/>
      <c r="AU120" s="371"/>
      <c r="AV120" s="371"/>
      <c r="AW120" s="371"/>
      <c r="AX120" s="371"/>
      <c r="AY120" s="371"/>
      <c r="AZ120" s="371"/>
      <c r="BA120" s="371"/>
      <c r="BB120" s="371"/>
      <c r="BC120" s="371"/>
      <c r="BD120" s="371"/>
      <c r="BE120" s="371"/>
      <c r="BF120" s="371"/>
      <c r="BG120" s="371"/>
      <c r="BH120" s="371"/>
      <c r="BI120" s="371"/>
      <c r="BJ120" s="371"/>
      <c r="BK120" s="371"/>
      <c r="BL120" s="371"/>
      <c r="BM120" s="371"/>
      <c r="BN120" s="371"/>
      <c r="BO120" s="371"/>
      <c r="BP120" s="371"/>
      <c r="BQ120" s="371"/>
      <c r="BR120" s="371"/>
      <c r="BS120" s="371"/>
      <c r="BT120" s="371"/>
      <c r="BU120" s="371"/>
      <c r="BV120" s="371"/>
      <c r="BW120" s="371"/>
      <c r="BX120" s="371"/>
      <c r="BY120" s="371"/>
      <c r="BZ120" s="371"/>
      <c r="CA120" s="371"/>
      <c r="CB120" s="371"/>
      <c r="CC120" s="371"/>
      <c r="CD120" s="371"/>
      <c r="CE120" s="371"/>
      <c r="CF120" s="371"/>
      <c r="CG120" s="371"/>
      <c r="CH120" s="371"/>
      <c r="CI120" s="371"/>
      <c r="CJ120" s="371"/>
      <c r="CK120" s="371"/>
      <c r="CL120" s="371"/>
      <c r="CM120" s="371"/>
      <c r="CN120" s="371"/>
      <c r="CO120" s="371"/>
      <c r="CP120" s="371"/>
      <c r="CQ120" s="371"/>
      <c r="CR120" s="371"/>
      <c r="CS120" s="371"/>
      <c r="CT120" s="371"/>
      <c r="CU120" s="371"/>
      <c r="CV120" s="371"/>
      <c r="CW120" s="371"/>
      <c r="CX120" s="371"/>
      <c r="CY120" s="371"/>
      <c r="CZ120" s="371"/>
      <c r="DA120" s="371"/>
      <c r="DB120" s="371"/>
      <c r="DC120" s="371"/>
      <c r="DD120" s="371"/>
      <c r="DE120" s="371"/>
      <c r="DF120" s="371"/>
      <c r="DG120" s="371"/>
      <c r="DH120" s="371"/>
      <c r="DI120" s="371"/>
      <c r="DJ120" s="371"/>
      <c r="DK120" s="371"/>
      <c r="DL120" s="371"/>
      <c r="DM120" s="371"/>
      <c r="DN120" s="371"/>
      <c r="DO120" s="371"/>
      <c r="DP120" s="371"/>
      <c r="DQ120" s="371"/>
      <c r="DR120" s="371"/>
      <c r="DS120" s="371"/>
      <c r="DT120" s="371"/>
      <c r="DU120" s="371"/>
      <c r="DV120" s="371"/>
      <c r="DW120" s="371"/>
      <c r="DX120" s="371"/>
      <c r="DY120" s="371"/>
      <c r="DZ120" s="371"/>
      <c r="EA120" s="371"/>
      <c r="EB120" s="371"/>
      <c r="EC120" s="371"/>
      <c r="ED120" s="371"/>
      <c r="EE120" s="371"/>
      <c r="EF120" s="371"/>
      <c r="EG120" s="371"/>
      <c r="EH120" s="371"/>
      <c r="EI120" s="371"/>
      <c r="EJ120" s="371"/>
      <c r="EK120" s="371"/>
      <c r="EL120" s="371"/>
      <c r="EM120" s="371"/>
      <c r="EN120" s="371"/>
      <c r="EO120" s="371"/>
      <c r="EP120" s="371"/>
      <c r="EQ120" s="371"/>
      <c r="ER120" s="371"/>
      <c r="ES120" s="371"/>
      <c r="ET120" s="371"/>
      <c r="EU120" s="371"/>
      <c r="EV120" s="371"/>
      <c r="EW120" s="371"/>
      <c r="EX120" s="371"/>
      <c r="EY120" s="371"/>
      <c r="EZ120" s="371"/>
      <c r="FA120" s="371"/>
      <c r="FB120" s="371"/>
      <c r="FC120" s="371"/>
      <c r="FD120" s="371"/>
      <c r="FE120" s="371"/>
      <c r="FF120" s="371"/>
      <c r="FG120" s="371"/>
      <c r="FH120" s="371"/>
      <c r="FI120" s="371"/>
      <c r="FJ120" s="371"/>
      <c r="FK120" s="371"/>
      <c r="FL120" s="371"/>
      <c r="FM120" s="371"/>
      <c r="FN120" s="371"/>
      <c r="FO120" s="371"/>
      <c r="FP120" s="371"/>
      <c r="FQ120" s="371"/>
      <c r="FR120" s="371"/>
      <c r="FS120" s="371"/>
      <c r="FT120" s="371"/>
      <c r="FU120" s="371"/>
      <c r="FV120" s="371"/>
      <c r="FW120" s="371"/>
      <c r="FX120" s="371"/>
      <c r="FY120" s="371"/>
      <c r="FZ120" s="371"/>
      <c r="GA120" s="371"/>
      <c r="GB120" s="371"/>
      <c r="GC120" s="371"/>
      <c r="GD120" s="371"/>
      <c r="GE120" s="371"/>
      <c r="GF120" s="371"/>
      <c r="GG120" s="371"/>
      <c r="GH120" s="371"/>
      <c r="GI120" s="371"/>
      <c r="GJ120" s="371"/>
      <c r="GK120" s="371"/>
      <c r="GL120" s="371"/>
      <c r="GM120" s="371"/>
      <c r="GN120" s="371"/>
      <c r="GO120" s="371"/>
      <c r="GP120" s="371"/>
      <c r="GQ120" s="371"/>
      <c r="GR120" s="371"/>
      <c r="GS120" s="371"/>
      <c r="GT120" s="371"/>
      <c r="GU120" s="371"/>
      <c r="GV120" s="371"/>
      <c r="GW120" s="371"/>
      <c r="GX120" s="371"/>
      <c r="GY120" s="371"/>
      <c r="GZ120" s="371"/>
      <c r="HA120" s="371"/>
      <c r="HB120" s="371"/>
      <c r="HC120" s="371"/>
      <c r="HD120" s="371"/>
      <c r="HE120" s="371"/>
      <c r="HF120" s="371"/>
      <c r="HG120" s="371"/>
      <c r="HH120" s="371"/>
      <c r="HI120" s="371"/>
      <c r="HJ120" s="371"/>
      <c r="HK120" s="371"/>
      <c r="HL120" s="371"/>
      <c r="HM120" s="371"/>
      <c r="HN120" s="371"/>
      <c r="HO120" s="371"/>
      <c r="HP120" s="371"/>
      <c r="HQ120" s="371"/>
      <c r="HR120" s="371"/>
      <c r="HS120" s="371"/>
      <c r="HT120" s="371"/>
      <c r="HU120" s="371"/>
      <c r="HV120" s="371"/>
      <c r="HW120" s="371"/>
      <c r="HX120" s="371"/>
      <c r="HY120" s="371"/>
      <c r="HZ120" s="371"/>
      <c r="IA120" s="371"/>
      <c r="IB120" s="371"/>
      <c r="IC120" s="371"/>
      <c r="ID120" s="371"/>
      <c r="IE120" s="371"/>
      <c r="IF120" s="371"/>
      <c r="IG120" s="371"/>
      <c r="IH120" s="371"/>
      <c r="II120" s="371"/>
      <c r="IJ120" s="371"/>
      <c r="IK120" s="371"/>
      <c r="IL120" s="371"/>
      <c r="IM120" s="371"/>
      <c r="IN120" s="371"/>
      <c r="IO120" s="371"/>
      <c r="IP120" s="371"/>
      <c r="IQ120" s="371"/>
      <c r="IR120" s="371"/>
      <c r="IS120" s="371"/>
      <c r="IT120" s="371"/>
      <c r="IU120" s="371"/>
      <c r="IV120" s="371"/>
    </row>
    <row r="121" spans="1:256" ht="14.25" x14ac:dyDescent="0.2">
      <c r="A121" s="241"/>
      <c r="B121" s="241"/>
      <c r="C121" s="241"/>
      <c r="D121" s="241"/>
      <c r="E121" s="241"/>
      <c r="F121" s="241"/>
      <c r="G121" s="241"/>
      <c r="H121" s="241"/>
      <c r="I121" s="241"/>
      <c r="J121" s="241"/>
      <c r="K121" s="241"/>
      <c r="L121" s="241"/>
      <c r="M121" s="374"/>
      <c r="N121" s="375"/>
      <c r="O121" s="375"/>
      <c r="P121" s="375"/>
      <c r="Q121" s="375"/>
      <c r="R121" s="375"/>
      <c r="S121" s="375"/>
      <c r="T121" s="375"/>
      <c r="U121" s="375"/>
      <c r="V121" s="375"/>
      <c r="W121" s="375"/>
      <c r="X121" s="375"/>
      <c r="Y121" s="375"/>
      <c r="Z121" s="375"/>
      <c r="AA121" s="375"/>
      <c r="AB121" s="375"/>
      <c r="AC121" s="375"/>
      <c r="AD121" s="375"/>
      <c r="AE121" s="375"/>
      <c r="AF121" s="375"/>
      <c r="AG121" s="375"/>
      <c r="AH121" s="375"/>
      <c r="AI121" s="375"/>
      <c r="AJ121" s="375"/>
      <c r="AK121" s="375"/>
      <c r="AL121" s="375"/>
      <c r="AM121" s="375"/>
      <c r="AN121" s="375"/>
      <c r="AO121" s="375"/>
      <c r="AP121" s="375"/>
      <c r="AQ121" s="375"/>
      <c r="AR121" s="375"/>
      <c r="AS121" s="375"/>
      <c r="AT121" s="375"/>
      <c r="AU121" s="375"/>
      <c r="AV121" s="375"/>
      <c r="AW121" s="375"/>
      <c r="AX121" s="375"/>
      <c r="AY121" s="375"/>
      <c r="AZ121" s="375"/>
      <c r="BA121" s="375"/>
      <c r="BB121" s="375"/>
      <c r="BC121" s="375"/>
      <c r="BD121" s="375"/>
      <c r="BE121" s="375"/>
      <c r="BF121" s="375"/>
      <c r="BG121" s="375"/>
      <c r="BH121" s="375"/>
      <c r="BI121" s="375"/>
      <c r="BJ121" s="375"/>
      <c r="BK121" s="375"/>
      <c r="BL121" s="375"/>
      <c r="BM121" s="375"/>
      <c r="BN121" s="375"/>
      <c r="BO121" s="375"/>
      <c r="BP121" s="375"/>
      <c r="BQ121" s="375"/>
      <c r="BR121" s="375"/>
      <c r="BS121" s="375"/>
      <c r="BT121" s="375"/>
      <c r="BU121" s="375"/>
      <c r="BV121" s="375"/>
      <c r="BW121" s="375"/>
      <c r="BX121" s="375"/>
      <c r="BY121" s="375"/>
      <c r="BZ121" s="375"/>
      <c r="CA121" s="375"/>
      <c r="CB121" s="375"/>
      <c r="CC121" s="375"/>
      <c r="CD121" s="375"/>
      <c r="CE121" s="375"/>
      <c r="CF121" s="375"/>
      <c r="CG121" s="375"/>
      <c r="CH121" s="375"/>
      <c r="CI121" s="375"/>
      <c r="CJ121" s="375"/>
      <c r="CK121" s="375"/>
      <c r="CL121" s="375"/>
      <c r="CM121" s="375"/>
      <c r="CN121" s="375"/>
      <c r="CO121" s="375"/>
      <c r="CP121" s="375"/>
      <c r="CQ121" s="375"/>
      <c r="CR121" s="375"/>
      <c r="CS121" s="375"/>
      <c r="CT121" s="375"/>
      <c r="CU121" s="375"/>
      <c r="CV121" s="375"/>
      <c r="CW121" s="375"/>
      <c r="CX121" s="375"/>
      <c r="CY121" s="375"/>
      <c r="CZ121" s="375"/>
      <c r="DA121" s="375"/>
      <c r="DB121" s="375"/>
      <c r="DC121" s="375"/>
      <c r="DD121" s="375"/>
      <c r="DE121" s="375"/>
      <c r="DF121" s="375"/>
      <c r="DG121" s="375"/>
      <c r="DH121" s="375"/>
      <c r="DI121" s="375"/>
      <c r="DJ121" s="375"/>
      <c r="DK121" s="375"/>
      <c r="DL121" s="375"/>
      <c r="DM121" s="375"/>
      <c r="DN121" s="375"/>
      <c r="DO121" s="375"/>
      <c r="DP121" s="375"/>
      <c r="DQ121" s="375"/>
      <c r="DR121" s="375"/>
      <c r="DS121" s="375"/>
      <c r="DT121" s="375"/>
      <c r="DU121" s="375"/>
      <c r="DV121" s="375"/>
      <c r="DW121" s="375"/>
      <c r="DX121" s="375"/>
      <c r="DY121" s="375"/>
      <c r="DZ121" s="375"/>
      <c r="EA121" s="375"/>
      <c r="EB121" s="375"/>
      <c r="EC121" s="375"/>
      <c r="ED121" s="375"/>
      <c r="EE121" s="375"/>
      <c r="EF121" s="375"/>
      <c r="EG121" s="375"/>
      <c r="EH121" s="375"/>
      <c r="EI121" s="375"/>
      <c r="EJ121" s="375"/>
      <c r="EK121" s="375"/>
      <c r="EL121" s="375"/>
      <c r="EM121" s="375"/>
      <c r="EN121" s="375"/>
      <c r="EO121" s="375"/>
      <c r="EP121" s="375"/>
      <c r="EQ121" s="375"/>
      <c r="ER121" s="375"/>
      <c r="ES121" s="375"/>
      <c r="ET121" s="375"/>
      <c r="EU121" s="375"/>
      <c r="EV121" s="375"/>
      <c r="EW121" s="375"/>
      <c r="EX121" s="375"/>
      <c r="EY121" s="375"/>
      <c r="EZ121" s="375"/>
      <c r="FA121" s="375"/>
      <c r="FB121" s="375"/>
      <c r="FC121" s="375"/>
      <c r="FD121" s="375"/>
      <c r="FE121" s="375"/>
      <c r="FF121" s="375"/>
      <c r="FG121" s="375"/>
      <c r="FH121" s="375"/>
      <c r="FI121" s="375"/>
      <c r="FJ121" s="375"/>
      <c r="FK121" s="375"/>
      <c r="FL121" s="375"/>
      <c r="FM121" s="375"/>
      <c r="FN121" s="375"/>
      <c r="FO121" s="375"/>
      <c r="FP121" s="375"/>
      <c r="FQ121" s="375"/>
      <c r="FR121" s="375"/>
      <c r="FS121" s="375"/>
      <c r="FT121" s="375"/>
      <c r="FU121" s="375"/>
      <c r="FV121" s="375"/>
      <c r="FW121" s="375"/>
      <c r="FX121" s="375"/>
      <c r="FY121" s="375"/>
      <c r="FZ121" s="375"/>
      <c r="GA121" s="375"/>
      <c r="GB121" s="375"/>
      <c r="GC121" s="375"/>
      <c r="GD121" s="375"/>
      <c r="GE121" s="375"/>
      <c r="GF121" s="375"/>
      <c r="GG121" s="375"/>
      <c r="GH121" s="375"/>
      <c r="GI121" s="375"/>
      <c r="GJ121" s="375"/>
      <c r="GK121" s="375"/>
      <c r="GL121" s="375"/>
      <c r="GM121" s="375"/>
      <c r="GN121" s="375"/>
      <c r="GO121" s="375"/>
      <c r="GP121" s="375"/>
      <c r="GQ121" s="375"/>
      <c r="GR121" s="375"/>
      <c r="GS121" s="375"/>
      <c r="GT121" s="375"/>
      <c r="GU121" s="375"/>
      <c r="GV121" s="375"/>
      <c r="GW121" s="375"/>
      <c r="GX121" s="375"/>
      <c r="GY121" s="375"/>
      <c r="GZ121" s="375"/>
      <c r="HA121" s="375"/>
      <c r="HB121" s="375"/>
      <c r="HC121" s="375"/>
      <c r="HD121" s="375"/>
      <c r="HE121" s="375"/>
      <c r="HF121" s="375"/>
      <c r="HG121" s="375"/>
      <c r="HH121" s="375"/>
      <c r="HI121" s="375"/>
      <c r="HJ121" s="375"/>
      <c r="HK121" s="375"/>
      <c r="HL121" s="375"/>
      <c r="HM121" s="375"/>
      <c r="HN121" s="375"/>
      <c r="HO121" s="375"/>
      <c r="HP121" s="375"/>
      <c r="HQ121" s="375"/>
      <c r="HR121" s="375"/>
      <c r="HS121" s="375"/>
      <c r="HT121" s="375"/>
      <c r="HU121" s="375"/>
      <c r="HV121" s="375"/>
      <c r="HW121" s="375"/>
      <c r="HX121" s="375"/>
      <c r="HY121" s="375"/>
      <c r="HZ121" s="375"/>
      <c r="IA121" s="375"/>
      <c r="IB121" s="375"/>
      <c r="IC121" s="375"/>
      <c r="ID121" s="375"/>
      <c r="IE121" s="375"/>
      <c r="IF121" s="375"/>
      <c r="IG121" s="375"/>
      <c r="IH121" s="375"/>
      <c r="II121" s="375"/>
      <c r="IJ121" s="375"/>
      <c r="IK121" s="375"/>
      <c r="IL121" s="375"/>
      <c r="IM121" s="375"/>
      <c r="IN121" s="375"/>
      <c r="IO121" s="375"/>
      <c r="IP121" s="375"/>
      <c r="IQ121" s="375"/>
      <c r="IR121" s="375"/>
      <c r="IS121" s="375"/>
      <c r="IT121" s="375"/>
      <c r="IU121" s="375"/>
      <c r="IV121" s="375"/>
    </row>
    <row r="122" spans="1:256" ht="14.25" x14ac:dyDescent="0.2">
      <c r="A122" s="241"/>
      <c r="B122" s="241"/>
      <c r="C122" s="241"/>
      <c r="D122" s="241"/>
      <c r="E122" s="241"/>
      <c r="F122" s="241"/>
      <c r="G122" s="241"/>
      <c r="H122" s="241"/>
      <c r="I122" s="241"/>
      <c r="J122" s="241"/>
      <c r="K122" s="241"/>
      <c r="L122" s="241"/>
      <c r="M122" s="374"/>
      <c r="N122" s="375"/>
      <c r="O122" s="375"/>
      <c r="P122" s="375"/>
      <c r="Q122" s="375"/>
      <c r="R122" s="375"/>
      <c r="S122" s="375"/>
      <c r="T122" s="375"/>
      <c r="U122" s="375"/>
      <c r="V122" s="375"/>
      <c r="W122" s="375"/>
      <c r="X122" s="375"/>
      <c r="Y122" s="375"/>
      <c r="Z122" s="375"/>
      <c r="AA122" s="375"/>
      <c r="AB122" s="375"/>
      <c r="AC122" s="375"/>
      <c r="AD122" s="375"/>
      <c r="AE122" s="375"/>
      <c r="AF122" s="375"/>
      <c r="AG122" s="375"/>
      <c r="AH122" s="375"/>
      <c r="AI122" s="375"/>
      <c r="AJ122" s="375"/>
      <c r="AK122" s="375"/>
      <c r="AL122" s="375"/>
      <c r="AM122" s="375"/>
      <c r="AN122" s="375"/>
      <c r="AO122" s="375"/>
      <c r="AP122" s="375"/>
      <c r="AQ122" s="375"/>
      <c r="AR122" s="375"/>
      <c r="AS122" s="375"/>
      <c r="AT122" s="375"/>
      <c r="AU122" s="375"/>
      <c r="AV122" s="375"/>
      <c r="AW122" s="375"/>
      <c r="AX122" s="375"/>
      <c r="AY122" s="375"/>
      <c r="AZ122" s="375"/>
      <c r="BA122" s="375"/>
      <c r="BB122" s="375"/>
      <c r="BC122" s="375"/>
      <c r="BD122" s="375"/>
      <c r="BE122" s="375"/>
      <c r="BF122" s="375"/>
      <c r="BG122" s="375"/>
      <c r="BH122" s="375"/>
      <c r="BI122" s="375"/>
      <c r="BJ122" s="375"/>
      <c r="BK122" s="375"/>
      <c r="BL122" s="375"/>
      <c r="BM122" s="375"/>
      <c r="BN122" s="375"/>
      <c r="BO122" s="375"/>
      <c r="BP122" s="375"/>
      <c r="BQ122" s="375"/>
      <c r="BR122" s="375"/>
      <c r="BS122" s="375"/>
      <c r="BT122" s="375"/>
      <c r="BU122" s="375"/>
      <c r="BV122" s="375"/>
      <c r="BW122" s="375"/>
      <c r="BX122" s="375"/>
      <c r="BY122" s="375"/>
      <c r="BZ122" s="375"/>
      <c r="CA122" s="375"/>
      <c r="CB122" s="375"/>
      <c r="CC122" s="375"/>
      <c r="CD122" s="375"/>
      <c r="CE122" s="375"/>
      <c r="CF122" s="375"/>
      <c r="CG122" s="375"/>
      <c r="CH122" s="375"/>
      <c r="CI122" s="375"/>
      <c r="CJ122" s="375"/>
      <c r="CK122" s="375"/>
      <c r="CL122" s="375"/>
      <c r="CM122" s="375"/>
      <c r="CN122" s="375"/>
      <c r="CO122" s="375"/>
      <c r="CP122" s="375"/>
      <c r="CQ122" s="375"/>
      <c r="CR122" s="375"/>
      <c r="CS122" s="375"/>
      <c r="CT122" s="375"/>
      <c r="CU122" s="375"/>
      <c r="CV122" s="375"/>
      <c r="CW122" s="375"/>
      <c r="CX122" s="375"/>
      <c r="CY122" s="375"/>
      <c r="CZ122" s="375"/>
      <c r="DA122" s="375"/>
      <c r="DB122" s="375"/>
      <c r="DC122" s="375"/>
      <c r="DD122" s="375"/>
      <c r="DE122" s="375"/>
      <c r="DF122" s="375"/>
      <c r="DG122" s="375"/>
      <c r="DH122" s="375"/>
      <c r="DI122" s="375"/>
      <c r="DJ122" s="375"/>
      <c r="DK122" s="375"/>
      <c r="DL122" s="375"/>
      <c r="DM122" s="375"/>
      <c r="DN122" s="375"/>
      <c r="DO122" s="375"/>
      <c r="DP122" s="375"/>
      <c r="DQ122" s="375"/>
      <c r="DR122" s="375"/>
      <c r="DS122" s="375"/>
      <c r="DT122" s="375"/>
      <c r="DU122" s="375"/>
      <c r="DV122" s="375"/>
      <c r="DW122" s="375"/>
      <c r="DX122" s="375"/>
      <c r="DY122" s="375"/>
      <c r="DZ122" s="375"/>
      <c r="EA122" s="375"/>
      <c r="EB122" s="375"/>
      <c r="EC122" s="375"/>
      <c r="ED122" s="375"/>
      <c r="EE122" s="375"/>
      <c r="EF122" s="375"/>
      <c r="EG122" s="375"/>
      <c r="EH122" s="375"/>
      <c r="EI122" s="375"/>
      <c r="EJ122" s="375"/>
      <c r="EK122" s="375"/>
      <c r="EL122" s="375"/>
      <c r="EM122" s="375"/>
      <c r="EN122" s="375"/>
      <c r="EO122" s="375"/>
      <c r="EP122" s="375"/>
      <c r="EQ122" s="375"/>
      <c r="ER122" s="375"/>
      <c r="ES122" s="375"/>
      <c r="ET122" s="375"/>
      <c r="EU122" s="375"/>
      <c r="EV122" s="375"/>
      <c r="EW122" s="375"/>
      <c r="EX122" s="375"/>
      <c r="EY122" s="375"/>
      <c r="EZ122" s="375"/>
      <c r="FA122" s="375"/>
      <c r="FB122" s="375"/>
      <c r="FC122" s="375"/>
      <c r="FD122" s="375"/>
      <c r="FE122" s="375"/>
      <c r="FF122" s="375"/>
      <c r="FG122" s="375"/>
      <c r="FH122" s="375"/>
      <c r="FI122" s="375"/>
      <c r="FJ122" s="375"/>
      <c r="FK122" s="375"/>
      <c r="FL122" s="375"/>
      <c r="FM122" s="375"/>
      <c r="FN122" s="375"/>
      <c r="FO122" s="375"/>
      <c r="FP122" s="375"/>
      <c r="FQ122" s="375"/>
      <c r="FR122" s="375"/>
      <c r="FS122" s="375"/>
      <c r="FT122" s="375"/>
      <c r="FU122" s="375"/>
      <c r="FV122" s="375"/>
      <c r="FW122" s="375"/>
      <c r="FX122" s="375"/>
      <c r="FY122" s="375"/>
      <c r="FZ122" s="375"/>
      <c r="GA122" s="375"/>
      <c r="GB122" s="375"/>
      <c r="GC122" s="375"/>
      <c r="GD122" s="375"/>
      <c r="GE122" s="375"/>
      <c r="GF122" s="375"/>
      <c r="GG122" s="375"/>
      <c r="GH122" s="375"/>
      <c r="GI122" s="375"/>
      <c r="GJ122" s="375"/>
      <c r="GK122" s="375"/>
      <c r="GL122" s="375"/>
      <c r="GM122" s="375"/>
      <c r="GN122" s="375"/>
      <c r="GO122" s="375"/>
      <c r="GP122" s="375"/>
      <c r="GQ122" s="375"/>
      <c r="GR122" s="375"/>
      <c r="GS122" s="375"/>
      <c r="GT122" s="375"/>
      <c r="GU122" s="375"/>
      <c r="GV122" s="375"/>
      <c r="GW122" s="375"/>
      <c r="GX122" s="375"/>
      <c r="GY122" s="375"/>
      <c r="GZ122" s="375"/>
      <c r="HA122" s="375"/>
      <c r="HB122" s="375"/>
      <c r="HC122" s="375"/>
      <c r="HD122" s="375"/>
      <c r="HE122" s="375"/>
      <c r="HF122" s="375"/>
      <c r="HG122" s="375"/>
      <c r="HH122" s="375"/>
      <c r="HI122" s="375"/>
      <c r="HJ122" s="375"/>
      <c r="HK122" s="375"/>
      <c r="HL122" s="375"/>
      <c r="HM122" s="375"/>
      <c r="HN122" s="375"/>
      <c r="HO122" s="375"/>
      <c r="HP122" s="375"/>
      <c r="HQ122" s="375"/>
      <c r="HR122" s="375"/>
      <c r="HS122" s="375"/>
      <c r="HT122" s="375"/>
      <c r="HU122" s="375"/>
      <c r="HV122" s="375"/>
      <c r="HW122" s="375"/>
      <c r="HX122" s="375"/>
      <c r="HY122" s="375"/>
      <c r="HZ122" s="375"/>
      <c r="IA122" s="375"/>
      <c r="IB122" s="375"/>
      <c r="IC122" s="375"/>
      <c r="ID122" s="375"/>
      <c r="IE122" s="375"/>
      <c r="IF122" s="375"/>
      <c r="IG122" s="375"/>
      <c r="IH122" s="375"/>
      <c r="II122" s="375"/>
      <c r="IJ122" s="375"/>
      <c r="IK122" s="375"/>
      <c r="IL122" s="375"/>
      <c r="IM122" s="375"/>
      <c r="IN122" s="375"/>
      <c r="IO122" s="375"/>
      <c r="IP122" s="375"/>
      <c r="IQ122" s="375"/>
      <c r="IR122" s="375"/>
      <c r="IS122" s="375"/>
      <c r="IT122" s="375"/>
      <c r="IU122" s="375"/>
      <c r="IV122" s="375"/>
    </row>
    <row r="123" spans="1:256" ht="15" x14ac:dyDescent="0.25">
      <c r="A123" s="368"/>
      <c r="B123" s="368"/>
      <c r="C123" s="368"/>
      <c r="D123" s="379" t="s">
        <v>198</v>
      </c>
      <c r="E123" s="377"/>
      <c r="F123" s="377"/>
      <c r="G123" s="377"/>
      <c r="H123" s="377"/>
      <c r="I123" s="377"/>
      <c r="J123" s="382">
        <f>(J114-J117)*0.925+J117</f>
        <v>8719.69</v>
      </c>
      <c r="K123" s="382"/>
      <c r="L123" s="382">
        <f>L114*0.925</f>
        <v>49879.78</v>
      </c>
      <c r="M123" s="287" t="e">
        <v>#REF!</v>
      </c>
      <c r="N123" s="275"/>
      <c r="O123" s="275"/>
      <c r="P123" s="275"/>
      <c r="Q123" s="275"/>
      <c r="R123" s="275"/>
      <c r="S123" s="275"/>
      <c r="T123" s="275"/>
      <c r="U123" s="275"/>
      <c r="V123" s="275"/>
      <c r="W123" s="275"/>
      <c r="X123" s="275"/>
      <c r="Y123" s="275"/>
      <c r="Z123" s="275"/>
      <c r="AA123" s="275"/>
      <c r="AB123" s="275"/>
      <c r="AC123" s="275"/>
      <c r="AD123" s="275"/>
      <c r="AE123" s="275"/>
      <c r="AF123" s="275"/>
      <c r="AG123" s="275"/>
      <c r="AH123" s="275"/>
      <c r="AI123" s="275"/>
      <c r="AJ123" s="275"/>
      <c r="AK123" s="275"/>
      <c r="AL123" s="275"/>
      <c r="AM123" s="275"/>
      <c r="AN123" s="275"/>
      <c r="AO123" s="275"/>
      <c r="AP123" s="275"/>
      <c r="AQ123" s="275"/>
      <c r="AR123" s="275"/>
      <c r="AS123" s="275"/>
      <c r="AT123" s="275"/>
      <c r="AU123" s="275"/>
      <c r="AV123" s="275"/>
      <c r="AW123" s="275"/>
      <c r="AX123" s="275"/>
      <c r="AY123" s="275"/>
      <c r="AZ123" s="275"/>
      <c r="BA123" s="275"/>
      <c r="BB123" s="275"/>
      <c r="BC123" s="275"/>
      <c r="BD123" s="275"/>
      <c r="BE123" s="275"/>
      <c r="BF123" s="275"/>
      <c r="BG123" s="275"/>
      <c r="BH123" s="275"/>
      <c r="BI123" s="275"/>
      <c r="BJ123" s="275"/>
      <c r="BK123" s="275"/>
      <c r="BL123" s="275"/>
      <c r="BM123" s="275"/>
      <c r="BN123" s="275"/>
      <c r="BO123" s="275"/>
      <c r="BP123" s="275"/>
      <c r="BQ123" s="275"/>
      <c r="BR123" s="275"/>
      <c r="BS123" s="275"/>
      <c r="BT123" s="275"/>
      <c r="BU123" s="275"/>
      <c r="BV123" s="275"/>
      <c r="BW123" s="275"/>
      <c r="BX123" s="275"/>
      <c r="BY123" s="275"/>
      <c r="BZ123" s="275"/>
      <c r="CA123" s="275"/>
      <c r="CB123" s="275"/>
      <c r="CC123" s="275"/>
      <c r="CD123" s="275"/>
      <c r="CE123" s="275"/>
      <c r="CF123" s="275"/>
      <c r="CG123" s="275"/>
      <c r="CH123" s="275"/>
      <c r="CI123" s="275"/>
      <c r="CJ123" s="275"/>
      <c r="CK123" s="275"/>
      <c r="CL123" s="275"/>
      <c r="CM123" s="275"/>
      <c r="CN123" s="275"/>
      <c r="CO123" s="275"/>
      <c r="CP123" s="275"/>
      <c r="CQ123" s="275"/>
      <c r="CR123" s="275"/>
      <c r="CS123" s="275"/>
      <c r="CT123" s="275"/>
      <c r="CU123" s="275"/>
      <c r="CV123" s="275"/>
      <c r="CW123" s="275"/>
      <c r="CX123" s="275"/>
      <c r="CY123" s="275"/>
      <c r="CZ123" s="275"/>
      <c r="DA123" s="275"/>
      <c r="DB123" s="275"/>
      <c r="DC123" s="275"/>
      <c r="DD123" s="275"/>
      <c r="DE123" s="275"/>
      <c r="DF123" s="275"/>
      <c r="DG123" s="275"/>
      <c r="DH123" s="275"/>
      <c r="DI123" s="275"/>
      <c r="DJ123" s="275"/>
      <c r="DK123" s="275"/>
      <c r="DL123" s="275"/>
      <c r="DM123" s="275"/>
      <c r="DN123" s="275"/>
      <c r="DO123" s="275"/>
      <c r="DP123" s="275"/>
      <c r="DQ123" s="275"/>
      <c r="DR123" s="275"/>
      <c r="DS123" s="275"/>
      <c r="DT123" s="275"/>
      <c r="DU123" s="275"/>
      <c r="DV123" s="275"/>
      <c r="DW123" s="275"/>
      <c r="DX123" s="275"/>
      <c r="DY123" s="275"/>
      <c r="DZ123" s="275"/>
      <c r="EA123" s="275"/>
      <c r="EB123" s="275"/>
      <c r="EC123" s="275"/>
      <c r="ED123" s="275"/>
      <c r="EE123" s="275"/>
      <c r="EF123" s="275"/>
      <c r="EG123" s="275"/>
      <c r="EH123" s="275"/>
      <c r="EI123" s="275"/>
      <c r="EJ123" s="275"/>
      <c r="EK123" s="275"/>
      <c r="EL123" s="275"/>
      <c r="EM123" s="275"/>
      <c r="EN123" s="275"/>
      <c r="EO123" s="275"/>
      <c r="EP123" s="275"/>
      <c r="EQ123" s="275"/>
      <c r="ER123" s="275"/>
      <c r="ES123" s="275"/>
      <c r="ET123" s="275"/>
      <c r="EU123" s="275"/>
      <c r="EV123" s="275"/>
      <c r="EW123" s="275"/>
      <c r="EX123" s="275"/>
      <c r="EY123" s="275"/>
      <c r="EZ123" s="275"/>
      <c r="FA123" s="275"/>
      <c r="FB123" s="275"/>
      <c r="FC123" s="275"/>
      <c r="FD123" s="275"/>
      <c r="FE123" s="275"/>
      <c r="FF123" s="275"/>
      <c r="FG123" s="275"/>
      <c r="FH123" s="275"/>
      <c r="FI123" s="275"/>
      <c r="FJ123" s="275"/>
      <c r="FK123" s="275"/>
      <c r="FL123" s="275"/>
      <c r="FM123" s="275"/>
      <c r="FN123" s="275"/>
      <c r="FO123" s="275"/>
      <c r="FP123" s="275"/>
      <c r="FQ123" s="275"/>
      <c r="FR123" s="275"/>
      <c r="FS123" s="275"/>
      <c r="FT123" s="275"/>
      <c r="FU123" s="275"/>
      <c r="FV123" s="275"/>
      <c r="FW123" s="275"/>
      <c r="FX123" s="275"/>
      <c r="FY123" s="275"/>
      <c r="FZ123" s="275"/>
      <c r="GA123" s="275"/>
      <c r="GB123" s="275"/>
      <c r="GC123" s="275"/>
      <c r="GD123" s="275"/>
      <c r="GE123" s="275"/>
      <c r="GF123" s="275"/>
      <c r="GG123" s="275"/>
      <c r="GH123" s="275"/>
      <c r="GI123" s="275"/>
      <c r="GJ123" s="275"/>
      <c r="GK123" s="275"/>
      <c r="GL123" s="275"/>
      <c r="GM123" s="275"/>
      <c r="GN123" s="275"/>
      <c r="GO123" s="275"/>
      <c r="GP123" s="275"/>
      <c r="GQ123" s="275"/>
      <c r="GR123" s="275"/>
      <c r="GS123" s="275"/>
      <c r="GT123" s="275"/>
      <c r="GU123" s="275"/>
      <c r="GV123" s="275"/>
      <c r="GW123" s="275"/>
      <c r="GX123" s="275"/>
      <c r="GY123" s="275"/>
      <c r="GZ123" s="275"/>
      <c r="HA123" s="275"/>
      <c r="HB123" s="275"/>
      <c r="HC123" s="275"/>
      <c r="HD123" s="275"/>
      <c r="HE123" s="275"/>
      <c r="HF123" s="275"/>
      <c r="HG123" s="275"/>
      <c r="HH123" s="275"/>
      <c r="HI123" s="275"/>
      <c r="HJ123" s="275"/>
      <c r="HK123" s="275"/>
      <c r="HL123" s="275"/>
      <c r="HM123" s="275"/>
      <c r="HN123" s="275"/>
      <c r="HO123" s="275"/>
      <c r="HP123" s="275"/>
      <c r="HQ123" s="275"/>
      <c r="HR123" s="275"/>
      <c r="HS123" s="275"/>
      <c r="HT123" s="275"/>
      <c r="HU123" s="275"/>
      <c r="HV123" s="275"/>
      <c r="HW123" s="275"/>
      <c r="HX123" s="275"/>
      <c r="HY123" s="275"/>
      <c r="HZ123" s="275"/>
      <c r="IA123" s="275"/>
      <c r="IB123" s="275"/>
      <c r="IC123" s="275"/>
      <c r="ID123" s="275"/>
      <c r="IE123" s="275"/>
      <c r="IF123" s="275"/>
      <c r="IG123" s="275"/>
      <c r="IH123" s="275"/>
      <c r="II123" s="275"/>
      <c r="IJ123" s="275"/>
      <c r="IK123" s="275"/>
      <c r="IL123" s="275"/>
      <c r="IM123" s="275"/>
      <c r="IN123" s="275"/>
      <c r="IO123" s="275"/>
      <c r="IP123" s="275"/>
      <c r="IQ123" s="275"/>
      <c r="IR123" s="275"/>
      <c r="IS123" s="275"/>
      <c r="IT123" s="275"/>
      <c r="IU123" s="275"/>
      <c r="IV123" s="275"/>
    </row>
    <row r="124" spans="1:256" ht="15" x14ac:dyDescent="0.25">
      <c r="A124" s="368"/>
      <c r="B124" s="368"/>
      <c r="C124" s="368"/>
      <c r="D124" s="377" t="s">
        <v>69</v>
      </c>
      <c r="E124" s="377"/>
      <c r="F124" s="377"/>
      <c r="G124" s="377"/>
      <c r="H124" s="377"/>
      <c r="I124" s="377"/>
      <c r="J124" s="378">
        <f>J123</f>
        <v>8719.69</v>
      </c>
      <c r="K124" s="378"/>
      <c r="L124" s="378">
        <f>L123</f>
        <v>49879.78</v>
      </c>
      <c r="M124" s="287"/>
      <c r="N124" s="275"/>
      <c r="O124" s="275"/>
      <c r="P124" s="275"/>
      <c r="Q124" s="275"/>
      <c r="R124" s="275"/>
      <c r="S124" s="275"/>
      <c r="T124" s="275"/>
      <c r="U124" s="275"/>
      <c r="V124" s="275"/>
      <c r="W124" s="275"/>
      <c r="X124" s="275"/>
      <c r="Y124" s="275"/>
      <c r="Z124" s="275"/>
      <c r="AA124" s="275"/>
      <c r="AB124" s="275"/>
      <c r="AC124" s="275"/>
      <c r="AD124" s="275"/>
      <c r="AE124" s="275"/>
      <c r="AF124" s="275"/>
      <c r="AG124" s="275"/>
      <c r="AH124" s="275"/>
      <c r="AI124" s="275"/>
      <c r="AJ124" s="275"/>
      <c r="AK124" s="275"/>
      <c r="AL124" s="275"/>
      <c r="AM124" s="275"/>
      <c r="AN124" s="275"/>
      <c r="AO124" s="275"/>
      <c r="AP124" s="275"/>
      <c r="AQ124" s="275"/>
      <c r="AR124" s="275"/>
      <c r="AS124" s="275"/>
      <c r="AT124" s="275"/>
      <c r="AU124" s="275"/>
      <c r="AV124" s="275"/>
      <c r="AW124" s="275"/>
      <c r="AX124" s="275"/>
      <c r="AY124" s="275"/>
      <c r="AZ124" s="275"/>
      <c r="BA124" s="275"/>
      <c r="BB124" s="275"/>
      <c r="BC124" s="275"/>
      <c r="BD124" s="275"/>
      <c r="BE124" s="275"/>
      <c r="BF124" s="275"/>
      <c r="BG124" s="275"/>
      <c r="BH124" s="275"/>
      <c r="BI124" s="275"/>
      <c r="BJ124" s="275"/>
      <c r="BK124" s="275"/>
      <c r="BL124" s="275"/>
      <c r="BM124" s="275"/>
      <c r="BN124" s="275"/>
      <c r="BO124" s="275"/>
      <c r="BP124" s="275"/>
      <c r="BQ124" s="275"/>
      <c r="BR124" s="275"/>
      <c r="BS124" s="275"/>
      <c r="BT124" s="275"/>
      <c r="BU124" s="275"/>
      <c r="BV124" s="275"/>
      <c r="BW124" s="275"/>
      <c r="BX124" s="275"/>
      <c r="BY124" s="275"/>
      <c r="BZ124" s="275"/>
      <c r="CA124" s="275"/>
      <c r="CB124" s="275"/>
      <c r="CC124" s="275"/>
      <c r="CD124" s="275"/>
      <c r="CE124" s="275"/>
      <c r="CF124" s="275"/>
      <c r="CG124" s="275"/>
      <c r="CH124" s="275"/>
      <c r="CI124" s="275"/>
      <c r="CJ124" s="275"/>
      <c r="CK124" s="275"/>
      <c r="CL124" s="275"/>
      <c r="CM124" s="275"/>
      <c r="CN124" s="275"/>
      <c r="CO124" s="275"/>
      <c r="CP124" s="275"/>
      <c r="CQ124" s="275"/>
      <c r="CR124" s="275"/>
      <c r="CS124" s="275"/>
      <c r="CT124" s="275"/>
      <c r="CU124" s="275"/>
      <c r="CV124" s="275"/>
      <c r="CW124" s="275"/>
      <c r="CX124" s="275"/>
      <c r="CY124" s="275"/>
      <c r="CZ124" s="275"/>
      <c r="DA124" s="275"/>
      <c r="DB124" s="275"/>
      <c r="DC124" s="275"/>
      <c r="DD124" s="275"/>
      <c r="DE124" s="275"/>
      <c r="DF124" s="275"/>
      <c r="DG124" s="275"/>
      <c r="DH124" s="275"/>
      <c r="DI124" s="275"/>
      <c r="DJ124" s="275"/>
      <c r="DK124" s="275"/>
      <c r="DL124" s="275"/>
      <c r="DM124" s="275"/>
      <c r="DN124" s="275"/>
      <c r="DO124" s="275"/>
      <c r="DP124" s="275"/>
      <c r="DQ124" s="275"/>
      <c r="DR124" s="275"/>
      <c r="DS124" s="275"/>
      <c r="DT124" s="275"/>
      <c r="DU124" s="275"/>
      <c r="DV124" s="275"/>
      <c r="DW124" s="275"/>
      <c r="DX124" s="275"/>
      <c r="DY124" s="275"/>
      <c r="DZ124" s="275"/>
      <c r="EA124" s="275"/>
      <c r="EB124" s="275"/>
      <c r="EC124" s="275"/>
      <c r="ED124" s="275"/>
      <c r="EE124" s="275"/>
      <c r="EF124" s="275"/>
      <c r="EG124" s="275"/>
      <c r="EH124" s="275"/>
      <c r="EI124" s="275"/>
      <c r="EJ124" s="275"/>
      <c r="EK124" s="275"/>
      <c r="EL124" s="275"/>
      <c r="EM124" s="275"/>
      <c r="EN124" s="275"/>
      <c r="EO124" s="275"/>
      <c r="EP124" s="275"/>
      <c r="EQ124" s="275"/>
      <c r="ER124" s="275"/>
      <c r="ES124" s="275"/>
      <c r="ET124" s="275"/>
      <c r="EU124" s="275"/>
      <c r="EV124" s="275"/>
      <c r="EW124" s="275"/>
      <c r="EX124" s="275"/>
      <c r="EY124" s="275"/>
      <c r="EZ124" s="275"/>
      <c r="FA124" s="275"/>
      <c r="FB124" s="275"/>
      <c r="FC124" s="275"/>
      <c r="FD124" s="275"/>
      <c r="FE124" s="275"/>
      <c r="FF124" s="275"/>
      <c r="FG124" s="275"/>
      <c r="FH124" s="275"/>
      <c r="FI124" s="275"/>
      <c r="FJ124" s="275"/>
      <c r="FK124" s="275"/>
      <c r="FL124" s="275"/>
      <c r="FM124" s="275"/>
      <c r="FN124" s="275"/>
      <c r="FO124" s="275"/>
      <c r="FP124" s="275"/>
      <c r="FQ124" s="275"/>
      <c r="FR124" s="275"/>
      <c r="FS124" s="275"/>
      <c r="FT124" s="275"/>
      <c r="FU124" s="275"/>
      <c r="FV124" s="275"/>
      <c r="FW124" s="275"/>
      <c r="FX124" s="275"/>
      <c r="FY124" s="275"/>
      <c r="FZ124" s="275"/>
      <c r="GA124" s="275"/>
      <c r="GB124" s="275"/>
      <c r="GC124" s="275"/>
      <c r="GD124" s="275"/>
      <c r="GE124" s="275"/>
      <c r="GF124" s="275"/>
      <c r="GG124" s="275"/>
      <c r="GH124" s="275"/>
      <c r="GI124" s="275"/>
      <c r="GJ124" s="275"/>
      <c r="GK124" s="275"/>
      <c r="GL124" s="275"/>
      <c r="GM124" s="275"/>
      <c r="GN124" s="275"/>
      <c r="GO124" s="275"/>
      <c r="GP124" s="275"/>
      <c r="GQ124" s="275"/>
      <c r="GR124" s="275"/>
      <c r="GS124" s="275"/>
      <c r="GT124" s="275"/>
      <c r="GU124" s="275"/>
      <c r="GV124" s="275"/>
      <c r="GW124" s="275"/>
      <c r="GX124" s="275"/>
      <c r="GY124" s="275"/>
      <c r="GZ124" s="275"/>
      <c r="HA124" s="275"/>
      <c r="HB124" s="275"/>
      <c r="HC124" s="275"/>
      <c r="HD124" s="275"/>
      <c r="HE124" s="275"/>
      <c r="HF124" s="275"/>
      <c r="HG124" s="275"/>
      <c r="HH124" s="275"/>
      <c r="HI124" s="275"/>
      <c r="HJ124" s="275"/>
      <c r="HK124" s="275"/>
      <c r="HL124" s="275"/>
      <c r="HM124" s="275"/>
      <c r="HN124" s="275"/>
      <c r="HO124" s="275"/>
      <c r="HP124" s="275"/>
      <c r="HQ124" s="275"/>
      <c r="HR124" s="275"/>
      <c r="HS124" s="275"/>
      <c r="HT124" s="275"/>
      <c r="HU124" s="275"/>
      <c r="HV124" s="275"/>
      <c r="HW124" s="275"/>
      <c r="HX124" s="275"/>
      <c r="HY124" s="275"/>
      <c r="HZ124" s="275"/>
      <c r="IA124" s="275"/>
      <c r="IB124" s="275"/>
      <c r="IC124" s="275"/>
      <c r="ID124" s="275"/>
      <c r="IE124" s="275"/>
      <c r="IF124" s="275"/>
      <c r="IG124" s="275"/>
      <c r="IH124" s="275"/>
      <c r="II124" s="275"/>
      <c r="IJ124" s="275"/>
      <c r="IK124" s="275"/>
      <c r="IL124" s="275"/>
      <c r="IM124" s="275"/>
      <c r="IN124" s="275"/>
      <c r="IO124" s="275"/>
      <c r="IP124" s="275"/>
      <c r="IQ124" s="275"/>
      <c r="IR124" s="275"/>
      <c r="IS124" s="275"/>
      <c r="IT124" s="275"/>
      <c r="IU124" s="275"/>
      <c r="IV124" s="275"/>
    </row>
    <row r="125" spans="1:256" ht="15" x14ac:dyDescent="0.25">
      <c r="A125" s="368"/>
      <c r="B125" s="368"/>
      <c r="C125" s="368"/>
      <c r="D125" s="377" t="s">
        <v>70</v>
      </c>
      <c r="E125" s="377"/>
      <c r="F125" s="377"/>
      <c r="G125" s="377"/>
      <c r="H125" s="377"/>
      <c r="I125" s="377"/>
      <c r="J125" s="378">
        <f>J116*0.925</f>
        <v>39.81</v>
      </c>
      <c r="K125" s="378"/>
      <c r="L125" s="378">
        <f>L116*0.925</f>
        <v>964.65</v>
      </c>
      <c r="M125" s="287">
        <v>21718.35</v>
      </c>
      <c r="N125" s="275"/>
      <c r="O125" s="275"/>
      <c r="P125" s="275"/>
      <c r="Q125" s="275"/>
      <c r="R125" s="275"/>
      <c r="S125" s="275"/>
      <c r="T125" s="275"/>
      <c r="U125" s="275"/>
      <c r="V125" s="275"/>
      <c r="W125" s="275"/>
      <c r="X125" s="275"/>
      <c r="Y125" s="275"/>
      <c r="Z125" s="275"/>
      <c r="AA125" s="275"/>
      <c r="AB125" s="275"/>
      <c r="AC125" s="275"/>
      <c r="AD125" s="275"/>
      <c r="AE125" s="275"/>
      <c r="AF125" s="275"/>
      <c r="AG125" s="275"/>
      <c r="AH125" s="275"/>
      <c r="AI125" s="275"/>
      <c r="AJ125" s="275"/>
      <c r="AK125" s="275"/>
      <c r="AL125" s="275"/>
      <c r="AM125" s="275"/>
      <c r="AN125" s="275"/>
      <c r="AO125" s="275"/>
      <c r="AP125" s="275"/>
      <c r="AQ125" s="275"/>
      <c r="AR125" s="275"/>
      <c r="AS125" s="275"/>
      <c r="AT125" s="275"/>
      <c r="AU125" s="275"/>
      <c r="AV125" s="275"/>
      <c r="AW125" s="275"/>
      <c r="AX125" s="275"/>
      <c r="AY125" s="275"/>
      <c r="AZ125" s="275"/>
      <c r="BA125" s="275"/>
      <c r="BB125" s="275"/>
      <c r="BC125" s="275"/>
      <c r="BD125" s="275"/>
      <c r="BE125" s="275"/>
      <c r="BF125" s="275"/>
      <c r="BG125" s="275"/>
      <c r="BH125" s="275"/>
      <c r="BI125" s="275"/>
      <c r="BJ125" s="275"/>
      <c r="BK125" s="275"/>
      <c r="BL125" s="275"/>
      <c r="BM125" s="275"/>
      <c r="BN125" s="275"/>
      <c r="BO125" s="275"/>
      <c r="BP125" s="275"/>
      <c r="BQ125" s="275"/>
      <c r="BR125" s="275"/>
      <c r="BS125" s="275"/>
      <c r="BT125" s="275"/>
      <c r="BU125" s="275"/>
      <c r="BV125" s="275"/>
      <c r="BW125" s="275"/>
      <c r="BX125" s="275"/>
      <c r="BY125" s="275"/>
      <c r="BZ125" s="275"/>
      <c r="CA125" s="275"/>
      <c r="CB125" s="275"/>
      <c r="CC125" s="275"/>
      <c r="CD125" s="275"/>
      <c r="CE125" s="275"/>
      <c r="CF125" s="275"/>
      <c r="CG125" s="275"/>
      <c r="CH125" s="275"/>
      <c r="CI125" s="275"/>
      <c r="CJ125" s="275"/>
      <c r="CK125" s="275"/>
      <c r="CL125" s="275"/>
      <c r="CM125" s="275"/>
      <c r="CN125" s="275"/>
      <c r="CO125" s="275"/>
      <c r="CP125" s="275"/>
      <c r="CQ125" s="275"/>
      <c r="CR125" s="275"/>
      <c r="CS125" s="275"/>
      <c r="CT125" s="275"/>
      <c r="CU125" s="275"/>
      <c r="CV125" s="275"/>
      <c r="CW125" s="275"/>
      <c r="CX125" s="275"/>
      <c r="CY125" s="275"/>
      <c r="CZ125" s="275"/>
      <c r="DA125" s="275"/>
      <c r="DB125" s="275"/>
      <c r="DC125" s="275"/>
      <c r="DD125" s="275"/>
      <c r="DE125" s="275"/>
      <c r="DF125" s="275"/>
      <c r="DG125" s="275"/>
      <c r="DH125" s="275"/>
      <c r="DI125" s="275"/>
      <c r="DJ125" s="275"/>
      <c r="DK125" s="275"/>
      <c r="DL125" s="275"/>
      <c r="DM125" s="275"/>
      <c r="DN125" s="275"/>
      <c r="DO125" s="275"/>
      <c r="DP125" s="275"/>
      <c r="DQ125" s="275"/>
      <c r="DR125" s="275"/>
      <c r="DS125" s="275"/>
      <c r="DT125" s="275"/>
      <c r="DU125" s="275"/>
      <c r="DV125" s="275"/>
      <c r="DW125" s="275"/>
      <c r="DX125" s="275"/>
      <c r="DY125" s="275"/>
      <c r="DZ125" s="275"/>
      <c r="EA125" s="275"/>
      <c r="EB125" s="275"/>
      <c r="EC125" s="275"/>
      <c r="ED125" s="275"/>
      <c r="EE125" s="275"/>
      <c r="EF125" s="275"/>
      <c r="EG125" s="275"/>
      <c r="EH125" s="275"/>
      <c r="EI125" s="275"/>
      <c r="EJ125" s="275"/>
      <c r="EK125" s="275"/>
      <c r="EL125" s="275"/>
      <c r="EM125" s="275"/>
      <c r="EN125" s="275"/>
      <c r="EO125" s="275"/>
      <c r="EP125" s="275"/>
      <c r="EQ125" s="275"/>
      <c r="ER125" s="275"/>
      <c r="ES125" s="275"/>
      <c r="ET125" s="275"/>
      <c r="EU125" s="275"/>
      <c r="EV125" s="275"/>
      <c r="EW125" s="275"/>
      <c r="EX125" s="275"/>
      <c r="EY125" s="275"/>
      <c r="EZ125" s="275"/>
      <c r="FA125" s="275"/>
      <c r="FB125" s="275"/>
      <c r="FC125" s="275"/>
      <c r="FD125" s="275"/>
      <c r="FE125" s="275"/>
      <c r="FF125" s="275"/>
      <c r="FG125" s="275"/>
      <c r="FH125" s="275"/>
      <c r="FI125" s="275"/>
      <c r="FJ125" s="275"/>
      <c r="FK125" s="275"/>
      <c r="FL125" s="275"/>
      <c r="FM125" s="275"/>
      <c r="FN125" s="275"/>
      <c r="FO125" s="275"/>
      <c r="FP125" s="275"/>
      <c r="FQ125" s="275"/>
      <c r="FR125" s="275"/>
      <c r="FS125" s="275"/>
      <c r="FT125" s="275"/>
      <c r="FU125" s="275"/>
      <c r="FV125" s="275"/>
      <c r="FW125" s="275"/>
      <c r="FX125" s="275"/>
      <c r="FY125" s="275"/>
      <c r="FZ125" s="275"/>
      <c r="GA125" s="275"/>
      <c r="GB125" s="275"/>
      <c r="GC125" s="275"/>
      <c r="GD125" s="275"/>
      <c r="GE125" s="275"/>
      <c r="GF125" s="275"/>
      <c r="GG125" s="275"/>
      <c r="GH125" s="275"/>
      <c r="GI125" s="275"/>
      <c r="GJ125" s="275"/>
      <c r="GK125" s="275"/>
      <c r="GL125" s="275"/>
      <c r="GM125" s="275"/>
      <c r="GN125" s="275"/>
      <c r="GO125" s="275"/>
      <c r="GP125" s="275"/>
      <c r="GQ125" s="275"/>
      <c r="GR125" s="275"/>
      <c r="GS125" s="275"/>
      <c r="GT125" s="275"/>
      <c r="GU125" s="275"/>
      <c r="GV125" s="275"/>
      <c r="GW125" s="275"/>
      <c r="GX125" s="275"/>
      <c r="GY125" s="275"/>
      <c r="GZ125" s="275"/>
      <c r="HA125" s="275"/>
      <c r="HB125" s="275"/>
      <c r="HC125" s="275"/>
      <c r="HD125" s="275"/>
      <c r="HE125" s="275"/>
      <c r="HF125" s="275"/>
      <c r="HG125" s="275"/>
      <c r="HH125" s="275"/>
      <c r="HI125" s="275"/>
      <c r="HJ125" s="275"/>
      <c r="HK125" s="275"/>
      <c r="HL125" s="275"/>
      <c r="HM125" s="275"/>
      <c r="HN125" s="275"/>
      <c r="HO125" s="275"/>
      <c r="HP125" s="275"/>
      <c r="HQ125" s="275"/>
      <c r="HR125" s="275"/>
      <c r="HS125" s="275"/>
      <c r="HT125" s="275"/>
      <c r="HU125" s="275"/>
      <c r="HV125" s="275"/>
      <c r="HW125" s="275"/>
      <c r="HX125" s="275"/>
      <c r="HY125" s="275"/>
      <c r="HZ125" s="275"/>
      <c r="IA125" s="275"/>
      <c r="IB125" s="275"/>
      <c r="IC125" s="275"/>
      <c r="ID125" s="275"/>
      <c r="IE125" s="275"/>
      <c r="IF125" s="275"/>
      <c r="IG125" s="275"/>
      <c r="IH125" s="275"/>
      <c r="II125" s="275"/>
      <c r="IJ125" s="275"/>
      <c r="IK125" s="275"/>
      <c r="IL125" s="275"/>
      <c r="IM125" s="275"/>
      <c r="IN125" s="275"/>
      <c r="IO125" s="275"/>
      <c r="IP125" s="275"/>
      <c r="IQ125" s="275"/>
      <c r="IR125" s="275"/>
      <c r="IS125" s="275"/>
      <c r="IT125" s="275"/>
      <c r="IU125" s="275"/>
      <c r="IV125" s="275"/>
    </row>
    <row r="126" spans="1:256" ht="15" x14ac:dyDescent="0.25">
      <c r="A126" s="368"/>
      <c r="B126" s="368"/>
      <c r="C126" s="368"/>
      <c r="D126" s="377" t="s">
        <v>195</v>
      </c>
      <c r="E126" s="377"/>
      <c r="F126" s="377"/>
      <c r="G126" s="377"/>
      <c r="H126" s="377"/>
      <c r="I126" s="377"/>
      <c r="J126" s="378">
        <f>J117</f>
        <v>8590.3700000000008</v>
      </c>
      <c r="K126" s="378"/>
      <c r="L126" s="378">
        <f>L117*0.925</f>
        <v>47495</v>
      </c>
      <c r="M126" s="287"/>
    </row>
    <row r="127" spans="1:256" ht="15" x14ac:dyDescent="0.25">
      <c r="A127" s="368"/>
      <c r="B127" s="368"/>
      <c r="C127" s="368"/>
      <c r="D127" s="383" t="s">
        <v>157</v>
      </c>
      <c r="E127" s="377"/>
      <c r="F127" s="377"/>
      <c r="G127" s="377"/>
      <c r="H127" s="377"/>
      <c r="I127" s="377"/>
      <c r="J127" s="384">
        <v>0</v>
      </c>
      <c r="K127" s="378"/>
      <c r="L127" s="384">
        <v>0</v>
      </c>
      <c r="M127" s="287"/>
    </row>
    <row r="128" spans="1:256" ht="15" x14ac:dyDescent="0.25">
      <c r="A128" s="368"/>
      <c r="B128" s="368"/>
      <c r="C128" s="368"/>
      <c r="D128" s="377" t="s">
        <v>196</v>
      </c>
      <c r="E128" s="377"/>
      <c r="F128" s="377"/>
      <c r="G128" s="377"/>
      <c r="H128" s="377"/>
      <c r="I128" s="377"/>
      <c r="J128" s="378">
        <f>J125*0.15</f>
        <v>5.97</v>
      </c>
      <c r="K128" s="378"/>
      <c r="L128" s="378">
        <f>L125*0.15</f>
        <v>144.69999999999999</v>
      </c>
      <c r="M128" s="287">
        <v>3257.75</v>
      </c>
    </row>
    <row r="129" spans="1:13" ht="15" x14ac:dyDescent="0.25">
      <c r="A129" s="368"/>
      <c r="B129" s="368"/>
      <c r="C129" s="368"/>
      <c r="D129" s="379" t="s">
        <v>199</v>
      </c>
      <c r="E129" s="380"/>
      <c r="F129" s="380"/>
      <c r="G129" s="380"/>
      <c r="H129" s="380"/>
      <c r="I129" s="380"/>
      <c r="J129" s="382">
        <f>J128+J123</f>
        <v>8725.66</v>
      </c>
      <c r="K129" s="380"/>
      <c r="L129" s="382">
        <f>L128+L123</f>
        <v>50024.480000000003</v>
      </c>
      <c r="M129" s="287" t="e">
        <v>#REF!</v>
      </c>
    </row>
    <row r="130" spans="1:13" ht="15" x14ac:dyDescent="0.25">
      <c r="A130" s="368"/>
      <c r="B130" s="368"/>
      <c r="C130" s="368"/>
      <c r="D130" s="385"/>
      <c r="E130" s="385"/>
      <c r="F130" s="385"/>
      <c r="G130" s="385"/>
      <c r="H130" s="385"/>
      <c r="I130" s="385"/>
      <c r="J130" s="385"/>
      <c r="K130" s="385"/>
      <c r="L130" s="385"/>
      <c r="M130" s="287"/>
    </row>
    <row r="131" spans="1:13" ht="15" x14ac:dyDescent="0.25">
      <c r="A131" s="368"/>
      <c r="B131" s="368"/>
      <c r="C131" s="368"/>
      <c r="D131" s="385"/>
      <c r="E131" s="385"/>
      <c r="F131" s="385"/>
      <c r="G131" s="385"/>
      <c r="H131" s="385"/>
      <c r="I131" s="385"/>
      <c r="J131" s="385"/>
      <c r="K131" s="385"/>
      <c r="L131" s="385"/>
      <c r="M131" s="287"/>
    </row>
    <row r="132" spans="1:13" ht="15" x14ac:dyDescent="0.25">
      <c r="A132" s="368"/>
      <c r="B132" s="368"/>
      <c r="C132" s="368"/>
      <c r="D132" s="386" t="s">
        <v>200</v>
      </c>
      <c r="E132" s="387"/>
      <c r="F132" s="387"/>
      <c r="G132" s="387"/>
      <c r="H132" s="387"/>
      <c r="I132" s="388"/>
      <c r="J132" s="389">
        <f>J129</f>
        <v>8725.66</v>
      </c>
      <c r="K132" s="390"/>
      <c r="L132" s="389">
        <f>L129</f>
        <v>50024.480000000003</v>
      </c>
      <c r="M132" s="287"/>
    </row>
    <row r="133" spans="1:13" ht="15" x14ac:dyDescent="0.25">
      <c r="A133" s="368"/>
      <c r="B133" s="368"/>
      <c r="C133" s="368"/>
      <c r="D133" s="391" t="s">
        <v>201</v>
      </c>
      <c r="E133" s="392"/>
      <c r="F133" s="392"/>
      <c r="G133" s="392"/>
      <c r="H133" s="392"/>
      <c r="I133" s="393"/>
      <c r="J133" s="394">
        <f>J124</f>
        <v>8719.69</v>
      </c>
      <c r="K133" s="395"/>
      <c r="L133" s="394">
        <f>L124</f>
        <v>49879.78</v>
      </c>
      <c r="M133" s="287"/>
    </row>
    <row r="134" spans="1:13" ht="15" x14ac:dyDescent="0.25">
      <c r="A134" s="368"/>
      <c r="B134" s="368"/>
      <c r="C134" s="368"/>
      <c r="D134" s="391" t="s">
        <v>202</v>
      </c>
      <c r="E134" s="392"/>
      <c r="F134" s="392"/>
      <c r="G134" s="392"/>
      <c r="H134" s="392"/>
      <c r="I134" s="393"/>
      <c r="J134" s="394">
        <f>J128</f>
        <v>5.97</v>
      </c>
      <c r="K134" s="396"/>
      <c r="L134" s="394">
        <f>L128</f>
        <v>144.69999999999999</v>
      </c>
      <c r="M134" s="287"/>
    </row>
    <row r="135" spans="1:13" ht="15" x14ac:dyDescent="0.25">
      <c r="A135" s="368"/>
      <c r="B135" s="368"/>
      <c r="C135" s="368"/>
      <c r="D135" s="391" t="s">
        <v>203</v>
      </c>
      <c r="E135" s="392"/>
      <c r="F135" s="392"/>
      <c r="G135" s="392"/>
      <c r="H135" s="392"/>
      <c r="I135" s="393"/>
      <c r="J135" s="394">
        <v>0</v>
      </c>
      <c r="K135" s="394"/>
      <c r="L135" s="394">
        <v>0</v>
      </c>
      <c r="M135" s="287"/>
    </row>
    <row r="136" spans="1:13" ht="15" x14ac:dyDescent="0.25">
      <c r="A136" s="368"/>
      <c r="B136" s="368"/>
      <c r="C136" s="368"/>
      <c r="D136" s="391" t="s">
        <v>204</v>
      </c>
      <c r="E136" s="392"/>
      <c r="F136" s="392"/>
      <c r="G136" s="392"/>
      <c r="H136" s="392"/>
      <c r="I136" s="393"/>
      <c r="J136" s="397">
        <v>0</v>
      </c>
      <c r="K136" s="397"/>
      <c r="L136" s="397">
        <v>0</v>
      </c>
      <c r="M136" s="287"/>
    </row>
    <row r="137" spans="1:13" ht="14.25" x14ac:dyDescent="0.2">
      <c r="A137" s="327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</row>
    <row r="138" spans="1:13" ht="14.25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</row>
    <row r="139" spans="1:13" ht="14.25" x14ac:dyDescent="0.2">
      <c r="A139" s="327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</row>
    <row r="140" spans="1:13" ht="14.25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</row>
    <row r="141" spans="1:13" ht="14.25" x14ac:dyDescent="0.2">
      <c r="A141" s="327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</row>
    <row r="142" spans="1:13" ht="14.25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</row>
    <row r="143" spans="1:13" ht="14.25" x14ac:dyDescent="0.2">
      <c r="A143" s="327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</row>
  </sheetData>
  <mergeCells count="102">
    <mergeCell ref="I2:L2"/>
    <mergeCell ref="I3:L3"/>
    <mergeCell ref="J8:L9"/>
    <mergeCell ref="C17:H17"/>
    <mergeCell ref="C18:H18"/>
    <mergeCell ref="C9:H9"/>
    <mergeCell ref="C10:H10"/>
    <mergeCell ref="J10:L11"/>
    <mergeCell ref="C11:H11"/>
    <mergeCell ref="C12:H12"/>
    <mergeCell ref="J12:L13"/>
    <mergeCell ref="C13:H13"/>
    <mergeCell ref="I57:J57"/>
    <mergeCell ref="K57:L57"/>
    <mergeCell ref="I62:J62"/>
    <mergeCell ref="K62:L62"/>
    <mergeCell ref="A45:L45"/>
    <mergeCell ref="J33:J37"/>
    <mergeCell ref="K33:K37"/>
    <mergeCell ref="L33:L37"/>
    <mergeCell ref="A34:A37"/>
    <mergeCell ref="B34:B37"/>
    <mergeCell ref="A33:B33"/>
    <mergeCell ref="C33:C37"/>
    <mergeCell ref="D33:D37"/>
    <mergeCell ref="E33:E37"/>
    <mergeCell ref="F33:F37"/>
    <mergeCell ref="G33:G37"/>
    <mergeCell ref="H33:H37"/>
    <mergeCell ref="I33:I37"/>
    <mergeCell ref="I78:J78"/>
    <mergeCell ref="K78:L78"/>
    <mergeCell ref="I83:J83"/>
    <mergeCell ref="K83:L83"/>
    <mergeCell ref="I85:J85"/>
    <mergeCell ref="K85:L85"/>
    <mergeCell ref="I64:J64"/>
    <mergeCell ref="K64:L64"/>
    <mergeCell ref="I66:J66"/>
    <mergeCell ref="K66:L66"/>
    <mergeCell ref="I68:J68"/>
    <mergeCell ref="K68:L68"/>
    <mergeCell ref="K93:L93"/>
    <mergeCell ref="I95:J95"/>
    <mergeCell ref="K95:L95"/>
    <mergeCell ref="A97:H97"/>
    <mergeCell ref="I97:J97"/>
    <mergeCell ref="K97:L97"/>
    <mergeCell ref="I87:J87"/>
    <mergeCell ref="K87:L87"/>
    <mergeCell ref="I89:J89"/>
    <mergeCell ref="K89:L89"/>
    <mergeCell ref="I91:J91"/>
    <mergeCell ref="K91:L91"/>
    <mergeCell ref="D110:H110"/>
    <mergeCell ref="D111:H111"/>
    <mergeCell ref="I1:L1"/>
    <mergeCell ref="J4:L4"/>
    <mergeCell ref="J5:L5"/>
    <mergeCell ref="J6:L7"/>
    <mergeCell ref="G20:H20"/>
    <mergeCell ref="J20:L20"/>
    <mergeCell ref="I24:I25"/>
    <mergeCell ref="J24:J25"/>
    <mergeCell ref="I106:J106"/>
    <mergeCell ref="K106:L106"/>
    <mergeCell ref="I107:J107"/>
    <mergeCell ref="K107:L107"/>
    <mergeCell ref="I108:J108"/>
    <mergeCell ref="K108:L108"/>
    <mergeCell ref="A101:H101"/>
    <mergeCell ref="I101:J101"/>
    <mergeCell ref="K101:L101"/>
    <mergeCell ref="I104:J104"/>
    <mergeCell ref="K104:L104"/>
    <mergeCell ref="I105:J105"/>
    <mergeCell ref="K105:L105"/>
    <mergeCell ref="I93:J93"/>
    <mergeCell ref="A30:L30"/>
    <mergeCell ref="A40:L40"/>
    <mergeCell ref="A41:L41"/>
    <mergeCell ref="A42:L42"/>
    <mergeCell ref="A43:L43"/>
    <mergeCell ref="A44:L44"/>
    <mergeCell ref="A7:B7"/>
    <mergeCell ref="C7:H7"/>
    <mergeCell ref="C8:H8"/>
    <mergeCell ref="A9:B9"/>
    <mergeCell ref="J16:L17"/>
    <mergeCell ref="G19:I19"/>
    <mergeCell ref="J19:L19"/>
    <mergeCell ref="A32:L32"/>
    <mergeCell ref="K24:L24"/>
    <mergeCell ref="A27:L27"/>
    <mergeCell ref="A28:L28"/>
    <mergeCell ref="A29:L29"/>
    <mergeCell ref="J21:L21"/>
    <mergeCell ref="J22:L22"/>
    <mergeCell ref="C14:H14"/>
    <mergeCell ref="J14:L15"/>
    <mergeCell ref="C15:H15"/>
    <mergeCell ref="C16:H16"/>
  </mergeCells>
  <pageMargins left="0.4" right="0.2" top="0.2" bottom="0.4" header="0.2" footer="0.2"/>
  <pageSetup paperSize="9" scale="59" fitToHeight="0" orientation="portrait" r:id="rId1"/>
  <headerFooter>
    <oddHeader>&amp;L&amp;8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V131"/>
  <sheetViews>
    <sheetView view="pageBreakPreview" topLeftCell="A33" zoomScale="85" zoomScaleNormal="70" zoomScaleSheetLayoutView="85" workbookViewId="0">
      <selection activeCell="G55" sqref="G55"/>
    </sheetView>
  </sheetViews>
  <sheetFormatPr defaultRowHeight="12.75" x14ac:dyDescent="0.2"/>
  <cols>
    <col min="1" max="1" width="5.7109375" style="326" customWidth="1"/>
    <col min="2" max="2" width="7" style="326" customWidth="1"/>
    <col min="3" max="3" width="11.7109375" style="326" customWidth="1"/>
    <col min="4" max="4" width="40.7109375" style="326" customWidth="1"/>
    <col min="5" max="6" width="11.7109375" style="326" customWidth="1"/>
    <col min="7" max="7" width="14" style="326" customWidth="1"/>
    <col min="8" max="8" width="12.7109375" style="326" customWidth="1"/>
    <col min="9" max="9" width="13.42578125" style="326" customWidth="1"/>
    <col min="10" max="12" width="12.7109375" style="326" customWidth="1"/>
    <col min="13" max="13" width="11.85546875" style="326" bestFit="1" customWidth="1"/>
    <col min="14" max="14" width="9.140625" style="326"/>
    <col min="15" max="35" width="0" style="326" hidden="1" customWidth="1"/>
    <col min="36" max="36" width="99.7109375" style="326" hidden="1" customWidth="1"/>
    <col min="37" max="37" width="155.7109375" style="326" hidden="1" customWidth="1"/>
    <col min="38" max="38" width="109.7109375" style="326" hidden="1" customWidth="1"/>
    <col min="39" max="42" width="0" style="326" hidden="1" customWidth="1"/>
    <col min="43" max="16384" width="9.140625" style="326"/>
  </cols>
  <sheetData>
    <row r="1" spans="1:12" hidden="1" x14ac:dyDescent="0.2">
      <c r="A1" s="325" t="str">
        <f>[82]Source!B1</f>
        <v>Smeta.RU  (495) 974-1589</v>
      </c>
    </row>
    <row r="2" spans="1:12" ht="15" hidden="1" x14ac:dyDescent="0.25">
      <c r="A2" s="327"/>
      <c r="B2" s="327"/>
      <c r="C2" s="328"/>
      <c r="D2" s="328"/>
      <c r="E2" s="328"/>
      <c r="F2" s="327"/>
      <c r="G2" s="327"/>
      <c r="H2" s="327"/>
      <c r="I2" s="667" t="s">
        <v>0</v>
      </c>
      <c r="J2" s="667"/>
      <c r="K2" s="667"/>
      <c r="L2" s="667"/>
    </row>
    <row r="3" spans="1:12" ht="14.25" hidden="1" x14ac:dyDescent="0.2">
      <c r="A3" s="327"/>
      <c r="B3" s="327"/>
      <c r="C3" s="327"/>
      <c r="D3" s="327"/>
      <c r="E3" s="327"/>
      <c r="F3" s="327"/>
      <c r="G3" s="327"/>
      <c r="H3" s="327"/>
      <c r="I3" s="667" t="s">
        <v>1</v>
      </c>
      <c r="J3" s="667"/>
      <c r="K3" s="667"/>
      <c r="L3" s="667"/>
    </row>
    <row r="4" spans="1:12" ht="14.25" hidden="1" x14ac:dyDescent="0.2">
      <c r="A4" s="327"/>
      <c r="B4" s="327"/>
      <c r="C4" s="327"/>
      <c r="D4" s="327"/>
      <c r="E4" s="327"/>
      <c r="F4" s="327"/>
      <c r="G4" s="327"/>
      <c r="H4" s="327"/>
      <c r="I4" s="667" t="s">
        <v>2</v>
      </c>
      <c r="J4" s="667"/>
      <c r="K4" s="667"/>
      <c r="L4" s="667"/>
    </row>
    <row r="5" spans="1:12" ht="14.25" hidden="1" x14ac:dyDescent="0.2">
      <c r="A5" s="327"/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</row>
    <row r="6" spans="1:12" ht="14.25" hidden="1" x14ac:dyDescent="0.2">
      <c r="A6" s="327"/>
      <c r="B6" s="327"/>
      <c r="C6" s="327"/>
      <c r="D6" s="327"/>
      <c r="E6" s="327"/>
      <c r="F6" s="327"/>
      <c r="G6" s="327"/>
      <c r="H6" s="327"/>
      <c r="I6" s="327"/>
      <c r="J6" s="327"/>
      <c r="K6" s="327"/>
      <c r="L6" s="327"/>
    </row>
    <row r="7" spans="1:12" ht="14.25" hidden="1" x14ac:dyDescent="0.2">
      <c r="A7" s="327"/>
      <c r="B7" s="327"/>
      <c r="C7" s="327"/>
      <c r="D7" s="327"/>
      <c r="E7" s="327"/>
      <c r="F7" s="327"/>
      <c r="G7" s="327"/>
      <c r="H7" s="327"/>
      <c r="I7" s="327"/>
      <c r="J7" s="651" t="s">
        <v>3</v>
      </c>
      <c r="K7" s="651"/>
      <c r="L7" s="651"/>
    </row>
    <row r="8" spans="1:12" ht="14.25" hidden="1" x14ac:dyDescent="0.2">
      <c r="A8" s="327"/>
      <c r="B8" s="327"/>
      <c r="C8" s="327"/>
      <c r="D8" s="327"/>
      <c r="E8" s="327"/>
      <c r="F8" s="327"/>
      <c r="G8" s="327"/>
      <c r="H8" s="327"/>
      <c r="I8" s="329" t="s">
        <v>4</v>
      </c>
      <c r="J8" s="668" t="s">
        <v>5</v>
      </c>
      <c r="K8" s="668"/>
      <c r="L8" s="668"/>
    </row>
    <row r="9" spans="1:12" ht="14.25" hidden="1" x14ac:dyDescent="0.2">
      <c r="A9" s="327"/>
      <c r="B9" s="327"/>
      <c r="C9" s="327"/>
      <c r="D9" s="327"/>
      <c r="E9" s="327"/>
      <c r="F9" s="327"/>
      <c r="G9" s="327"/>
      <c r="H9" s="327"/>
      <c r="I9" s="327"/>
      <c r="J9" s="666" t="s">
        <v>6</v>
      </c>
      <c r="K9" s="666"/>
      <c r="L9" s="666"/>
    </row>
    <row r="10" spans="1:12" ht="14.25" hidden="1" x14ac:dyDescent="0.2">
      <c r="A10" s="327" t="s">
        <v>218</v>
      </c>
      <c r="B10" s="327"/>
      <c r="C10" s="611" t="s">
        <v>219</v>
      </c>
      <c r="D10" s="611"/>
      <c r="E10" s="611"/>
      <c r="F10" s="611"/>
      <c r="G10" s="611"/>
      <c r="H10" s="611"/>
      <c r="I10" s="329" t="s">
        <v>9</v>
      </c>
      <c r="J10" s="666"/>
      <c r="K10" s="666"/>
      <c r="L10" s="666"/>
    </row>
    <row r="11" spans="1:12" ht="14.25" hidden="1" x14ac:dyDescent="0.2">
      <c r="A11" s="327"/>
      <c r="B11" s="327"/>
      <c r="C11" s="648" t="s">
        <v>10</v>
      </c>
      <c r="D11" s="648"/>
      <c r="E11" s="648"/>
      <c r="F11" s="648"/>
      <c r="G11" s="648"/>
      <c r="H11" s="648"/>
      <c r="I11" s="327"/>
      <c r="J11" s="660" t="s">
        <v>11</v>
      </c>
      <c r="K11" s="661"/>
      <c r="L11" s="662"/>
    </row>
    <row r="12" spans="1:12" ht="14.25" hidden="1" x14ac:dyDescent="0.2">
      <c r="A12" s="327" t="s">
        <v>220</v>
      </c>
      <c r="B12" s="327"/>
      <c r="C12" s="611" t="s">
        <v>221</v>
      </c>
      <c r="D12" s="611"/>
      <c r="E12" s="611"/>
      <c r="F12" s="611"/>
      <c r="G12" s="611"/>
      <c r="H12" s="611"/>
      <c r="I12" s="329" t="s">
        <v>9</v>
      </c>
      <c r="J12" s="663"/>
      <c r="K12" s="664"/>
      <c r="L12" s="665"/>
    </row>
    <row r="13" spans="1:12" ht="14.25" hidden="1" x14ac:dyDescent="0.2">
      <c r="A13" s="327"/>
      <c r="B13" s="327"/>
      <c r="C13" s="648" t="s">
        <v>10</v>
      </c>
      <c r="D13" s="648"/>
      <c r="E13" s="648"/>
      <c r="F13" s="648"/>
      <c r="G13" s="648"/>
      <c r="H13" s="648"/>
      <c r="I13" s="327"/>
      <c r="J13" s="666">
        <v>29478604</v>
      </c>
      <c r="K13" s="666"/>
      <c r="L13" s="666"/>
    </row>
    <row r="14" spans="1:12" ht="14.25" hidden="1" x14ac:dyDescent="0.2">
      <c r="A14" s="327" t="s">
        <v>15</v>
      </c>
      <c r="B14" s="327"/>
      <c r="C14" s="611" t="s">
        <v>222</v>
      </c>
      <c r="D14" s="611"/>
      <c r="E14" s="611"/>
      <c r="F14" s="611"/>
      <c r="G14" s="611"/>
      <c r="H14" s="611"/>
      <c r="I14" s="329" t="s">
        <v>9</v>
      </c>
      <c r="J14" s="666"/>
      <c r="K14" s="666"/>
      <c r="L14" s="666"/>
    </row>
    <row r="15" spans="1:12" ht="14.25" hidden="1" x14ac:dyDescent="0.2">
      <c r="A15" s="327"/>
      <c r="B15" s="327"/>
      <c r="C15" s="648" t="s">
        <v>10</v>
      </c>
      <c r="D15" s="648"/>
      <c r="E15" s="648"/>
      <c r="F15" s="648"/>
      <c r="G15" s="648"/>
      <c r="H15" s="648"/>
      <c r="I15" s="327"/>
      <c r="J15" s="660" t="s">
        <v>132</v>
      </c>
      <c r="K15" s="661"/>
      <c r="L15" s="662"/>
    </row>
    <row r="16" spans="1:12" ht="14.25" hidden="1" customHeight="1" x14ac:dyDescent="0.2">
      <c r="A16" s="327" t="s">
        <v>185</v>
      </c>
      <c r="B16" s="327"/>
      <c r="C16" s="611" t="s">
        <v>213</v>
      </c>
      <c r="D16" s="611"/>
      <c r="E16" s="611"/>
      <c r="F16" s="611"/>
      <c r="G16" s="611"/>
      <c r="H16" s="611"/>
      <c r="I16" s="329" t="s">
        <v>9</v>
      </c>
      <c r="J16" s="663"/>
      <c r="K16" s="664"/>
      <c r="L16" s="665"/>
    </row>
    <row r="17" spans="1:36" ht="14.25" hidden="1" x14ac:dyDescent="0.2">
      <c r="A17" s="327"/>
      <c r="B17" s="327"/>
      <c r="C17" s="648" t="s">
        <v>10</v>
      </c>
      <c r="D17" s="648"/>
      <c r="E17" s="648"/>
      <c r="F17" s="648"/>
      <c r="G17" s="648"/>
      <c r="H17" s="648"/>
      <c r="I17" s="327"/>
      <c r="J17" s="330"/>
      <c r="K17" s="331"/>
      <c r="L17" s="332"/>
    </row>
    <row r="18" spans="1:36" ht="29.25" hidden="1" customHeight="1" x14ac:dyDescent="0.2">
      <c r="A18" s="327" t="s">
        <v>17</v>
      </c>
      <c r="B18" s="327"/>
      <c r="C18" s="659" t="s">
        <v>223</v>
      </c>
      <c r="D18" s="659"/>
      <c r="E18" s="659"/>
      <c r="F18" s="659"/>
      <c r="G18" s="659"/>
      <c r="H18" s="659"/>
      <c r="I18" s="327"/>
      <c r="J18" s="333"/>
      <c r="K18" s="334"/>
      <c r="L18" s="335"/>
      <c r="AJ18" s="336" t="s">
        <v>224</v>
      </c>
    </row>
    <row r="19" spans="1:36" ht="14.25" hidden="1" x14ac:dyDescent="0.2">
      <c r="A19" s="327"/>
      <c r="B19" s="327"/>
      <c r="C19" s="648" t="s">
        <v>20</v>
      </c>
      <c r="D19" s="648"/>
      <c r="E19" s="648"/>
      <c r="F19" s="648"/>
      <c r="G19" s="648"/>
      <c r="H19" s="648"/>
      <c r="I19" s="327"/>
      <c r="J19" s="651"/>
      <c r="K19" s="651"/>
      <c r="L19" s="651"/>
    </row>
    <row r="20" spans="1:36" ht="28.5" hidden="1" customHeight="1" x14ac:dyDescent="0.2">
      <c r="A20" s="327" t="s">
        <v>21</v>
      </c>
      <c r="B20" s="327"/>
      <c r="C20" s="659" t="s">
        <v>223</v>
      </c>
      <c r="D20" s="659"/>
      <c r="E20" s="659"/>
      <c r="F20" s="659"/>
      <c r="G20" s="659"/>
      <c r="H20" s="659"/>
      <c r="I20" s="327"/>
      <c r="J20" s="651"/>
      <c r="K20" s="651"/>
      <c r="L20" s="651"/>
      <c r="AJ20" s="337" t="e">
        <f>IF([80]Source!G13&lt;&gt;"Новый объект", [80]Source!G13, "")</f>
        <v>#REF!</v>
      </c>
    </row>
    <row r="21" spans="1:36" ht="14.25" hidden="1" x14ac:dyDescent="0.2">
      <c r="A21" s="327"/>
      <c r="B21" s="327"/>
      <c r="C21" s="648" t="s">
        <v>22</v>
      </c>
      <c r="D21" s="648"/>
      <c r="E21" s="648"/>
      <c r="F21" s="648"/>
      <c r="G21" s="648"/>
      <c r="H21" s="648"/>
      <c r="I21" s="327"/>
      <c r="J21" s="327"/>
      <c r="K21" s="327"/>
      <c r="L21" s="327"/>
    </row>
    <row r="22" spans="1:36" ht="14.25" hidden="1" x14ac:dyDescent="0.2">
      <c r="A22" s="327"/>
      <c r="B22" s="327"/>
      <c r="C22" s="327"/>
      <c r="D22" s="327"/>
      <c r="E22" s="327"/>
      <c r="F22" s="327"/>
      <c r="G22" s="649" t="s">
        <v>23</v>
      </c>
      <c r="H22" s="649"/>
      <c r="I22" s="650"/>
      <c r="J22" s="651"/>
      <c r="K22" s="651"/>
      <c r="L22" s="651"/>
    </row>
    <row r="23" spans="1:36" ht="14.25" hidden="1" x14ac:dyDescent="0.2">
      <c r="A23" s="327"/>
      <c r="B23" s="327"/>
      <c r="C23" s="327"/>
      <c r="D23" s="327"/>
      <c r="E23" s="327"/>
      <c r="F23" s="327"/>
      <c r="G23" s="649" t="s">
        <v>24</v>
      </c>
      <c r="H23" s="652"/>
      <c r="I23" s="338" t="s">
        <v>25</v>
      </c>
      <c r="J23" s="651" t="s">
        <v>225</v>
      </c>
      <c r="K23" s="651"/>
      <c r="L23" s="651"/>
    </row>
    <row r="24" spans="1:36" ht="14.25" hidden="1" x14ac:dyDescent="0.2">
      <c r="A24" s="327"/>
      <c r="B24" s="327"/>
      <c r="C24" s="327"/>
      <c r="D24" s="327"/>
      <c r="E24" s="327"/>
      <c r="F24" s="327"/>
      <c r="G24" s="327"/>
      <c r="H24" s="327"/>
      <c r="I24" s="339" t="s">
        <v>26</v>
      </c>
      <c r="J24" s="653">
        <v>43713</v>
      </c>
      <c r="K24" s="653"/>
      <c r="L24" s="653"/>
    </row>
    <row r="25" spans="1:36" ht="14.25" hidden="1" x14ac:dyDescent="0.2">
      <c r="A25" s="327"/>
      <c r="B25" s="327"/>
      <c r="C25" s="327"/>
      <c r="D25" s="327"/>
      <c r="E25" s="327"/>
      <c r="F25" s="327"/>
      <c r="G25" s="327"/>
      <c r="H25" s="327"/>
      <c r="I25" s="329" t="s">
        <v>27</v>
      </c>
      <c r="J25" s="651"/>
      <c r="K25" s="651"/>
      <c r="L25" s="651"/>
    </row>
    <row r="26" spans="1:36" ht="14.25" hidden="1" x14ac:dyDescent="0.2">
      <c r="A26" s="327"/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</row>
    <row r="27" spans="1:36" ht="14.25" hidden="1" x14ac:dyDescent="0.2">
      <c r="A27" s="327"/>
      <c r="B27" s="327"/>
      <c r="C27" s="327"/>
      <c r="D27" s="327"/>
      <c r="E27" s="327"/>
      <c r="F27" s="327"/>
      <c r="G27" s="654" t="s">
        <v>28</v>
      </c>
      <c r="H27" s="656" t="s">
        <v>29</v>
      </c>
      <c r="I27" s="656" t="s">
        <v>30</v>
      </c>
      <c r="J27" s="658"/>
      <c r="K27" s="327"/>
      <c r="L27" s="327"/>
    </row>
    <row r="28" spans="1:36" ht="14.25" hidden="1" x14ac:dyDescent="0.2">
      <c r="A28" s="327"/>
      <c r="B28" s="327"/>
      <c r="C28" s="327"/>
      <c r="D28" s="327"/>
      <c r="E28" s="327"/>
      <c r="F28" s="327"/>
      <c r="G28" s="655"/>
      <c r="H28" s="657"/>
      <c r="I28" s="340" t="s">
        <v>31</v>
      </c>
      <c r="J28" s="341" t="s">
        <v>32</v>
      </c>
      <c r="K28" s="327"/>
      <c r="L28" s="327"/>
    </row>
    <row r="29" spans="1:36" ht="14.25" hidden="1" x14ac:dyDescent="0.2">
      <c r="A29" s="327"/>
      <c r="B29" s="327"/>
      <c r="C29" s="327"/>
      <c r="D29" s="327"/>
      <c r="E29" s="327"/>
      <c r="F29" s="327"/>
      <c r="G29" s="342">
        <v>44082</v>
      </c>
      <c r="H29" s="342">
        <v>44012</v>
      </c>
      <c r="I29" s="342" t="s">
        <v>237</v>
      </c>
      <c r="J29" s="343" t="s">
        <v>238</v>
      </c>
      <c r="K29" s="327"/>
      <c r="L29" s="327"/>
    </row>
    <row r="30" spans="1:36" ht="14.25" hidden="1" x14ac:dyDescent="0.2">
      <c r="A30" s="327"/>
      <c r="B30" s="327"/>
      <c r="C30" s="327"/>
      <c r="D30" s="327"/>
      <c r="E30" s="327"/>
      <c r="F30" s="327"/>
      <c r="G30" s="327"/>
      <c r="H30" s="327"/>
      <c r="I30" s="327"/>
      <c r="J30" s="327"/>
      <c r="K30" s="327"/>
      <c r="L30" s="327"/>
    </row>
    <row r="31" spans="1:36" ht="18" hidden="1" x14ac:dyDescent="0.25">
      <c r="A31" s="647" t="s">
        <v>34</v>
      </c>
      <c r="B31" s="647"/>
      <c r="C31" s="647"/>
      <c r="D31" s="647"/>
      <c r="E31" s="647"/>
      <c r="F31" s="647"/>
      <c r="G31" s="647"/>
      <c r="H31" s="647"/>
      <c r="I31" s="647"/>
      <c r="J31" s="647"/>
      <c r="K31" s="647"/>
      <c r="L31" s="647"/>
    </row>
    <row r="32" spans="1:36" ht="18" hidden="1" x14ac:dyDescent="0.25">
      <c r="A32" s="647" t="s">
        <v>35</v>
      </c>
      <c r="B32" s="647"/>
      <c r="C32" s="647"/>
      <c r="D32" s="647"/>
      <c r="E32" s="647"/>
      <c r="F32" s="647"/>
      <c r="G32" s="647"/>
      <c r="H32" s="647"/>
      <c r="I32" s="647"/>
      <c r="J32" s="647"/>
      <c r="K32" s="647"/>
      <c r="L32" s="647"/>
    </row>
    <row r="33" spans="1:37" ht="15" x14ac:dyDescent="0.25">
      <c r="A33" s="615" t="s">
        <v>380</v>
      </c>
      <c r="B33" s="615"/>
      <c r="C33" s="615"/>
      <c r="D33" s="615"/>
      <c r="E33" s="615"/>
      <c r="F33" s="615"/>
      <c r="G33" s="615"/>
      <c r="H33" s="615"/>
      <c r="I33" s="615"/>
      <c r="J33" s="615"/>
      <c r="K33" s="615"/>
      <c r="L33" s="615"/>
    </row>
    <row r="34" spans="1:37" ht="15" customHeight="1" x14ac:dyDescent="0.2">
      <c r="A34" s="591" t="s">
        <v>239</v>
      </c>
      <c r="B34" s="591"/>
      <c r="C34" s="591"/>
      <c r="D34" s="591"/>
      <c r="E34" s="591"/>
      <c r="F34" s="591"/>
      <c r="G34" s="591"/>
      <c r="H34" s="591"/>
      <c r="I34" s="591"/>
      <c r="J34" s="591"/>
      <c r="K34" s="591"/>
      <c r="L34" s="591"/>
    </row>
    <row r="35" spans="1:37" ht="28.5" x14ac:dyDescent="0.2">
      <c r="A35" s="611" t="s">
        <v>226</v>
      </c>
      <c r="B35" s="611"/>
      <c r="C35" s="611"/>
      <c r="D35" s="611"/>
      <c r="E35" s="611"/>
      <c r="F35" s="611"/>
      <c r="G35" s="611"/>
      <c r="H35" s="611"/>
      <c r="I35" s="611"/>
      <c r="J35" s="611"/>
      <c r="K35" s="611"/>
      <c r="L35" s="611"/>
      <c r="AK35" s="336" t="s">
        <v>226</v>
      </c>
    </row>
    <row r="36" spans="1:37" ht="14.25" x14ac:dyDescent="0.2">
      <c r="A36" s="642" t="s">
        <v>36</v>
      </c>
      <c r="B36" s="642"/>
      <c r="C36" s="642" t="s">
        <v>37</v>
      </c>
      <c r="D36" s="642" t="s">
        <v>38</v>
      </c>
      <c r="E36" s="642" t="s">
        <v>39</v>
      </c>
      <c r="F36" s="642" t="s">
        <v>40</v>
      </c>
      <c r="G36" s="642" t="s">
        <v>41</v>
      </c>
      <c r="H36" s="643" t="s">
        <v>42</v>
      </c>
      <c r="I36" s="643" t="s">
        <v>43</v>
      </c>
      <c r="J36" s="642" t="s">
        <v>227</v>
      </c>
      <c r="K36" s="642" t="s">
        <v>44</v>
      </c>
      <c r="L36" s="642" t="s">
        <v>45</v>
      </c>
    </row>
    <row r="37" spans="1:37" x14ac:dyDescent="0.2">
      <c r="A37" s="643" t="s">
        <v>46</v>
      </c>
      <c r="B37" s="643" t="s">
        <v>47</v>
      </c>
      <c r="C37" s="642"/>
      <c r="D37" s="642"/>
      <c r="E37" s="642"/>
      <c r="F37" s="642"/>
      <c r="G37" s="642"/>
      <c r="H37" s="644"/>
      <c r="I37" s="644"/>
      <c r="J37" s="642"/>
      <c r="K37" s="642"/>
      <c r="L37" s="642"/>
    </row>
    <row r="38" spans="1:37" x14ac:dyDescent="0.2">
      <c r="A38" s="644"/>
      <c r="B38" s="644"/>
      <c r="C38" s="642"/>
      <c r="D38" s="642"/>
      <c r="E38" s="642"/>
      <c r="F38" s="642"/>
      <c r="G38" s="642"/>
      <c r="H38" s="644"/>
      <c r="I38" s="644"/>
      <c r="J38" s="642"/>
      <c r="K38" s="642"/>
      <c r="L38" s="642"/>
    </row>
    <row r="39" spans="1:37" ht="20.100000000000001" customHeight="1" x14ac:dyDescent="0.2">
      <c r="A39" s="644"/>
      <c r="B39" s="644"/>
      <c r="C39" s="642"/>
      <c r="D39" s="642"/>
      <c r="E39" s="642"/>
      <c r="F39" s="642"/>
      <c r="G39" s="642"/>
      <c r="H39" s="644"/>
      <c r="I39" s="644"/>
      <c r="J39" s="642"/>
      <c r="K39" s="642"/>
      <c r="L39" s="642"/>
    </row>
    <row r="40" spans="1:37" ht="20.100000000000001" customHeight="1" x14ac:dyDescent="0.2">
      <c r="A40" s="645"/>
      <c r="B40" s="645"/>
      <c r="C40" s="642"/>
      <c r="D40" s="642"/>
      <c r="E40" s="642"/>
      <c r="F40" s="642"/>
      <c r="G40" s="642"/>
      <c r="H40" s="645"/>
      <c r="I40" s="645"/>
      <c r="J40" s="642"/>
      <c r="K40" s="642"/>
      <c r="L40" s="642"/>
    </row>
    <row r="41" spans="1:37" ht="14.25" x14ac:dyDescent="0.2">
      <c r="A41" s="344">
        <v>1</v>
      </c>
      <c r="B41" s="344">
        <v>2</v>
      </c>
      <c r="C41" s="344">
        <v>3</v>
      </c>
      <c r="D41" s="344">
        <v>4</v>
      </c>
      <c r="E41" s="344">
        <v>5</v>
      </c>
      <c r="F41" s="344">
        <v>6</v>
      </c>
      <c r="G41" s="344">
        <v>7</v>
      </c>
      <c r="H41" s="344">
        <v>8</v>
      </c>
      <c r="I41" s="344">
        <v>9</v>
      </c>
      <c r="J41" s="344">
        <v>10</v>
      </c>
      <c r="K41" s="344">
        <v>11</v>
      </c>
      <c r="L41" s="344">
        <v>12</v>
      </c>
    </row>
    <row r="43" spans="1:37" ht="15.75" x14ac:dyDescent="0.25">
      <c r="A43" s="592" t="s">
        <v>48</v>
      </c>
      <c r="B43" s="592"/>
      <c r="C43" s="592"/>
      <c r="D43" s="592"/>
      <c r="E43" s="592"/>
      <c r="F43" s="592"/>
      <c r="G43" s="592"/>
      <c r="H43" s="592"/>
      <c r="I43" s="592"/>
      <c r="J43" s="592"/>
      <c r="K43" s="592"/>
      <c r="L43" s="592"/>
    </row>
    <row r="44" spans="1:37" ht="15.75" x14ac:dyDescent="0.25">
      <c r="A44" s="592" t="s">
        <v>381</v>
      </c>
      <c r="B44" s="592"/>
      <c r="C44" s="592"/>
      <c r="D44" s="592"/>
      <c r="E44" s="592"/>
      <c r="F44" s="592"/>
      <c r="G44" s="592"/>
      <c r="H44" s="592"/>
      <c r="I44" s="592"/>
      <c r="J44" s="592"/>
      <c r="K44" s="592"/>
      <c r="L44" s="592"/>
    </row>
    <row r="45" spans="1:37" ht="15.75" x14ac:dyDescent="0.25">
      <c r="A45" s="592" t="s">
        <v>382</v>
      </c>
      <c r="B45" s="592"/>
      <c r="C45" s="592"/>
      <c r="D45" s="592"/>
      <c r="E45" s="592"/>
      <c r="F45" s="592"/>
      <c r="G45" s="592"/>
      <c r="H45" s="592"/>
      <c r="I45" s="592"/>
      <c r="J45" s="592"/>
      <c r="K45" s="592"/>
      <c r="L45" s="592"/>
    </row>
    <row r="46" spans="1:37" ht="15.75" hidden="1" x14ac:dyDescent="0.25">
      <c r="A46" s="593" t="s">
        <v>49</v>
      </c>
      <c r="B46" s="594"/>
      <c r="C46" s="594"/>
      <c r="D46" s="594"/>
      <c r="E46" s="594"/>
      <c r="F46" s="594"/>
      <c r="G46" s="594"/>
      <c r="H46" s="594"/>
      <c r="I46" s="594"/>
      <c r="J46" s="594"/>
      <c r="K46" s="594"/>
      <c r="L46" s="595"/>
    </row>
    <row r="47" spans="1:37" ht="15.75" hidden="1" x14ac:dyDescent="0.2">
      <c r="A47" s="596" t="s">
        <v>50</v>
      </c>
      <c r="B47" s="596"/>
      <c r="C47" s="596"/>
      <c r="D47" s="596"/>
      <c r="E47" s="596"/>
      <c r="F47" s="596"/>
      <c r="G47" s="596"/>
      <c r="H47" s="596"/>
      <c r="I47" s="596"/>
      <c r="J47" s="596"/>
      <c r="K47" s="596"/>
      <c r="L47" s="596"/>
    </row>
    <row r="48" spans="1:37" ht="15.75" hidden="1" x14ac:dyDescent="0.2">
      <c r="A48" s="596" t="s">
        <v>51</v>
      </c>
      <c r="B48" s="596"/>
      <c r="C48" s="596"/>
      <c r="D48" s="596"/>
      <c r="E48" s="596"/>
      <c r="F48" s="596"/>
      <c r="G48" s="596"/>
      <c r="H48" s="596"/>
      <c r="I48" s="596"/>
      <c r="J48" s="596"/>
      <c r="K48" s="596"/>
      <c r="L48" s="596"/>
    </row>
    <row r="49" spans="1:27" ht="14.25" x14ac:dyDescent="0.2">
      <c r="A49" s="14" t="s">
        <v>379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1" spans="1:27" ht="16.5" x14ac:dyDescent="0.25">
      <c r="A51" s="646" t="str">
        <f>CONCATENATE("Раздел: ",IF([82]Source!G1404&lt;&gt;"Новый раздел", [82]Source!G1404, ""))</f>
        <v>Раздел: Водоотвод напорный (К2Н)</v>
      </c>
      <c r="B51" s="646"/>
      <c r="C51" s="646"/>
      <c r="D51" s="646"/>
      <c r="E51" s="646"/>
      <c r="F51" s="646"/>
      <c r="G51" s="646"/>
      <c r="H51" s="646"/>
      <c r="I51" s="646"/>
      <c r="J51" s="646"/>
      <c r="K51" s="646"/>
      <c r="L51" s="646"/>
    </row>
    <row r="52" spans="1:27" ht="42.75" x14ac:dyDescent="0.2">
      <c r="A52" s="346">
        <v>1</v>
      </c>
      <c r="B52" s="346" t="str">
        <f>[82]Source!E1439</f>
        <v>388</v>
      </c>
      <c r="C52" s="347" t="str">
        <f>[82]Source!F1439</f>
        <v>3.16-9-7</v>
      </c>
      <c r="D52" s="347" t="s">
        <v>240</v>
      </c>
      <c r="E52" s="348" t="str">
        <f>[82]Source!H1439</f>
        <v>100 м трубопровода</v>
      </c>
      <c r="F52" s="329">
        <f>[82]Source!I1439</f>
        <v>1.98</v>
      </c>
      <c r="G52" s="349"/>
      <c r="H52" s="350"/>
      <c r="I52" s="329"/>
      <c r="J52" s="351"/>
      <c r="K52" s="329"/>
      <c r="L52" s="351"/>
      <c r="Q52" s="326">
        <f>ROUND(([82]Source!DN1439/100)*ROUND((ROUND(([82]Source!AF1439*[82]Source!AV1439*[82]Source!I1439),2)),2), 2)</f>
        <v>9026.66</v>
      </c>
      <c r="R52" s="326">
        <f>[82]Source!X1439</f>
        <v>174972.83</v>
      </c>
      <c r="S52" s="326">
        <f>ROUND(([82]Source!DO1439/100)*ROUND((ROUND(([82]Source!AF1439*[82]Source!AV1439*[82]Source!I1439),2)),2), 2)</f>
        <v>6788.05</v>
      </c>
      <c r="T52" s="326">
        <f>[82]Source!Y1439</f>
        <v>78737.77</v>
      </c>
      <c r="U52" s="326">
        <f>ROUND((175/100)*ROUND((ROUND(([82]Source!AE1439*[82]Source!AV1439*[82]Source!I1439),2)),2), 2)</f>
        <v>396.03</v>
      </c>
      <c r="V52" s="326">
        <f>ROUND((157/100)*ROUND(ROUND((ROUND(([82]Source!AE1439*[82]Source!AV1439*[82]Source!I1439),2)*[82]Source!BS1439),2), 2), 2)</f>
        <v>8608.7000000000007</v>
      </c>
    </row>
    <row r="53" spans="1:27" ht="14.25" x14ac:dyDescent="0.2">
      <c r="A53" s="346"/>
      <c r="B53" s="346"/>
      <c r="C53" s="347"/>
      <c r="D53" s="347" t="s">
        <v>52</v>
      </c>
      <c r="E53" s="348"/>
      <c r="F53" s="329"/>
      <c r="G53" s="349">
        <f>[82]Source!AO1439</f>
        <v>2046.78</v>
      </c>
      <c r="H53" s="350" t="str">
        <f>[82]Source!DG1439</f>
        <v>*1,67</v>
      </c>
      <c r="I53" s="329">
        <f>[82]Source!AV1439</f>
        <v>1.0669999999999999</v>
      </c>
      <c r="J53" s="351">
        <f>ROUND((ROUND(([82]Source!AF1439*[82]Source!AV1439*[82]Source!I1439),2)),2)</f>
        <v>7221.33</v>
      </c>
      <c r="K53" s="329">
        <f>IF([82]Source!BA1439&lt;&gt; 0, [82]Source!BA1439, 1)</f>
        <v>24.23</v>
      </c>
      <c r="L53" s="351">
        <f>[82]Source!S1439</f>
        <v>174972.83</v>
      </c>
      <c r="W53" s="326">
        <f>J53</f>
        <v>7221.33</v>
      </c>
    </row>
    <row r="54" spans="1:27" ht="14.25" x14ac:dyDescent="0.2">
      <c r="A54" s="346"/>
      <c r="B54" s="346"/>
      <c r="C54" s="347"/>
      <c r="D54" s="347" t="s">
        <v>53</v>
      </c>
      <c r="E54" s="348"/>
      <c r="F54" s="329"/>
      <c r="G54" s="349">
        <f>[82]Source!AM1439</f>
        <v>393.06</v>
      </c>
      <c r="H54" s="350">
        <f>[82]Source!DE1439</f>
        <v>0</v>
      </c>
      <c r="I54" s="329">
        <f>[82]Source!AV1439</f>
        <v>1.0669999999999999</v>
      </c>
      <c r="J54" s="351">
        <f>(ROUND((ROUND((([82]Source!ET1439)*[82]Source!AV1439*[82]Source!I1439),2)),2)+ROUND((ROUND((([82]Source!AE1439-([82]Source!EU1439))*[82]Source!AV1439*[82]Source!I1439),2)),2))-J64</f>
        <v>830.4</v>
      </c>
      <c r="K54" s="329">
        <f>IF([82]Source!BB1439&lt;&gt; 0, [82]Source!BB1439, 1)</f>
        <v>8.61</v>
      </c>
      <c r="L54" s="351">
        <f>[82]Source!Q1439-L64</f>
        <v>7149.76</v>
      </c>
    </row>
    <row r="55" spans="1:27" ht="14.25" x14ac:dyDescent="0.2">
      <c r="A55" s="346"/>
      <c r="B55" s="346"/>
      <c r="C55" s="347"/>
      <c r="D55" s="347" t="s">
        <v>54</v>
      </c>
      <c r="E55" s="348"/>
      <c r="F55" s="329"/>
      <c r="G55" s="349">
        <f>[82]Source!AN1439</f>
        <v>64.14</v>
      </c>
      <c r="H55" s="350">
        <f>[82]Source!DE1439</f>
        <v>0</v>
      </c>
      <c r="I55" s="329">
        <f>[82]Source!AV1439</f>
        <v>1.0669999999999999</v>
      </c>
      <c r="J55" s="352">
        <f>ROUND((ROUND(([82]Source!AE1439*[82]Source!AV1439*[82]Source!I1439),2)),2)-J65</f>
        <v>135.51</v>
      </c>
      <c r="K55" s="329">
        <f>IF([82]Source!BS1439&lt;&gt; 0, [82]Source!BS1439, 1)</f>
        <v>24.23</v>
      </c>
      <c r="L55" s="352">
        <f>[82]Source!R1439-L65</f>
        <v>3283.43</v>
      </c>
      <c r="W55" s="326">
        <f>J55</f>
        <v>135.51</v>
      </c>
    </row>
    <row r="56" spans="1:27" ht="14.25" x14ac:dyDescent="0.2">
      <c r="A56" s="346"/>
      <c r="B56" s="346"/>
      <c r="C56" s="347"/>
      <c r="D56" s="347" t="s">
        <v>55</v>
      </c>
      <c r="E56" s="348"/>
      <c r="F56" s="329"/>
      <c r="G56" s="349">
        <f>[82]Source!AL1439</f>
        <v>5583.75</v>
      </c>
      <c r="H56" s="350">
        <f>[82]Source!DD1439</f>
        <v>0</v>
      </c>
      <c r="I56" s="329">
        <f>[82]Source!AW1439</f>
        <v>1</v>
      </c>
      <c r="J56" s="351">
        <f>ROUND((ROUND(([82]Source!AC1439*[82]Source!AW1439*[82]Source!I1439),2)),2)</f>
        <v>11055.83</v>
      </c>
      <c r="K56" s="329">
        <f>IF([82]Source!BC1439&lt;&gt; 0, [82]Source!BC1439, 1)</f>
        <v>4.03</v>
      </c>
      <c r="L56" s="351">
        <f>[82]Source!P1439</f>
        <v>44554.99</v>
      </c>
    </row>
    <row r="57" spans="1:27" ht="71.25" x14ac:dyDescent="0.2">
      <c r="A57" s="346">
        <v>2</v>
      </c>
      <c r="B57" s="346" t="str">
        <f>[82]Source!E1441</f>
        <v>388,1</v>
      </c>
      <c r="C57" s="347" t="str">
        <f>[82]Source!F1441</f>
        <v>1.12-6-206</v>
      </c>
      <c r="D57" s="347" t="s">
        <v>241</v>
      </c>
      <c r="E57" s="348" t="str">
        <f>[82]Source!H1441</f>
        <v>м</v>
      </c>
      <c r="F57" s="329">
        <f>[82]Source!I1441</f>
        <v>184.29</v>
      </c>
      <c r="G57" s="349">
        <f>[82]Source!AK1441</f>
        <v>139.91</v>
      </c>
      <c r="H57" s="398" t="s">
        <v>74</v>
      </c>
      <c r="I57" s="329">
        <f>[82]Source!AW1441</f>
        <v>1</v>
      </c>
      <c r="J57" s="351">
        <f>ROUND((ROUND(([82]Source!AC1441*[82]Source!AW1441*[82]Source!I1441),2)),2)+(ROUND((ROUND((([82]Source!ET1441)*[82]Source!AV1441*[82]Source!I1441),2)),2)+ROUND((ROUND((([82]Source!AE1441-([82]Source!EU1441))*[82]Source!AV1441*[82]Source!I1441),2)),2))+ROUND((ROUND(([82]Source!AF1441*[82]Source!AV1441*[82]Source!I1441),2)),2)</f>
        <v>25784.01</v>
      </c>
      <c r="K57" s="329">
        <f>IF([82]Source!BC1441&lt;&gt; 0, [82]Source!BC1441, 1)</f>
        <v>8.41</v>
      </c>
      <c r="L57" s="351">
        <f>[82]Source!O1441</f>
        <v>216843.51999999999</v>
      </c>
      <c r="Q57" s="326">
        <f>ROUND(([82]Source!DN1441/100)*ROUND((ROUND(([82]Source!AF1441*[82]Source!AV1441*[82]Source!I1441),2)),2), 2)</f>
        <v>0</v>
      </c>
      <c r="R57" s="326">
        <f>[82]Source!X1441</f>
        <v>0</v>
      </c>
      <c r="S57" s="326">
        <f>ROUND(([82]Source!DO1441/100)*ROUND((ROUND(([82]Source!AF1441*[82]Source!AV1441*[82]Source!I1441),2)),2), 2)</f>
        <v>0</v>
      </c>
      <c r="T57" s="326">
        <f>[82]Source!Y1441</f>
        <v>0</v>
      </c>
      <c r="U57" s="326">
        <f>ROUND((175/100)*ROUND((ROUND(([82]Source!AE1441*[82]Source!AV1441*[82]Source!I1441),2)),2), 2)</f>
        <v>0</v>
      </c>
      <c r="V57" s="326">
        <f>ROUND((157/100)*ROUND(ROUND((ROUND(([82]Source!AE1441*[82]Source!AV1441*[82]Source!I1441),2)*[82]Source!BS1441),2), 2), 2)</f>
        <v>0</v>
      </c>
      <c r="X57" s="326">
        <f>IF([82]Source!BI1441&lt;=1,J57, 0)</f>
        <v>25784.01</v>
      </c>
      <c r="Y57" s="326">
        <f>IF([82]Source!BI1441=2,J57, 0)</f>
        <v>0</v>
      </c>
      <c r="Z57" s="326">
        <f>IF([82]Source!BI1441=3,J57, 0)</f>
        <v>0</v>
      </c>
      <c r="AA57" s="326">
        <f>IF([82]Source!BI1441=4,J57, 0)</f>
        <v>0</v>
      </c>
    </row>
    <row r="58" spans="1:27" ht="14.25" x14ac:dyDescent="0.2">
      <c r="A58" s="346"/>
      <c r="B58" s="346"/>
      <c r="C58" s="347"/>
      <c r="D58" s="347" t="s">
        <v>56</v>
      </c>
      <c r="E58" s="348" t="s">
        <v>57</v>
      </c>
      <c r="F58" s="329">
        <f>[82]Source!DN1439</f>
        <v>125</v>
      </c>
      <c r="G58" s="349"/>
      <c r="H58" s="350"/>
      <c r="I58" s="329"/>
      <c r="J58" s="351">
        <f>SUM(Q52:Q57)</f>
        <v>9026.66</v>
      </c>
      <c r="K58" s="329">
        <f>[82]Source!BZ1439</f>
        <v>100</v>
      </c>
      <c r="L58" s="351">
        <f>SUM(R52:R57)</f>
        <v>174972.83</v>
      </c>
    </row>
    <row r="59" spans="1:27" ht="14.25" x14ac:dyDescent="0.2">
      <c r="A59" s="346"/>
      <c r="B59" s="346"/>
      <c r="C59" s="347"/>
      <c r="D59" s="347" t="s">
        <v>58</v>
      </c>
      <c r="E59" s="348" t="s">
        <v>57</v>
      </c>
      <c r="F59" s="329">
        <f>[82]Source!DO1439</f>
        <v>94</v>
      </c>
      <c r="G59" s="349"/>
      <c r="H59" s="350"/>
      <c r="I59" s="329"/>
      <c r="J59" s="351">
        <f>SUM(S52:S58)</f>
        <v>6788.05</v>
      </c>
      <c r="K59" s="329">
        <f>[82]Source!CA1439</f>
        <v>45</v>
      </c>
      <c r="L59" s="351">
        <f>SUM(T52:T58)</f>
        <v>78737.77</v>
      </c>
    </row>
    <row r="60" spans="1:27" ht="14.25" x14ac:dyDescent="0.2">
      <c r="A60" s="346"/>
      <c r="B60" s="346"/>
      <c r="C60" s="347"/>
      <c r="D60" s="347" t="s">
        <v>59</v>
      </c>
      <c r="E60" s="348" t="s">
        <v>57</v>
      </c>
      <c r="F60" s="329">
        <f>175</f>
        <v>175</v>
      </c>
      <c r="G60" s="349"/>
      <c r="H60" s="350"/>
      <c r="I60" s="329"/>
      <c r="J60" s="351">
        <f>SUM(U52:U59)-J66</f>
        <v>237.15</v>
      </c>
      <c r="K60" s="329">
        <f>157</f>
        <v>157</v>
      </c>
      <c r="L60" s="351">
        <f>SUM(V52:V59)-L66</f>
        <v>5154.9799999999996</v>
      </c>
    </row>
    <row r="61" spans="1:27" ht="14.25" x14ac:dyDescent="0.2">
      <c r="A61" s="346"/>
      <c r="B61" s="346"/>
      <c r="C61" s="347"/>
      <c r="D61" s="347" t="s">
        <v>60</v>
      </c>
      <c r="E61" s="348" t="s">
        <v>61</v>
      </c>
      <c r="F61" s="329">
        <f>[82]Source!AQ1439</f>
        <v>166</v>
      </c>
      <c r="G61" s="349"/>
      <c r="H61" s="350">
        <f>[82]Source!DI1439</f>
        <v>0</v>
      </c>
      <c r="I61" s="329">
        <f>[82]Source!AV1439</f>
        <v>1.0669999999999999</v>
      </c>
      <c r="J61" s="351">
        <f>[82]Source!U1439</f>
        <v>350.7</v>
      </c>
      <c r="K61" s="329"/>
      <c r="L61" s="351"/>
    </row>
    <row r="62" spans="1:27" ht="15" x14ac:dyDescent="0.25">
      <c r="I62" s="641">
        <f>J53+J54+J56+J58+J59+J60+SUM(J57:J57)</f>
        <v>60943.43</v>
      </c>
      <c r="J62" s="641"/>
      <c r="K62" s="641">
        <f>L53+L54+L56+L58+L59+L60+SUM(L57:L57)</f>
        <v>702386.68</v>
      </c>
      <c r="L62" s="641"/>
      <c r="O62" s="353">
        <f>J53+J54+J56+J58+J59+J60+SUM(J57:J57)</f>
        <v>60943.43</v>
      </c>
      <c r="P62" s="353">
        <f>L53+L54+L56+L58+L59+L60+SUM(L57:L57)</f>
        <v>702386.68</v>
      </c>
      <c r="X62" s="326">
        <f>IF([82]Source!BI1439&lt;=1,J53+J54+J56+J58+J59+J60-0, 0)</f>
        <v>35159.42</v>
      </c>
      <c r="Y62" s="326">
        <f>IF([82]Source!BI1439=2,J53+J54+J56+J58+J59+J60-0, 0)</f>
        <v>0</v>
      </c>
      <c r="Z62" s="326">
        <f>IF([82]Source!BI1439=3,J53+J54+J56+J58+J59+J60-0, 0)</f>
        <v>0</v>
      </c>
      <c r="AA62" s="326">
        <f>IF([82]Source!BI1439=4,J53+J54+J56+J58+J59+J60,0)</f>
        <v>0</v>
      </c>
    </row>
    <row r="63" spans="1:27" ht="28.5" x14ac:dyDescent="0.2">
      <c r="A63" s="354"/>
      <c r="B63" s="354"/>
      <c r="C63" s="355"/>
      <c r="D63" s="355" t="s">
        <v>62</v>
      </c>
      <c r="E63" s="348"/>
      <c r="F63" s="356"/>
      <c r="G63" s="357"/>
      <c r="H63" s="348"/>
      <c r="I63" s="356"/>
      <c r="J63" s="352"/>
      <c r="K63" s="356"/>
      <c r="L63" s="352"/>
    </row>
    <row r="64" spans="1:27" ht="14.25" x14ac:dyDescent="0.2">
      <c r="A64" s="354"/>
      <c r="B64" s="354"/>
      <c r="C64" s="355"/>
      <c r="D64" s="355" t="s">
        <v>53</v>
      </c>
      <c r="E64" s="348"/>
      <c r="F64" s="356"/>
      <c r="G64" s="357">
        <f t="shared" ref="G64:L64" si="0">G65</f>
        <v>64.14</v>
      </c>
      <c r="H64" s="358" t="str">
        <f t="shared" si="0"/>
        <v>)*(1.67-1)</v>
      </c>
      <c r="I64" s="356">
        <f t="shared" si="0"/>
        <v>1.0669999999999999</v>
      </c>
      <c r="J64" s="352">
        <f t="shared" si="0"/>
        <v>90.79</v>
      </c>
      <c r="K64" s="356">
        <f t="shared" si="0"/>
        <v>24.23</v>
      </c>
      <c r="L64" s="352">
        <f t="shared" si="0"/>
        <v>2199.8200000000002</v>
      </c>
    </row>
    <row r="65" spans="1:27" ht="14.25" x14ac:dyDescent="0.2">
      <c r="A65" s="354"/>
      <c r="B65" s="354"/>
      <c r="C65" s="355"/>
      <c r="D65" s="355" t="s">
        <v>54</v>
      </c>
      <c r="E65" s="348"/>
      <c r="F65" s="356"/>
      <c r="G65" s="357">
        <f>[82]Source!AN1439</f>
        <v>64.14</v>
      </c>
      <c r="H65" s="358" t="s">
        <v>63</v>
      </c>
      <c r="I65" s="356">
        <f>[82]Source!AV1439</f>
        <v>1.0669999999999999</v>
      </c>
      <c r="J65" s="352">
        <f>ROUND(F52*G65*I65*(1.67-1), 2)</f>
        <v>90.79</v>
      </c>
      <c r="K65" s="356">
        <f>IF([82]Source!BS1439&lt;&gt; 0, [82]Source!BS1439, 1)</f>
        <v>24.23</v>
      </c>
      <c r="L65" s="352">
        <f>ROUND(F52*G65*I65*(1.67-1)*K65, 2)</f>
        <v>2199.8200000000002</v>
      </c>
      <c r="W65" s="326">
        <f>J65</f>
        <v>90.79</v>
      </c>
    </row>
    <row r="66" spans="1:27" ht="14.25" x14ac:dyDescent="0.2">
      <c r="A66" s="354"/>
      <c r="B66" s="354"/>
      <c r="C66" s="355"/>
      <c r="D66" s="355" t="s">
        <v>59</v>
      </c>
      <c r="E66" s="348" t="s">
        <v>57</v>
      </c>
      <c r="F66" s="356">
        <f>175</f>
        <v>175</v>
      </c>
      <c r="G66" s="357"/>
      <c r="H66" s="348"/>
      <c r="I66" s="356"/>
      <c r="J66" s="352">
        <f>ROUND(J65*(F66/100), 2)</f>
        <v>158.88</v>
      </c>
      <c r="K66" s="356">
        <f>157</f>
        <v>157</v>
      </c>
      <c r="L66" s="352">
        <f>ROUND(L65*(K66/100), 2)</f>
        <v>3453.72</v>
      </c>
    </row>
    <row r="67" spans="1:27" ht="15" x14ac:dyDescent="0.25">
      <c r="I67" s="641">
        <f>J66+J65</f>
        <v>249.67</v>
      </c>
      <c r="J67" s="641"/>
      <c r="K67" s="641">
        <f>L66+L65</f>
        <v>5653.54</v>
      </c>
      <c r="L67" s="641"/>
      <c r="O67" s="353">
        <f>I67</f>
        <v>249.67</v>
      </c>
      <c r="P67" s="353">
        <f>K67</f>
        <v>5653.54</v>
      </c>
      <c r="X67" s="326">
        <f>IF([82]Source!BI1439&lt;=1,I67, 0)</f>
        <v>249.67</v>
      </c>
      <c r="Y67" s="326">
        <f>IF([82]Source!BI1439=2,I67, 0)</f>
        <v>0</v>
      </c>
      <c r="Z67" s="326">
        <f>IF([82]Source!BI1439=3,I67, 0)</f>
        <v>0</v>
      </c>
      <c r="AA67" s="326">
        <f>IF([82]Source!BI1439=4,I67, 0)</f>
        <v>0</v>
      </c>
    </row>
    <row r="69" spans="1:27" ht="15" x14ac:dyDescent="0.25">
      <c r="A69" s="359"/>
      <c r="B69" s="359"/>
      <c r="C69" s="360"/>
      <c r="D69" s="360" t="s">
        <v>64</v>
      </c>
      <c r="E69" s="361"/>
      <c r="F69" s="362"/>
      <c r="G69" s="363"/>
      <c r="H69" s="364"/>
      <c r="I69" s="641">
        <f>I62+I67</f>
        <v>61193.1</v>
      </c>
      <c r="J69" s="641"/>
      <c r="K69" s="641">
        <f>K62+K67</f>
        <v>708040.22</v>
      </c>
      <c r="L69" s="641"/>
    </row>
    <row r="70" spans="1:27" ht="57" x14ac:dyDescent="0.2">
      <c r="A70" s="346">
        <v>3</v>
      </c>
      <c r="B70" s="346" t="str">
        <f>[82]Source!E1451</f>
        <v>393</v>
      </c>
      <c r="C70" s="347" t="str">
        <f>[82]Source!F1451</f>
        <v>1.12-11-9</v>
      </c>
      <c r="D70" s="347" t="s">
        <v>242</v>
      </c>
      <c r="E70" s="348" t="str">
        <f>[82]Source!H1451</f>
        <v>шт.</v>
      </c>
      <c r="F70" s="329">
        <f>[82]Source!I1451</f>
        <v>15</v>
      </c>
      <c r="G70" s="349">
        <f>[82]Source!AL1451</f>
        <v>174</v>
      </c>
      <c r="H70" s="350">
        <f>[82]Source!DD1451</f>
        <v>0</v>
      </c>
      <c r="I70" s="329">
        <f>[82]Source!AW1451</f>
        <v>1</v>
      </c>
      <c r="J70" s="351">
        <f>ROUND((ROUND(([82]Source!AC1451*[82]Source!AW1451*[82]Source!I1451),2)),2)</f>
        <v>2610</v>
      </c>
      <c r="K70" s="329">
        <f>IF([82]Source!BC1451&lt;&gt; 0, [82]Source!BC1451, 1)</f>
        <v>3.5</v>
      </c>
      <c r="L70" s="351">
        <f>[82]Source!P1451</f>
        <v>9135</v>
      </c>
      <c r="Q70" s="326">
        <f>ROUND(([82]Source!DN1451/100)*ROUND((ROUND(([82]Source!AF1451*[82]Source!AV1451*[82]Source!I1451),2)),2), 2)</f>
        <v>0</v>
      </c>
      <c r="R70" s="326">
        <f>[82]Source!X1451</f>
        <v>0</v>
      </c>
      <c r="S70" s="326">
        <f>ROUND(([82]Source!DO1451/100)*ROUND((ROUND(([82]Source!AF1451*[82]Source!AV1451*[82]Source!I1451),2)),2), 2)</f>
        <v>0</v>
      </c>
      <c r="T70" s="326">
        <f>[82]Source!Y1451</f>
        <v>0</v>
      </c>
      <c r="U70" s="326">
        <f>ROUND((175/100)*ROUND((ROUND(([82]Source!AE1451*[82]Source!AV1451*[82]Source!I1451),2)),2), 2)</f>
        <v>0</v>
      </c>
      <c r="V70" s="326">
        <f>ROUND((157/100)*ROUND(ROUND((ROUND(([82]Source!AE1451*[82]Source!AV1451*[82]Source!I1451),2)*[82]Source!BS1451),2), 2), 2)</f>
        <v>0</v>
      </c>
    </row>
    <row r="71" spans="1:27" ht="15" x14ac:dyDescent="0.25">
      <c r="A71" s="365"/>
      <c r="B71" s="365"/>
      <c r="C71" s="365"/>
      <c r="D71" s="365"/>
      <c r="E71" s="365"/>
      <c r="F71" s="365"/>
      <c r="G71" s="365"/>
      <c r="H71" s="365"/>
      <c r="I71" s="641">
        <f>J70</f>
        <v>2610</v>
      </c>
      <c r="J71" s="641"/>
      <c r="K71" s="641">
        <f>L70</f>
        <v>9135</v>
      </c>
      <c r="L71" s="641"/>
      <c r="O71" s="353">
        <f>J70</f>
        <v>2610</v>
      </c>
      <c r="P71" s="353">
        <f>L70</f>
        <v>9135</v>
      </c>
      <c r="X71" s="326">
        <f>IF([82]Source!BI1451&lt;=1,J70-0, 0)</f>
        <v>2610</v>
      </c>
      <c r="Y71" s="326">
        <f>IF([82]Source!BI1451=2,J70-0, 0)</f>
        <v>0</v>
      </c>
      <c r="Z71" s="326">
        <f>IF([82]Source!BI1451=3,J70-0, 0)</f>
        <v>0</v>
      </c>
      <c r="AA71" s="326">
        <f>IF([82]Source!BI1451=4,J70,0)</f>
        <v>0</v>
      </c>
    </row>
    <row r="72" spans="1:27" ht="57" x14ac:dyDescent="0.2">
      <c r="A72" s="346">
        <v>4</v>
      </c>
      <c r="B72" s="346" t="str">
        <f>[82]Source!E1453</f>
        <v>394</v>
      </c>
      <c r="C72" s="347" t="str">
        <f>[82]Source!F1453</f>
        <v>1.12-11-9</v>
      </c>
      <c r="D72" s="347" t="s">
        <v>242</v>
      </c>
      <c r="E72" s="348" t="str">
        <f>[82]Source!H1453</f>
        <v>шт.</v>
      </c>
      <c r="F72" s="329">
        <f>[82]Source!I1453</f>
        <v>18</v>
      </c>
      <c r="G72" s="349">
        <f>[82]Source!AL1453</f>
        <v>174</v>
      </c>
      <c r="H72" s="350">
        <f>[82]Source!DD1453</f>
        <v>0</v>
      </c>
      <c r="I72" s="329">
        <f>[82]Source!AW1453</f>
        <v>1</v>
      </c>
      <c r="J72" s="351">
        <f>ROUND((ROUND(([82]Source!AC1453*[82]Source!AW1453*[82]Source!I1453),2)),2)</f>
        <v>3132</v>
      </c>
      <c r="K72" s="329">
        <f>IF([82]Source!BC1453&lt;&gt; 0, [82]Source!BC1453, 1)</f>
        <v>3.5</v>
      </c>
      <c r="L72" s="351">
        <f>[82]Source!P1453</f>
        <v>10962</v>
      </c>
      <c r="Q72" s="326">
        <f>ROUND(([82]Source!DN1453/100)*ROUND((ROUND(([82]Source!AF1453*[82]Source!AV1453*[82]Source!I1453),2)),2), 2)</f>
        <v>0</v>
      </c>
      <c r="R72" s="326">
        <f>[82]Source!X1453</f>
        <v>0</v>
      </c>
      <c r="S72" s="326">
        <f>ROUND(([82]Source!DO1453/100)*ROUND((ROUND(([82]Source!AF1453*[82]Source!AV1453*[82]Source!I1453),2)),2), 2)</f>
        <v>0</v>
      </c>
      <c r="T72" s="326">
        <f>[82]Source!Y1453</f>
        <v>0</v>
      </c>
      <c r="U72" s="326">
        <f>ROUND((175/100)*ROUND((ROUND(([82]Source!AE1453*[82]Source!AV1453*[82]Source!I1453),2)),2), 2)</f>
        <v>0</v>
      </c>
      <c r="V72" s="326">
        <f>ROUND((157/100)*ROUND(ROUND((ROUND(([82]Source!AE1453*[82]Source!AV1453*[82]Source!I1453),2)*[82]Source!BS1453),2), 2), 2)</f>
        <v>0</v>
      </c>
    </row>
    <row r="73" spans="1:27" ht="15" x14ac:dyDescent="0.25">
      <c r="A73" s="365"/>
      <c r="B73" s="365"/>
      <c r="C73" s="365"/>
      <c r="D73" s="365"/>
      <c r="E73" s="365"/>
      <c r="F73" s="365"/>
      <c r="G73" s="365"/>
      <c r="H73" s="365"/>
      <c r="I73" s="641">
        <f>J72</f>
        <v>3132</v>
      </c>
      <c r="J73" s="641"/>
      <c r="K73" s="641">
        <f>L72</f>
        <v>10962</v>
      </c>
      <c r="L73" s="641"/>
      <c r="O73" s="353">
        <f>J72</f>
        <v>3132</v>
      </c>
      <c r="P73" s="353">
        <f>L72</f>
        <v>10962</v>
      </c>
      <c r="X73" s="326">
        <f>IF([82]Source!BI1453&lt;=1,J72-0, 0)</f>
        <v>3132</v>
      </c>
      <c r="Y73" s="326">
        <f>IF([82]Source!BI1453=2,J72-0, 0)</f>
        <v>0</v>
      </c>
      <c r="Z73" s="326">
        <f>IF([82]Source!BI1453=3,J72-0, 0)</f>
        <v>0</v>
      </c>
      <c r="AA73" s="326">
        <f>IF([82]Source!BI1453=4,J72,0)</f>
        <v>0</v>
      </c>
    </row>
    <row r="74" spans="1:27" ht="14.25" x14ac:dyDescent="0.2">
      <c r="A74" s="346">
        <v>5</v>
      </c>
      <c r="B74" s="346" t="str">
        <f>[82]Source!E1455</f>
        <v>395</v>
      </c>
      <c r="C74" s="347" t="str">
        <f>[82]Source!F1455</f>
        <v>1.6-1-379</v>
      </c>
      <c r="D74" s="347" t="s">
        <v>243</v>
      </c>
      <c r="E74" s="348" t="str">
        <f>[82]Source!H1455</f>
        <v>т</v>
      </c>
      <c r="F74" s="329">
        <f>[82]Source!I1455</f>
        <v>0.11</v>
      </c>
      <c r="G74" s="349">
        <f>[82]Source!AL1455</f>
        <v>27687.1</v>
      </c>
      <c r="H74" s="350">
        <f>[82]Source!DD1455</f>
        <v>0</v>
      </c>
      <c r="I74" s="329">
        <f>[82]Source!AW1455</f>
        <v>1</v>
      </c>
      <c r="J74" s="351">
        <f>ROUND((ROUND(([82]Source!AC1455*[82]Source!AW1455*[82]Source!I1455),2)),2)</f>
        <v>3045.58</v>
      </c>
      <c r="K74" s="329">
        <f>IF([82]Source!BC1455&lt;&gt; 0, [82]Source!BC1455, 1)</f>
        <v>4.66</v>
      </c>
      <c r="L74" s="351">
        <f>[82]Source!P1455</f>
        <v>14192.4</v>
      </c>
      <c r="Q74" s="326">
        <f>ROUND(([82]Source!DN1455/100)*ROUND((ROUND(([82]Source!AF1455*[82]Source!AV1455*[82]Source!I1455),2)),2), 2)</f>
        <v>0</v>
      </c>
      <c r="R74" s="326">
        <f>[82]Source!X1455</f>
        <v>0</v>
      </c>
      <c r="S74" s="326">
        <f>ROUND(([82]Source!DO1455/100)*ROUND((ROUND(([82]Source!AF1455*[82]Source!AV1455*[82]Source!I1455),2)),2), 2)</f>
        <v>0</v>
      </c>
      <c r="T74" s="326">
        <f>[82]Source!Y1455</f>
        <v>0</v>
      </c>
      <c r="U74" s="326">
        <f>ROUND((175/100)*ROUND((ROUND(([82]Source!AE1455*[82]Source!AV1455*[82]Source!I1455),2)),2), 2)</f>
        <v>0</v>
      </c>
      <c r="V74" s="326">
        <f>ROUND((157/100)*ROUND(ROUND((ROUND(([82]Source!AE1455*[82]Source!AV1455*[82]Source!I1455),2)*[82]Source!BS1455),2), 2), 2)</f>
        <v>0</v>
      </c>
    </row>
    <row r="75" spans="1:27" ht="15" x14ac:dyDescent="0.25">
      <c r="A75" s="365"/>
      <c r="B75" s="365"/>
      <c r="C75" s="365"/>
      <c r="D75" s="365"/>
      <c r="E75" s="365"/>
      <c r="F75" s="365"/>
      <c r="G75" s="365"/>
      <c r="H75" s="365"/>
      <c r="I75" s="641">
        <f>J74</f>
        <v>3045.58</v>
      </c>
      <c r="J75" s="641"/>
      <c r="K75" s="641">
        <f>L74</f>
        <v>14192.4</v>
      </c>
      <c r="L75" s="641"/>
      <c r="O75" s="353">
        <f>J74</f>
        <v>3045.58</v>
      </c>
      <c r="P75" s="353">
        <f>L74</f>
        <v>14192.4</v>
      </c>
      <c r="X75" s="326">
        <f>IF([82]Source!BI1455&lt;=1,J74-0, 0)</f>
        <v>3045.58</v>
      </c>
      <c r="Y75" s="326">
        <f>IF([82]Source!BI1455=2,J74-0, 0)</f>
        <v>0</v>
      </c>
      <c r="Z75" s="326">
        <f>IF([82]Source!BI1455=3,J74-0, 0)</f>
        <v>0</v>
      </c>
      <c r="AA75" s="326">
        <f>IF([82]Source!BI1455=4,J74,0)</f>
        <v>0</v>
      </c>
    </row>
    <row r="76" spans="1:27" ht="57" x14ac:dyDescent="0.2">
      <c r="A76" s="346">
        <v>6</v>
      </c>
      <c r="B76" s="346" t="str">
        <f>[82]Source!E1465</f>
        <v>398</v>
      </c>
      <c r="C76" s="347" t="str">
        <f>[82]Source!F1465</f>
        <v>1.6-1-269</v>
      </c>
      <c r="D76" s="347" t="s">
        <v>244</v>
      </c>
      <c r="E76" s="348" t="str">
        <f>[82]Source!H1465</f>
        <v>т</v>
      </c>
      <c r="F76" s="329">
        <f>[82]Source!I1465</f>
        <v>6.7900000000000002E-2</v>
      </c>
      <c r="G76" s="349">
        <f>[82]Source!AL1465</f>
        <v>12416.1</v>
      </c>
      <c r="H76" s="350">
        <f>[82]Source!DD1465</f>
        <v>0</v>
      </c>
      <c r="I76" s="329">
        <f>[82]Source!AW1465</f>
        <v>1</v>
      </c>
      <c r="J76" s="351">
        <f>ROUND((ROUND(([82]Source!AC1465*[82]Source!AW1465*[82]Source!I1465),2)),2)</f>
        <v>843.05</v>
      </c>
      <c r="K76" s="329">
        <f>IF([82]Source!BC1465&lt;&gt; 0, [82]Source!BC1465, 1)</f>
        <v>6.7</v>
      </c>
      <c r="L76" s="351">
        <f>[82]Source!P1465</f>
        <v>5648.44</v>
      </c>
      <c r="Q76" s="326">
        <f>ROUND(([82]Source!DN1465/100)*ROUND((ROUND(([82]Source!AF1465*[82]Source!AV1465*[82]Source!I1465),2)),2), 2)</f>
        <v>0</v>
      </c>
      <c r="R76" s="326">
        <f>[82]Source!X1465</f>
        <v>0</v>
      </c>
      <c r="S76" s="326">
        <f>ROUND(([82]Source!DO1465/100)*ROUND((ROUND(([82]Source!AF1465*[82]Source!AV1465*[82]Source!I1465),2)),2), 2)</f>
        <v>0</v>
      </c>
      <c r="T76" s="326">
        <f>[82]Source!Y1465</f>
        <v>0</v>
      </c>
      <c r="U76" s="326">
        <f>ROUND((175/100)*ROUND((ROUND(([82]Source!AE1465*[82]Source!AV1465*[82]Source!I1465),2)),2), 2)</f>
        <v>0</v>
      </c>
      <c r="V76" s="326">
        <f>ROUND((157/100)*ROUND(ROUND((ROUND(([82]Source!AE1465*[82]Source!AV1465*[82]Source!I1465),2)*[82]Source!BS1465),2), 2), 2)</f>
        <v>0</v>
      </c>
    </row>
    <row r="77" spans="1:27" ht="15" x14ac:dyDescent="0.25">
      <c r="A77" s="365"/>
      <c r="B77" s="365"/>
      <c r="C77" s="365"/>
      <c r="D77" s="365"/>
      <c r="E77" s="365"/>
      <c r="F77" s="365"/>
      <c r="G77" s="365"/>
      <c r="H77" s="365"/>
      <c r="I77" s="641">
        <f>J76</f>
        <v>843.05</v>
      </c>
      <c r="J77" s="641"/>
      <c r="K77" s="641">
        <f>L76</f>
        <v>5648.44</v>
      </c>
      <c r="L77" s="641"/>
      <c r="O77" s="353">
        <f>J76</f>
        <v>843.05</v>
      </c>
      <c r="P77" s="353">
        <f>L76</f>
        <v>5648.44</v>
      </c>
      <c r="X77" s="326">
        <f>IF([82]Source!BI1465&lt;=1,J76-0, 0)</f>
        <v>843.05</v>
      </c>
      <c r="Y77" s="326">
        <f>IF([82]Source!BI1465=2,J76-0, 0)</f>
        <v>0</v>
      </c>
      <c r="Z77" s="326">
        <f>IF([82]Source!BI1465=3,J76-0, 0)</f>
        <v>0</v>
      </c>
      <c r="AA77" s="326">
        <f>IF([82]Source!BI1465=4,J76,0)</f>
        <v>0</v>
      </c>
    </row>
    <row r="78" spans="1:27" ht="99.75" x14ac:dyDescent="0.2">
      <c r="A78" s="346">
        <v>7</v>
      </c>
      <c r="B78" s="346" t="str">
        <f>[82]Source!E1467</f>
        <v>399</v>
      </c>
      <c r="C78" s="347" t="str">
        <f>[82]Source!F1467</f>
        <v>1.7-5-155</v>
      </c>
      <c r="D78" s="347" t="s">
        <v>245</v>
      </c>
      <c r="E78" s="348" t="str">
        <f>[82]Source!H1467</f>
        <v>шт.</v>
      </c>
      <c r="F78" s="329">
        <f>[82]Source!I1467</f>
        <v>48</v>
      </c>
      <c r="G78" s="349">
        <f>[82]Source!AL1467</f>
        <v>25.33</v>
      </c>
      <c r="H78" s="350">
        <f>[82]Source!DD1467</f>
        <v>0</v>
      </c>
      <c r="I78" s="329">
        <f>[82]Source!AW1467</f>
        <v>1</v>
      </c>
      <c r="J78" s="351">
        <f>ROUND((ROUND(([82]Source!AC1467*[82]Source!AW1467*[82]Source!I1467),2)),2)</f>
        <v>1215.8399999999999</v>
      </c>
      <c r="K78" s="329">
        <f>IF([82]Source!BC1467&lt;&gt; 0, [82]Source!BC1467, 1)</f>
        <v>5.69</v>
      </c>
      <c r="L78" s="351">
        <f>[82]Source!P1467</f>
        <v>6918.13</v>
      </c>
      <c r="Q78" s="326">
        <f>ROUND(([82]Source!DN1467/100)*ROUND((ROUND(([82]Source!AF1467*[82]Source!AV1467*[82]Source!I1467),2)),2), 2)</f>
        <v>0</v>
      </c>
      <c r="R78" s="326">
        <f>[82]Source!X1467</f>
        <v>0</v>
      </c>
      <c r="S78" s="326">
        <f>ROUND(([82]Source!DO1467/100)*ROUND((ROUND(([82]Source!AF1467*[82]Source!AV1467*[82]Source!I1467),2)),2), 2)</f>
        <v>0</v>
      </c>
      <c r="T78" s="326">
        <f>[82]Source!Y1467</f>
        <v>0</v>
      </c>
      <c r="U78" s="326">
        <f>ROUND((175/100)*ROUND((ROUND(([82]Source!AE1467*[82]Source!AV1467*[82]Source!I1467),2)),2), 2)</f>
        <v>0</v>
      </c>
      <c r="V78" s="326">
        <f>ROUND((157/100)*ROUND(ROUND((ROUND(([82]Source!AE1467*[82]Source!AV1467*[82]Source!I1467),2)*[82]Source!BS1467),2), 2), 2)</f>
        <v>0</v>
      </c>
    </row>
    <row r="79" spans="1:27" ht="15" x14ac:dyDescent="0.25">
      <c r="A79" s="365"/>
      <c r="B79" s="365"/>
      <c r="C79" s="365"/>
      <c r="D79" s="365"/>
      <c r="E79" s="365"/>
      <c r="F79" s="365"/>
      <c r="G79" s="365"/>
      <c r="H79" s="365"/>
      <c r="I79" s="641">
        <f>J78</f>
        <v>1215.8399999999999</v>
      </c>
      <c r="J79" s="641"/>
      <c r="K79" s="641">
        <f>L78</f>
        <v>6918.13</v>
      </c>
      <c r="L79" s="641"/>
      <c r="O79" s="353">
        <f>J78</f>
        <v>1215.8399999999999</v>
      </c>
      <c r="P79" s="353">
        <f>L78</f>
        <v>6918.13</v>
      </c>
      <c r="X79" s="326">
        <f>IF([82]Source!BI1467&lt;=1,J78-0, 0)</f>
        <v>1215.8399999999999</v>
      </c>
      <c r="Y79" s="326">
        <f>IF([82]Source!BI1467=2,J78-0, 0)</f>
        <v>0</v>
      </c>
      <c r="Z79" s="326">
        <f>IF([82]Source!BI1467=3,J78-0, 0)</f>
        <v>0</v>
      </c>
      <c r="AA79" s="326">
        <f>IF([82]Source!BI1467=4,J78,0)</f>
        <v>0</v>
      </c>
    </row>
    <row r="80" spans="1:27" ht="57" x14ac:dyDescent="0.2">
      <c r="A80" s="346">
        <v>8</v>
      </c>
      <c r="B80" s="346" t="str">
        <f>[82]Source!E1471</f>
        <v>401</v>
      </c>
      <c r="C80" s="347" t="str">
        <f>[82]Source!F1471</f>
        <v>1.6-1-269</v>
      </c>
      <c r="D80" s="347" t="s">
        <v>244</v>
      </c>
      <c r="E80" s="348" t="str">
        <f>[82]Source!H1471</f>
        <v>т</v>
      </c>
      <c r="F80" s="329">
        <f>[82]Source!I1471</f>
        <v>1.728E-2</v>
      </c>
      <c r="G80" s="349">
        <f>[82]Source!AL1471</f>
        <v>12416.1</v>
      </c>
      <c r="H80" s="350">
        <f>[82]Source!DD1471</f>
        <v>0</v>
      </c>
      <c r="I80" s="329">
        <f>[82]Source!AW1471</f>
        <v>1</v>
      </c>
      <c r="J80" s="351">
        <f>ROUND((ROUND(([82]Source!AC1471*[82]Source!AW1471*[82]Source!I1471),2)),2)</f>
        <v>214.55</v>
      </c>
      <c r="K80" s="329">
        <f>IF([82]Source!BC1471&lt;&gt; 0, [82]Source!BC1471, 1)</f>
        <v>6.7</v>
      </c>
      <c r="L80" s="351">
        <f>[82]Source!P1471</f>
        <v>1437.49</v>
      </c>
      <c r="Q80" s="326">
        <f>ROUND(([82]Source!DN1471/100)*ROUND((ROUND(([82]Source!AF1471*[82]Source!AV1471*[82]Source!I1471),2)),2), 2)</f>
        <v>0</v>
      </c>
      <c r="R80" s="326">
        <f>[82]Source!X1471</f>
        <v>0</v>
      </c>
      <c r="S80" s="326">
        <f>ROUND(([82]Source!DO1471/100)*ROUND((ROUND(([82]Source!AF1471*[82]Source!AV1471*[82]Source!I1471),2)),2), 2)</f>
        <v>0</v>
      </c>
      <c r="T80" s="326">
        <f>[82]Source!Y1471</f>
        <v>0</v>
      </c>
      <c r="U80" s="326">
        <f>ROUND((175/100)*ROUND((ROUND(([82]Source!AE1471*[82]Source!AV1471*[82]Source!I1471),2)),2), 2)</f>
        <v>0</v>
      </c>
      <c r="V80" s="326">
        <f>ROUND((157/100)*ROUND(ROUND((ROUND(([82]Source!AE1471*[82]Source!AV1471*[82]Source!I1471),2)*[82]Source!BS1471),2), 2), 2)</f>
        <v>0</v>
      </c>
    </row>
    <row r="81" spans="1:38" ht="15" x14ac:dyDescent="0.25">
      <c r="A81" s="365"/>
      <c r="B81" s="365"/>
      <c r="C81" s="365"/>
      <c r="D81" s="365"/>
      <c r="E81" s="365"/>
      <c r="F81" s="365"/>
      <c r="G81" s="365"/>
      <c r="H81" s="365"/>
      <c r="I81" s="641">
        <f>J80</f>
        <v>214.55</v>
      </c>
      <c r="J81" s="641"/>
      <c r="K81" s="641">
        <f>L80</f>
        <v>1437.49</v>
      </c>
      <c r="L81" s="641"/>
      <c r="O81" s="353">
        <f>J80</f>
        <v>214.55</v>
      </c>
      <c r="P81" s="353">
        <f>L80</f>
        <v>1437.49</v>
      </c>
      <c r="X81" s="326">
        <f>IF([82]Source!BI1471&lt;=1,J80-0, 0)</f>
        <v>214.55</v>
      </c>
      <c r="Y81" s="326">
        <f>IF([82]Source!BI1471=2,J80-0, 0)</f>
        <v>0</v>
      </c>
      <c r="Z81" s="326">
        <f>IF([82]Source!BI1471=3,J80-0, 0)</f>
        <v>0</v>
      </c>
      <c r="AA81" s="326">
        <f>IF([82]Source!BI1471=4,J80,0)</f>
        <v>0</v>
      </c>
    </row>
    <row r="82" spans="1:38" ht="28.5" x14ac:dyDescent="0.2">
      <c r="A82" s="346">
        <v>9</v>
      </c>
      <c r="B82" s="346" t="str">
        <f>[82]Source!E1473</f>
        <v>402</v>
      </c>
      <c r="C82" s="347" t="str">
        <f>[82]Source!F1473</f>
        <v>1.1-1-2585</v>
      </c>
      <c r="D82" s="347" t="s">
        <v>246</v>
      </c>
      <c r="E82" s="348" t="str">
        <f>[82]Source!H1473</f>
        <v>кг</v>
      </c>
      <c r="F82" s="329">
        <f>[82]Source!I1473</f>
        <v>7.56</v>
      </c>
      <c r="G82" s="349">
        <f>[82]Source!AL1473</f>
        <v>15.03</v>
      </c>
      <c r="H82" s="350">
        <f>[82]Source!DD1473</f>
        <v>0</v>
      </c>
      <c r="I82" s="329">
        <f>[82]Source!AW1473</f>
        <v>1</v>
      </c>
      <c r="J82" s="351">
        <f>ROUND((ROUND(([82]Source!AC1473*[82]Source!AW1473*[82]Source!I1473),2)),2)</f>
        <v>113.63</v>
      </c>
      <c r="K82" s="329">
        <f>IF([82]Source!BC1473&lt;&gt; 0, [82]Source!BC1473, 1)</f>
        <v>3.94</v>
      </c>
      <c r="L82" s="351">
        <f>[82]Source!P1473</f>
        <v>447.7</v>
      </c>
      <c r="Q82" s="326">
        <f>ROUND(([82]Source!DN1473/100)*ROUND((ROUND(([82]Source!AF1473*[82]Source!AV1473*[82]Source!I1473),2)),2), 2)</f>
        <v>0</v>
      </c>
      <c r="R82" s="326">
        <f>[82]Source!X1473</f>
        <v>0</v>
      </c>
      <c r="S82" s="326">
        <f>ROUND(([82]Source!DO1473/100)*ROUND((ROUND(([82]Source!AF1473*[82]Source!AV1473*[82]Source!I1473),2)),2), 2)</f>
        <v>0</v>
      </c>
      <c r="T82" s="326">
        <f>[82]Source!Y1473</f>
        <v>0</v>
      </c>
      <c r="U82" s="326">
        <f>ROUND((175/100)*ROUND((ROUND(([82]Source!AE1473*[82]Source!AV1473*[82]Source!I1473),2)),2), 2)</f>
        <v>0</v>
      </c>
      <c r="V82" s="326">
        <f>ROUND((157/100)*ROUND(ROUND((ROUND(([82]Source!AE1473*[82]Source!AV1473*[82]Source!I1473),2)*[82]Source!BS1473),2), 2), 2)</f>
        <v>0</v>
      </c>
    </row>
    <row r="83" spans="1:38" ht="15" x14ac:dyDescent="0.25">
      <c r="A83" s="365"/>
      <c r="B83" s="365"/>
      <c r="C83" s="365"/>
      <c r="D83" s="365"/>
      <c r="E83" s="365"/>
      <c r="F83" s="365"/>
      <c r="G83" s="365"/>
      <c r="H83" s="365"/>
      <c r="I83" s="641">
        <f>J82</f>
        <v>113.63</v>
      </c>
      <c r="J83" s="641"/>
      <c r="K83" s="641">
        <f>L82</f>
        <v>447.7</v>
      </c>
      <c r="L83" s="641"/>
      <c r="O83" s="353">
        <f>J82</f>
        <v>113.63</v>
      </c>
      <c r="P83" s="353">
        <f>L82</f>
        <v>447.7</v>
      </c>
      <c r="X83" s="326">
        <f>IF([82]Source!BI1473&lt;=1,J82-0, 0)</f>
        <v>113.63</v>
      </c>
      <c r="Y83" s="326">
        <f>IF([82]Source!BI1473=2,J82-0, 0)</f>
        <v>0</v>
      </c>
      <c r="Z83" s="326">
        <f>IF([82]Source!BI1473=3,J82-0, 0)</f>
        <v>0</v>
      </c>
      <c r="AA83" s="326">
        <f>IF([82]Source!BI1473=4,J82,0)</f>
        <v>0</v>
      </c>
    </row>
    <row r="84" spans="1:38" ht="28.5" x14ac:dyDescent="0.2">
      <c r="A84" s="346">
        <v>10</v>
      </c>
      <c r="B84" s="346" t="str">
        <f>[82]Source!E1475</f>
        <v>403</v>
      </c>
      <c r="C84" s="347" t="str">
        <f>[82]Source!F1475</f>
        <v>1.1-1-3732</v>
      </c>
      <c r="D84" s="347" t="s">
        <v>247</v>
      </c>
      <c r="E84" s="348" t="str">
        <f>[82]Source!H1475</f>
        <v>100 шт.</v>
      </c>
      <c r="F84" s="329">
        <f>[82]Source!I1475</f>
        <v>0.72</v>
      </c>
      <c r="G84" s="349">
        <f>[82]Source!AL1475</f>
        <v>679.91</v>
      </c>
      <c r="H84" s="350">
        <f>[82]Source!DD1475</f>
        <v>0</v>
      </c>
      <c r="I84" s="329">
        <f>[82]Source!AW1475</f>
        <v>1</v>
      </c>
      <c r="J84" s="351">
        <f>ROUND((ROUND(([82]Source!AC1475*[82]Source!AW1475*[82]Source!I1475),2)),2)</f>
        <v>489.54</v>
      </c>
      <c r="K84" s="329">
        <f>IF([82]Source!BC1475&lt;&gt; 0, [82]Source!BC1475, 1)</f>
        <v>1.21</v>
      </c>
      <c r="L84" s="351">
        <f>[82]Source!P1475</f>
        <v>592.34</v>
      </c>
      <c r="Q84" s="326">
        <f>ROUND(([82]Source!DN1475/100)*ROUND((ROUND(([82]Source!AF1475*[82]Source!AV1475*[82]Source!I1475),2)),2), 2)</f>
        <v>0</v>
      </c>
      <c r="R84" s="326">
        <f>[82]Source!X1475</f>
        <v>0</v>
      </c>
      <c r="S84" s="326">
        <f>ROUND(([82]Source!DO1475/100)*ROUND((ROUND(([82]Source!AF1475*[82]Source!AV1475*[82]Source!I1475),2)),2), 2)</f>
        <v>0</v>
      </c>
      <c r="T84" s="326">
        <f>[82]Source!Y1475</f>
        <v>0</v>
      </c>
      <c r="U84" s="326">
        <f>ROUND((175/100)*ROUND((ROUND(([82]Source!AE1475*[82]Source!AV1475*[82]Source!I1475),2)),2), 2)</f>
        <v>0</v>
      </c>
      <c r="V84" s="326">
        <f>ROUND((157/100)*ROUND(ROUND((ROUND(([82]Source!AE1475*[82]Source!AV1475*[82]Source!I1475),2)*[82]Source!BS1475),2), 2), 2)</f>
        <v>0</v>
      </c>
    </row>
    <row r="85" spans="1:38" ht="15" x14ac:dyDescent="0.25">
      <c r="A85" s="365"/>
      <c r="B85" s="365"/>
      <c r="C85" s="365"/>
      <c r="D85" s="365"/>
      <c r="E85" s="365"/>
      <c r="F85" s="365"/>
      <c r="G85" s="365"/>
      <c r="H85" s="365"/>
      <c r="I85" s="641">
        <f>J84</f>
        <v>489.54</v>
      </c>
      <c r="J85" s="641"/>
      <c r="K85" s="641">
        <f>L84</f>
        <v>592.34</v>
      </c>
      <c r="L85" s="641"/>
      <c r="O85" s="353">
        <f>J84</f>
        <v>489.54</v>
      </c>
      <c r="P85" s="353">
        <f>L84</f>
        <v>592.34</v>
      </c>
      <c r="X85" s="326">
        <f>IF([82]Source!BI1475&lt;=1,J84-0, 0)</f>
        <v>489.54</v>
      </c>
      <c r="Y85" s="326">
        <f>IF([82]Source!BI1475=2,J84-0, 0)</f>
        <v>0</v>
      </c>
      <c r="Z85" s="326">
        <f>IF([82]Source!BI1475=3,J84-0, 0)</f>
        <v>0</v>
      </c>
      <c r="AA85" s="326">
        <f>IF([82]Source!BI1475=4,J84,0)</f>
        <v>0</v>
      </c>
    </row>
    <row r="86" spans="1:38" ht="28.5" x14ac:dyDescent="0.2">
      <c r="A86" s="346">
        <v>11</v>
      </c>
      <c r="B86" s="346" t="str">
        <f>[82]Source!E1477</f>
        <v>404</v>
      </c>
      <c r="C86" s="347" t="str">
        <f>[82]Source!F1477</f>
        <v>1.1-1-3733</v>
      </c>
      <c r="D86" s="347" t="s">
        <v>248</v>
      </c>
      <c r="E86" s="348" t="str">
        <f>[82]Source!H1477</f>
        <v>100 шт.</v>
      </c>
      <c r="F86" s="329">
        <f>[82]Source!I1477</f>
        <v>0.72</v>
      </c>
      <c r="G86" s="349">
        <f>[82]Source!AL1477</f>
        <v>98.74</v>
      </c>
      <c r="H86" s="350">
        <f>[82]Source!DD1477</f>
        <v>0</v>
      </c>
      <c r="I86" s="329">
        <f>[82]Source!AW1477</f>
        <v>1</v>
      </c>
      <c r="J86" s="351">
        <f>ROUND((ROUND(([82]Source!AC1477*[82]Source!AW1477*[82]Source!I1477),2)),2)</f>
        <v>71.09</v>
      </c>
      <c r="K86" s="329">
        <f>IF([82]Source!BC1477&lt;&gt; 0, [82]Source!BC1477, 1)</f>
        <v>1.95</v>
      </c>
      <c r="L86" s="351">
        <f>[82]Source!P1477</f>
        <v>138.63</v>
      </c>
      <c r="Q86" s="326">
        <f>ROUND(([82]Source!DN1477/100)*ROUND((ROUND(([82]Source!AF1477*[82]Source!AV1477*[82]Source!I1477),2)),2), 2)</f>
        <v>0</v>
      </c>
      <c r="R86" s="326">
        <f>[82]Source!X1477</f>
        <v>0</v>
      </c>
      <c r="S86" s="326">
        <f>ROUND(([82]Source!DO1477/100)*ROUND((ROUND(([82]Source!AF1477*[82]Source!AV1477*[82]Source!I1477),2)),2), 2)</f>
        <v>0</v>
      </c>
      <c r="T86" s="326">
        <f>[82]Source!Y1477</f>
        <v>0</v>
      </c>
      <c r="U86" s="326">
        <f>ROUND((175/100)*ROUND((ROUND(([82]Source!AE1477*[82]Source!AV1477*[82]Source!I1477),2)),2), 2)</f>
        <v>0</v>
      </c>
      <c r="V86" s="326">
        <f>ROUND((157/100)*ROUND(ROUND((ROUND(([82]Source!AE1477*[82]Source!AV1477*[82]Source!I1477),2)*[82]Source!BS1477),2), 2), 2)</f>
        <v>0</v>
      </c>
    </row>
    <row r="87" spans="1:38" ht="15" x14ac:dyDescent="0.25">
      <c r="A87" s="365"/>
      <c r="B87" s="365"/>
      <c r="C87" s="365"/>
      <c r="D87" s="365"/>
      <c r="E87" s="365"/>
      <c r="F87" s="365"/>
      <c r="G87" s="365"/>
      <c r="H87" s="365"/>
      <c r="I87" s="641">
        <f>J86</f>
        <v>71.09</v>
      </c>
      <c r="J87" s="641"/>
      <c r="K87" s="641">
        <f>L86</f>
        <v>138.63</v>
      </c>
      <c r="L87" s="641"/>
      <c r="O87" s="353">
        <f>J86</f>
        <v>71.09</v>
      </c>
      <c r="P87" s="353">
        <f>L86</f>
        <v>138.63</v>
      </c>
      <c r="X87" s="326">
        <f>IF([82]Source!BI1477&lt;=1,J86-0, 0)</f>
        <v>71.09</v>
      </c>
      <c r="Y87" s="326">
        <f>IF([82]Source!BI1477=2,J86-0, 0)</f>
        <v>0</v>
      </c>
      <c r="Z87" s="326">
        <f>IF([82]Source!BI1477=3,J86-0, 0)</f>
        <v>0</v>
      </c>
      <c r="AA87" s="326">
        <f>IF([82]Source!BI1477=4,J86,0)</f>
        <v>0</v>
      </c>
    </row>
    <row r="89" spans="1:38" ht="15" x14ac:dyDescent="0.25">
      <c r="A89" s="637" t="str">
        <f>CONCATENATE("Итого по разделу: ",IF([82]Source!G1487&lt;&gt;"Новый раздел", [82]Source!G1487, ""))</f>
        <v>Итого по разделу: Водоотвод напорный (К2Н)</v>
      </c>
      <c r="B89" s="637"/>
      <c r="C89" s="637"/>
      <c r="D89" s="637"/>
      <c r="E89" s="637"/>
      <c r="F89" s="637"/>
      <c r="G89" s="637"/>
      <c r="H89" s="637"/>
      <c r="I89" s="638">
        <f>SUM(O51:O88)</f>
        <v>72928.38</v>
      </c>
      <c r="J89" s="639"/>
      <c r="K89" s="638">
        <f>SUM(P51:P88)</f>
        <v>757512.35</v>
      </c>
      <c r="L89" s="639"/>
    </row>
    <row r="90" spans="1:38" hidden="1" x14ac:dyDescent="0.2">
      <c r="A90" s="326" t="s">
        <v>67</v>
      </c>
      <c r="J90" s="326">
        <f>SUM(AC51:AC89)</f>
        <v>0</v>
      </c>
      <c r="K90" s="326">
        <f>SUM(AD51:AD89)</f>
        <v>0</v>
      </c>
    </row>
    <row r="91" spans="1:38" hidden="1" x14ac:dyDescent="0.2">
      <c r="A91" s="326" t="s">
        <v>68</v>
      </c>
      <c r="J91" s="326">
        <f>SUM(AE51:AE90)</f>
        <v>0</v>
      </c>
      <c r="K91" s="326">
        <f>SUM(AF51:AF90)</f>
        <v>0</v>
      </c>
    </row>
    <row r="93" spans="1:38" ht="30" x14ac:dyDescent="0.25">
      <c r="A93" s="637" t="str">
        <f>CONCATENATE("Итого по локальной смете: ",IF([82]Source!G2514&lt;&gt;"Новая локальная смета", [82]Source!G2514, ""))</f>
        <v>Итого по локальной смете: Платформенная часть. Внутренние инженерные системы. Водоснабжение и водоотведение</v>
      </c>
      <c r="B93" s="637"/>
      <c r="C93" s="637"/>
      <c r="D93" s="637"/>
      <c r="E93" s="637"/>
      <c r="F93" s="637"/>
      <c r="G93" s="637"/>
      <c r="H93" s="637"/>
      <c r="I93" s="638">
        <f>SUM(O50:O92)</f>
        <v>72928.38</v>
      </c>
      <c r="J93" s="639"/>
      <c r="K93" s="638">
        <f>SUM(P50:P92)</f>
        <v>757512.35</v>
      </c>
      <c r="L93" s="639"/>
      <c r="AL93" s="366" t="str">
        <f>CONCATENATE("Итого по локальной смете: ",IF([82]Source!G2514&lt;&gt;"Новая локальная смета", [82]Source!G2514, ""))</f>
        <v>Итого по локальной смете: Платформенная часть. Внутренние инженерные системы. Водоснабжение и водоотведение</v>
      </c>
    </row>
    <row r="94" spans="1:38" hidden="1" x14ac:dyDescent="0.2">
      <c r="A94" s="326" t="s">
        <v>67</v>
      </c>
      <c r="J94" s="326">
        <f>SUM(AC50:AC93)</f>
        <v>0</v>
      </c>
      <c r="K94" s="326">
        <f>SUM(AD50:AD93)</f>
        <v>0</v>
      </c>
    </row>
    <row r="95" spans="1:38" hidden="1" x14ac:dyDescent="0.2">
      <c r="A95" s="326" t="s">
        <v>68</v>
      </c>
      <c r="J95" s="326">
        <f>SUM(AE50:AE94)</f>
        <v>0</v>
      </c>
      <c r="K95" s="326">
        <f>SUM(AF50:AF94)</f>
        <v>0</v>
      </c>
    </row>
    <row r="96" spans="1:38" ht="14.25" x14ac:dyDescent="0.2">
      <c r="D96" s="367" t="str">
        <f>[82]Source!H2520</f>
        <v>Стоимость материалов (всего)</v>
      </c>
      <c r="E96" s="367"/>
      <c r="F96" s="367"/>
      <c r="G96" s="367"/>
      <c r="H96" s="367"/>
      <c r="I96" s="640">
        <f>SUMIF(D52:D86,"МР",I52:J86)+J86+J84+J82+J80+J78+J76+J72+J74+J70+J57</f>
        <v>37520.29</v>
      </c>
      <c r="J96" s="636"/>
      <c r="K96" s="640">
        <f>SUMIF(D52:D86,"МР",K52:L86)+L86+L84+L82+L80+L78+L76+L72+L74+L70+L57</f>
        <v>266319.68</v>
      </c>
      <c r="L96" s="636"/>
    </row>
    <row r="97" spans="1:256" ht="14.25" x14ac:dyDescent="0.2">
      <c r="D97" s="367" t="str">
        <f>[82]Source!H2528</f>
        <v>ЗП машинистов</v>
      </c>
      <c r="E97" s="367"/>
      <c r="F97" s="367"/>
      <c r="G97" s="367"/>
      <c r="H97" s="367"/>
      <c r="I97" s="640">
        <f>SUMIF(D53:D87,"в т.ч. ЗПМ",J53:J87)</f>
        <v>226.3</v>
      </c>
      <c r="J97" s="636"/>
      <c r="K97" s="640">
        <f>SUMIF(D53:D87,"в т.ч. ЗПМ",L53:L87)</f>
        <v>5483.25</v>
      </c>
      <c r="L97" s="636"/>
    </row>
    <row r="98" spans="1:256" ht="14.25" x14ac:dyDescent="0.2">
      <c r="D98" s="367" t="str">
        <f>[82]Source!H2529</f>
        <v>Основная ЗП рабочих</v>
      </c>
      <c r="E98" s="367"/>
      <c r="F98" s="367"/>
      <c r="G98" s="367"/>
      <c r="H98" s="367"/>
      <c r="I98" s="640">
        <f>SUMIF(D40:D88,"ЗП",J40:J88)</f>
        <v>7221.33</v>
      </c>
      <c r="J98" s="636"/>
      <c r="K98" s="640">
        <f>SUMIF(D40:D88,"ЗП",L40:L88)</f>
        <v>174972.83</v>
      </c>
      <c r="L98" s="636"/>
    </row>
    <row r="99" spans="1:256" ht="14.25" x14ac:dyDescent="0.2">
      <c r="D99" s="367" t="str">
        <f>[82]Source!H2539</f>
        <v>Накладные расходы</v>
      </c>
      <c r="E99" s="367"/>
      <c r="F99" s="367"/>
      <c r="G99" s="367"/>
      <c r="H99" s="367"/>
      <c r="I99" s="640">
        <f>SUMIF(D41:D89,"НР от ЗП",J41:J89)</f>
        <v>9026.66</v>
      </c>
      <c r="J99" s="636"/>
      <c r="K99" s="640">
        <f>SUMIF(D41:D89,"НР от ЗП",L41:L89)</f>
        <v>174972.83</v>
      </c>
      <c r="L99" s="636"/>
    </row>
    <row r="100" spans="1:256" ht="14.25" x14ac:dyDescent="0.2">
      <c r="D100" s="367" t="str">
        <f>[82]Source!H2540</f>
        <v>Сметная прибыль</v>
      </c>
      <c r="E100" s="367"/>
      <c r="F100" s="367"/>
      <c r="G100" s="367"/>
      <c r="H100" s="367"/>
      <c r="I100" s="640">
        <f>SUMIF(D42:D90,"СП от ЗП",J42:J90)</f>
        <v>6788.05</v>
      </c>
      <c r="J100" s="636"/>
      <c r="K100" s="640">
        <f>SUMIF(D42:D90,"СП от ЗП",L42:L90)</f>
        <v>78737.77</v>
      </c>
      <c r="L100" s="636"/>
    </row>
    <row r="102" spans="1:256" ht="15" x14ac:dyDescent="0.25">
      <c r="A102" s="237"/>
      <c r="B102" s="237"/>
      <c r="C102" s="237"/>
      <c r="D102" s="623" t="s">
        <v>191</v>
      </c>
      <c r="E102" s="623"/>
      <c r="F102" s="623"/>
      <c r="G102" s="623"/>
      <c r="H102" s="623"/>
      <c r="I102" s="368"/>
      <c r="J102" s="369">
        <v>0</v>
      </c>
      <c r="K102" s="369"/>
      <c r="L102" s="369">
        <v>0</v>
      </c>
      <c r="M102" s="370" t="e">
        <v>#REF!</v>
      </c>
      <c r="N102" s="371"/>
      <c r="O102" s="371"/>
      <c r="P102" s="371"/>
      <c r="Q102" s="371"/>
      <c r="R102" s="371"/>
      <c r="S102" s="371"/>
      <c r="T102" s="371"/>
      <c r="U102" s="371"/>
      <c r="V102" s="371"/>
      <c r="W102" s="371"/>
      <c r="X102" s="371"/>
      <c r="Y102" s="371"/>
      <c r="Z102" s="371"/>
      <c r="AA102" s="371"/>
      <c r="AB102" s="371"/>
      <c r="AC102" s="371"/>
      <c r="AD102" s="371"/>
      <c r="AE102" s="371"/>
      <c r="AF102" s="371"/>
      <c r="AG102" s="371"/>
      <c r="AH102" s="371"/>
      <c r="AI102" s="371"/>
      <c r="AJ102" s="371"/>
      <c r="AK102" s="371"/>
      <c r="AL102" s="371"/>
      <c r="AM102" s="371"/>
      <c r="AN102" s="371"/>
      <c r="AO102" s="371"/>
      <c r="AP102" s="371"/>
      <c r="AQ102" s="371"/>
      <c r="AR102" s="371"/>
      <c r="AS102" s="371"/>
      <c r="AT102" s="371"/>
      <c r="AU102" s="371"/>
      <c r="AV102" s="371"/>
      <c r="AW102" s="371"/>
      <c r="AX102" s="371"/>
      <c r="AY102" s="371"/>
      <c r="AZ102" s="371"/>
      <c r="BA102" s="371"/>
      <c r="BB102" s="371"/>
      <c r="BC102" s="371"/>
      <c r="BD102" s="371"/>
      <c r="BE102" s="371"/>
      <c r="BF102" s="371"/>
      <c r="BG102" s="371"/>
      <c r="BH102" s="371"/>
      <c r="BI102" s="371"/>
      <c r="BJ102" s="371"/>
      <c r="BK102" s="371"/>
      <c r="BL102" s="371"/>
      <c r="BM102" s="371"/>
      <c r="BN102" s="371"/>
      <c r="BO102" s="371"/>
      <c r="BP102" s="371"/>
      <c r="BQ102" s="371"/>
      <c r="BR102" s="371"/>
      <c r="BS102" s="371"/>
      <c r="BT102" s="371"/>
      <c r="BU102" s="371"/>
      <c r="BV102" s="371"/>
      <c r="BW102" s="371"/>
      <c r="BX102" s="371"/>
      <c r="BY102" s="371"/>
      <c r="BZ102" s="371"/>
      <c r="CA102" s="371"/>
      <c r="CB102" s="371"/>
      <c r="CC102" s="371"/>
      <c r="CD102" s="371"/>
      <c r="CE102" s="371"/>
      <c r="CF102" s="371"/>
      <c r="CG102" s="371"/>
      <c r="CH102" s="371"/>
      <c r="CI102" s="371"/>
      <c r="CJ102" s="371"/>
      <c r="CK102" s="371"/>
      <c r="CL102" s="371"/>
      <c r="CM102" s="371"/>
      <c r="CN102" s="371"/>
      <c r="CO102" s="371"/>
      <c r="CP102" s="371"/>
      <c r="CQ102" s="371"/>
      <c r="CR102" s="371"/>
      <c r="CS102" s="371"/>
      <c r="CT102" s="371"/>
      <c r="CU102" s="371"/>
      <c r="CV102" s="371"/>
      <c r="CW102" s="371"/>
      <c r="CX102" s="371"/>
      <c r="CY102" s="371"/>
      <c r="CZ102" s="371"/>
      <c r="DA102" s="371"/>
      <c r="DB102" s="371"/>
      <c r="DC102" s="371"/>
      <c r="DD102" s="371"/>
      <c r="DE102" s="371"/>
      <c r="DF102" s="371"/>
      <c r="DG102" s="371"/>
      <c r="DH102" s="371"/>
      <c r="DI102" s="371"/>
      <c r="DJ102" s="371"/>
      <c r="DK102" s="371"/>
      <c r="DL102" s="371"/>
      <c r="DM102" s="371"/>
      <c r="DN102" s="371"/>
      <c r="DO102" s="371"/>
      <c r="DP102" s="371"/>
      <c r="DQ102" s="371"/>
      <c r="DR102" s="371"/>
      <c r="DS102" s="371"/>
      <c r="DT102" s="371"/>
      <c r="DU102" s="371"/>
      <c r="DV102" s="371"/>
      <c r="DW102" s="371"/>
      <c r="DX102" s="371"/>
      <c r="DY102" s="371"/>
      <c r="DZ102" s="371"/>
      <c r="EA102" s="371"/>
      <c r="EB102" s="371"/>
      <c r="EC102" s="371"/>
      <c r="ED102" s="371"/>
      <c r="EE102" s="371"/>
      <c r="EF102" s="371"/>
      <c r="EG102" s="371"/>
      <c r="EH102" s="371"/>
      <c r="EI102" s="371"/>
      <c r="EJ102" s="371"/>
      <c r="EK102" s="371"/>
      <c r="EL102" s="371"/>
      <c r="EM102" s="371"/>
      <c r="EN102" s="371"/>
      <c r="EO102" s="371"/>
      <c r="EP102" s="371"/>
      <c r="EQ102" s="371"/>
      <c r="ER102" s="371"/>
      <c r="ES102" s="371"/>
      <c r="ET102" s="371"/>
      <c r="EU102" s="371"/>
      <c r="EV102" s="371"/>
      <c r="EW102" s="371"/>
      <c r="EX102" s="371"/>
      <c r="EY102" s="371"/>
      <c r="EZ102" s="371"/>
      <c r="FA102" s="371"/>
      <c r="FB102" s="371"/>
      <c r="FC102" s="371"/>
      <c r="FD102" s="371"/>
      <c r="FE102" s="371"/>
      <c r="FF102" s="371"/>
      <c r="FG102" s="371"/>
      <c r="FH102" s="371"/>
      <c r="FI102" s="371"/>
      <c r="FJ102" s="371"/>
      <c r="FK102" s="371"/>
      <c r="FL102" s="371"/>
      <c r="FM102" s="371"/>
      <c r="FN102" s="371"/>
      <c r="FO102" s="371"/>
      <c r="FP102" s="371"/>
      <c r="FQ102" s="371"/>
      <c r="FR102" s="371"/>
      <c r="FS102" s="371"/>
      <c r="FT102" s="371"/>
      <c r="FU102" s="371"/>
      <c r="FV102" s="371"/>
      <c r="FW102" s="371"/>
      <c r="FX102" s="371"/>
      <c r="FY102" s="371"/>
      <c r="FZ102" s="371"/>
      <c r="GA102" s="371"/>
      <c r="GB102" s="371"/>
      <c r="GC102" s="371"/>
      <c r="GD102" s="371"/>
      <c r="GE102" s="371"/>
      <c r="GF102" s="371"/>
      <c r="GG102" s="371"/>
      <c r="GH102" s="371"/>
      <c r="GI102" s="371"/>
      <c r="GJ102" s="371"/>
      <c r="GK102" s="371"/>
      <c r="GL102" s="371"/>
      <c r="GM102" s="371"/>
      <c r="GN102" s="371"/>
      <c r="GO102" s="371"/>
      <c r="GP102" s="371"/>
      <c r="GQ102" s="371"/>
      <c r="GR102" s="371"/>
      <c r="GS102" s="371"/>
      <c r="GT102" s="371"/>
      <c r="GU102" s="371"/>
      <c r="GV102" s="371"/>
      <c r="GW102" s="371"/>
      <c r="GX102" s="371"/>
      <c r="GY102" s="371"/>
      <c r="GZ102" s="371"/>
      <c r="HA102" s="371"/>
      <c r="HB102" s="371"/>
      <c r="HC102" s="371"/>
      <c r="HD102" s="371"/>
      <c r="HE102" s="371"/>
      <c r="HF102" s="371"/>
      <c r="HG102" s="371"/>
      <c r="HH102" s="371"/>
      <c r="HI102" s="371"/>
      <c r="HJ102" s="371"/>
      <c r="HK102" s="371"/>
      <c r="HL102" s="371"/>
      <c r="HM102" s="371"/>
      <c r="HN102" s="371"/>
      <c r="HO102" s="371"/>
      <c r="HP102" s="371"/>
      <c r="HQ102" s="371"/>
      <c r="HR102" s="371"/>
      <c r="HS102" s="371"/>
      <c r="HT102" s="371"/>
      <c r="HU102" s="371"/>
      <c r="HV102" s="371"/>
      <c r="HW102" s="371"/>
      <c r="HX102" s="371"/>
      <c r="HY102" s="371"/>
      <c r="HZ102" s="371"/>
      <c r="IA102" s="371"/>
      <c r="IB102" s="371"/>
      <c r="IC102" s="371"/>
      <c r="ID102" s="371"/>
      <c r="IE102" s="371"/>
      <c r="IF102" s="371"/>
      <c r="IG102" s="371"/>
      <c r="IH102" s="371"/>
      <c r="II102" s="371"/>
      <c r="IJ102" s="371"/>
      <c r="IK102" s="371"/>
      <c r="IL102" s="371"/>
      <c r="IM102" s="371"/>
      <c r="IN102" s="371"/>
      <c r="IO102" s="371"/>
      <c r="IP102" s="371"/>
      <c r="IQ102" s="371"/>
      <c r="IR102" s="371"/>
      <c r="IS102" s="371"/>
      <c r="IT102" s="371"/>
      <c r="IU102" s="371"/>
      <c r="IV102" s="371"/>
    </row>
    <row r="103" spans="1:256" ht="15" x14ac:dyDescent="0.25">
      <c r="A103" s="239"/>
      <c r="B103" s="239"/>
      <c r="C103" s="239"/>
      <c r="D103" s="623" t="s">
        <v>192</v>
      </c>
      <c r="E103" s="623"/>
      <c r="F103" s="623"/>
      <c r="G103" s="623"/>
      <c r="H103" s="623"/>
      <c r="I103" s="368"/>
      <c r="J103" s="369">
        <v>0</v>
      </c>
      <c r="K103" s="372"/>
      <c r="L103" s="369">
        <v>0</v>
      </c>
      <c r="M103" s="370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373"/>
      <c r="Y103" s="373"/>
      <c r="Z103" s="373"/>
      <c r="AA103" s="373"/>
      <c r="AB103" s="373"/>
      <c r="AC103" s="373"/>
      <c r="AD103" s="373"/>
      <c r="AE103" s="373"/>
      <c r="AF103" s="373"/>
      <c r="AG103" s="373"/>
      <c r="AH103" s="373"/>
      <c r="AI103" s="373"/>
      <c r="AJ103" s="373"/>
      <c r="AK103" s="373"/>
      <c r="AL103" s="373"/>
      <c r="AM103" s="373"/>
      <c r="AN103" s="373"/>
      <c r="AO103" s="373"/>
      <c r="AP103" s="373"/>
      <c r="AQ103" s="373"/>
      <c r="AR103" s="373"/>
      <c r="AS103" s="373"/>
      <c r="AT103" s="373"/>
      <c r="AU103" s="373"/>
      <c r="AV103" s="373"/>
      <c r="AW103" s="373"/>
      <c r="AX103" s="373"/>
      <c r="AY103" s="373"/>
      <c r="AZ103" s="373"/>
      <c r="BA103" s="373"/>
      <c r="BB103" s="373"/>
      <c r="BC103" s="373"/>
      <c r="BD103" s="373"/>
      <c r="BE103" s="373"/>
      <c r="BF103" s="373"/>
      <c r="BG103" s="373"/>
      <c r="BH103" s="373"/>
      <c r="BI103" s="373"/>
      <c r="BJ103" s="373"/>
      <c r="BK103" s="373"/>
      <c r="BL103" s="373"/>
      <c r="BM103" s="373"/>
      <c r="BN103" s="373"/>
      <c r="BO103" s="373"/>
      <c r="BP103" s="373"/>
      <c r="BQ103" s="373"/>
      <c r="BR103" s="373"/>
      <c r="BS103" s="373"/>
      <c r="BT103" s="373"/>
      <c r="BU103" s="373"/>
      <c r="BV103" s="373"/>
      <c r="BW103" s="373"/>
      <c r="BX103" s="373"/>
      <c r="BY103" s="373"/>
      <c r="BZ103" s="373"/>
      <c r="CA103" s="373"/>
      <c r="CB103" s="373"/>
      <c r="CC103" s="373"/>
      <c r="CD103" s="373"/>
      <c r="CE103" s="373"/>
      <c r="CF103" s="373"/>
      <c r="CG103" s="373"/>
      <c r="CH103" s="373"/>
      <c r="CI103" s="373"/>
      <c r="CJ103" s="373"/>
      <c r="CK103" s="373"/>
      <c r="CL103" s="373"/>
      <c r="CM103" s="373"/>
      <c r="CN103" s="373"/>
      <c r="CO103" s="373"/>
      <c r="CP103" s="373"/>
      <c r="CQ103" s="373"/>
      <c r="CR103" s="373"/>
      <c r="CS103" s="373"/>
      <c r="CT103" s="373"/>
      <c r="CU103" s="373"/>
      <c r="CV103" s="373"/>
      <c r="CW103" s="373"/>
      <c r="CX103" s="373"/>
      <c r="CY103" s="373"/>
      <c r="CZ103" s="373"/>
      <c r="DA103" s="373"/>
      <c r="DB103" s="373"/>
      <c r="DC103" s="373"/>
      <c r="DD103" s="373"/>
      <c r="DE103" s="373"/>
      <c r="DF103" s="373"/>
      <c r="DG103" s="373"/>
      <c r="DH103" s="373"/>
      <c r="DI103" s="373"/>
      <c r="DJ103" s="373"/>
      <c r="DK103" s="373"/>
      <c r="DL103" s="373"/>
      <c r="DM103" s="373"/>
      <c r="DN103" s="373"/>
      <c r="DO103" s="373"/>
      <c r="DP103" s="373"/>
      <c r="DQ103" s="373"/>
      <c r="DR103" s="373"/>
      <c r="DS103" s="373"/>
      <c r="DT103" s="373"/>
      <c r="DU103" s="373"/>
      <c r="DV103" s="373"/>
      <c r="DW103" s="373"/>
      <c r="DX103" s="373"/>
      <c r="DY103" s="373"/>
      <c r="DZ103" s="373"/>
      <c r="EA103" s="373"/>
      <c r="EB103" s="373"/>
      <c r="EC103" s="373"/>
      <c r="ED103" s="373"/>
      <c r="EE103" s="373"/>
      <c r="EF103" s="373"/>
      <c r="EG103" s="373"/>
      <c r="EH103" s="373"/>
      <c r="EI103" s="373"/>
      <c r="EJ103" s="373"/>
      <c r="EK103" s="373"/>
      <c r="EL103" s="373"/>
      <c r="EM103" s="373"/>
      <c r="EN103" s="373"/>
      <c r="EO103" s="373"/>
      <c r="EP103" s="373"/>
      <c r="EQ103" s="373"/>
      <c r="ER103" s="373"/>
      <c r="ES103" s="373"/>
      <c r="ET103" s="373"/>
      <c r="EU103" s="373"/>
      <c r="EV103" s="373"/>
      <c r="EW103" s="373"/>
      <c r="EX103" s="373"/>
      <c r="EY103" s="373"/>
      <c r="EZ103" s="373"/>
      <c r="FA103" s="373"/>
      <c r="FB103" s="373"/>
      <c r="FC103" s="373"/>
      <c r="FD103" s="373"/>
      <c r="FE103" s="373"/>
      <c r="FF103" s="373"/>
      <c r="FG103" s="373"/>
      <c r="FH103" s="373"/>
      <c r="FI103" s="373"/>
      <c r="FJ103" s="373"/>
      <c r="FK103" s="373"/>
      <c r="FL103" s="373"/>
      <c r="FM103" s="373"/>
      <c r="FN103" s="373"/>
      <c r="FO103" s="373"/>
      <c r="FP103" s="373"/>
      <c r="FQ103" s="373"/>
      <c r="FR103" s="373"/>
      <c r="FS103" s="373"/>
      <c r="FT103" s="373"/>
      <c r="FU103" s="373"/>
      <c r="FV103" s="373"/>
      <c r="FW103" s="373"/>
      <c r="FX103" s="373"/>
      <c r="FY103" s="373"/>
      <c r="FZ103" s="373"/>
      <c r="GA103" s="373"/>
      <c r="GB103" s="373"/>
      <c r="GC103" s="373"/>
      <c r="GD103" s="373"/>
      <c r="GE103" s="373"/>
      <c r="GF103" s="373"/>
      <c r="GG103" s="373"/>
      <c r="GH103" s="373"/>
      <c r="GI103" s="373"/>
      <c r="GJ103" s="373"/>
      <c r="GK103" s="373"/>
      <c r="GL103" s="373"/>
      <c r="GM103" s="373"/>
      <c r="GN103" s="373"/>
      <c r="GO103" s="373"/>
      <c r="GP103" s="373"/>
      <c r="GQ103" s="373"/>
      <c r="GR103" s="373"/>
      <c r="GS103" s="373"/>
      <c r="GT103" s="373"/>
      <c r="GU103" s="373"/>
      <c r="GV103" s="373"/>
      <c r="GW103" s="373"/>
      <c r="GX103" s="373"/>
      <c r="GY103" s="373"/>
      <c r="GZ103" s="373"/>
      <c r="HA103" s="373"/>
      <c r="HB103" s="373"/>
      <c r="HC103" s="373"/>
      <c r="HD103" s="373"/>
      <c r="HE103" s="373"/>
      <c r="HF103" s="373"/>
      <c r="HG103" s="373"/>
      <c r="HH103" s="373"/>
      <c r="HI103" s="373"/>
      <c r="HJ103" s="373"/>
      <c r="HK103" s="373"/>
      <c r="HL103" s="373"/>
      <c r="HM103" s="373"/>
      <c r="HN103" s="373"/>
      <c r="HO103" s="373"/>
      <c r="HP103" s="373"/>
      <c r="HQ103" s="373"/>
      <c r="HR103" s="373"/>
      <c r="HS103" s="373"/>
      <c r="HT103" s="373"/>
      <c r="HU103" s="373"/>
      <c r="HV103" s="373"/>
      <c r="HW103" s="373"/>
      <c r="HX103" s="373"/>
      <c r="HY103" s="373"/>
      <c r="HZ103" s="373"/>
      <c r="IA103" s="373"/>
      <c r="IB103" s="373"/>
      <c r="IC103" s="373"/>
      <c r="ID103" s="373"/>
      <c r="IE103" s="373"/>
      <c r="IF103" s="373"/>
      <c r="IG103" s="373"/>
      <c r="IH103" s="373"/>
      <c r="II103" s="373"/>
      <c r="IJ103" s="373"/>
      <c r="IK103" s="373"/>
      <c r="IL103" s="373"/>
      <c r="IM103" s="373"/>
      <c r="IN103" s="373"/>
      <c r="IO103" s="373"/>
      <c r="IP103" s="373"/>
      <c r="IQ103" s="373"/>
      <c r="IR103" s="373"/>
      <c r="IS103" s="373"/>
      <c r="IT103" s="373"/>
      <c r="IU103" s="373"/>
      <c r="IV103" s="373"/>
    </row>
    <row r="104" spans="1:256" ht="15" x14ac:dyDescent="0.25">
      <c r="A104" s="239"/>
      <c r="B104" s="239"/>
      <c r="C104" s="239"/>
      <c r="D104" s="372" t="s">
        <v>193</v>
      </c>
      <c r="E104" s="372"/>
      <c r="F104" s="372"/>
      <c r="G104" s="372"/>
      <c r="H104" s="372"/>
      <c r="I104" s="372"/>
      <c r="J104" s="369">
        <v>0</v>
      </c>
      <c r="K104" s="372"/>
      <c r="L104" s="369">
        <v>0</v>
      </c>
      <c r="M104" s="370"/>
      <c r="N104" s="373"/>
      <c r="O104" s="373"/>
      <c r="P104" s="373"/>
      <c r="Q104" s="373"/>
      <c r="R104" s="373"/>
      <c r="S104" s="373"/>
      <c r="T104" s="373"/>
      <c r="U104" s="373"/>
      <c r="V104" s="373"/>
      <c r="W104" s="373"/>
      <c r="X104" s="373"/>
      <c r="Y104" s="373"/>
      <c r="Z104" s="373"/>
      <c r="AA104" s="373"/>
      <c r="AB104" s="373"/>
      <c r="AC104" s="373"/>
      <c r="AD104" s="373"/>
      <c r="AE104" s="373"/>
      <c r="AF104" s="373"/>
      <c r="AG104" s="373"/>
      <c r="AH104" s="373"/>
      <c r="AI104" s="373"/>
      <c r="AJ104" s="373"/>
      <c r="AK104" s="373"/>
      <c r="AL104" s="373"/>
      <c r="AM104" s="373"/>
      <c r="AN104" s="373"/>
      <c r="AO104" s="373"/>
      <c r="AP104" s="373"/>
      <c r="AQ104" s="373"/>
      <c r="AR104" s="373"/>
      <c r="AS104" s="373"/>
      <c r="AT104" s="373"/>
      <c r="AU104" s="373"/>
      <c r="AV104" s="373"/>
      <c r="AW104" s="373"/>
      <c r="AX104" s="373"/>
      <c r="AY104" s="373"/>
      <c r="AZ104" s="373"/>
      <c r="BA104" s="373"/>
      <c r="BB104" s="373"/>
      <c r="BC104" s="373"/>
      <c r="BD104" s="373"/>
      <c r="BE104" s="373"/>
      <c r="BF104" s="373"/>
      <c r="BG104" s="373"/>
      <c r="BH104" s="373"/>
      <c r="BI104" s="373"/>
      <c r="BJ104" s="373"/>
      <c r="BK104" s="373"/>
      <c r="BL104" s="373"/>
      <c r="BM104" s="373"/>
      <c r="BN104" s="373"/>
      <c r="BO104" s="373"/>
      <c r="BP104" s="373"/>
      <c r="BQ104" s="373"/>
      <c r="BR104" s="373"/>
      <c r="BS104" s="373"/>
      <c r="BT104" s="373"/>
      <c r="BU104" s="373"/>
      <c r="BV104" s="373"/>
      <c r="BW104" s="373"/>
      <c r="BX104" s="373"/>
      <c r="BY104" s="373"/>
      <c r="BZ104" s="373"/>
      <c r="CA104" s="373"/>
      <c r="CB104" s="373"/>
      <c r="CC104" s="373"/>
      <c r="CD104" s="373"/>
      <c r="CE104" s="373"/>
      <c r="CF104" s="373"/>
      <c r="CG104" s="373"/>
      <c r="CH104" s="373"/>
      <c r="CI104" s="373"/>
      <c r="CJ104" s="373"/>
      <c r="CK104" s="373"/>
      <c r="CL104" s="373"/>
      <c r="CM104" s="373"/>
      <c r="CN104" s="373"/>
      <c r="CO104" s="373"/>
      <c r="CP104" s="373"/>
      <c r="CQ104" s="373"/>
      <c r="CR104" s="373"/>
      <c r="CS104" s="373"/>
      <c r="CT104" s="373"/>
      <c r="CU104" s="373"/>
      <c r="CV104" s="373"/>
      <c r="CW104" s="373"/>
      <c r="CX104" s="373"/>
      <c r="CY104" s="373"/>
      <c r="CZ104" s="373"/>
      <c r="DA104" s="373"/>
      <c r="DB104" s="373"/>
      <c r="DC104" s="373"/>
      <c r="DD104" s="373"/>
      <c r="DE104" s="373"/>
      <c r="DF104" s="373"/>
      <c r="DG104" s="373"/>
      <c r="DH104" s="373"/>
      <c r="DI104" s="373"/>
      <c r="DJ104" s="373"/>
      <c r="DK104" s="373"/>
      <c r="DL104" s="373"/>
      <c r="DM104" s="373"/>
      <c r="DN104" s="373"/>
      <c r="DO104" s="373"/>
      <c r="DP104" s="373"/>
      <c r="DQ104" s="373"/>
      <c r="DR104" s="373"/>
      <c r="DS104" s="373"/>
      <c r="DT104" s="373"/>
      <c r="DU104" s="373"/>
      <c r="DV104" s="373"/>
      <c r="DW104" s="373"/>
      <c r="DX104" s="373"/>
      <c r="DY104" s="373"/>
      <c r="DZ104" s="373"/>
      <c r="EA104" s="373"/>
      <c r="EB104" s="373"/>
      <c r="EC104" s="373"/>
      <c r="ED104" s="373"/>
      <c r="EE104" s="373"/>
      <c r="EF104" s="373"/>
      <c r="EG104" s="373"/>
      <c r="EH104" s="373"/>
      <c r="EI104" s="373"/>
      <c r="EJ104" s="373"/>
      <c r="EK104" s="373"/>
      <c r="EL104" s="373"/>
      <c r="EM104" s="373"/>
      <c r="EN104" s="373"/>
      <c r="EO104" s="373"/>
      <c r="EP104" s="373"/>
      <c r="EQ104" s="373"/>
      <c r="ER104" s="373"/>
      <c r="ES104" s="373"/>
      <c r="ET104" s="373"/>
      <c r="EU104" s="373"/>
      <c r="EV104" s="373"/>
      <c r="EW104" s="373"/>
      <c r="EX104" s="373"/>
      <c r="EY104" s="373"/>
      <c r="EZ104" s="373"/>
      <c r="FA104" s="373"/>
      <c r="FB104" s="373"/>
      <c r="FC104" s="373"/>
      <c r="FD104" s="373"/>
      <c r="FE104" s="373"/>
      <c r="FF104" s="373"/>
      <c r="FG104" s="373"/>
      <c r="FH104" s="373"/>
      <c r="FI104" s="373"/>
      <c r="FJ104" s="373"/>
      <c r="FK104" s="373"/>
      <c r="FL104" s="373"/>
      <c r="FM104" s="373"/>
      <c r="FN104" s="373"/>
      <c r="FO104" s="373"/>
      <c r="FP104" s="373"/>
      <c r="FQ104" s="373"/>
      <c r="FR104" s="373"/>
      <c r="FS104" s="373"/>
      <c r="FT104" s="373"/>
      <c r="FU104" s="373"/>
      <c r="FV104" s="373"/>
      <c r="FW104" s="373"/>
      <c r="FX104" s="373"/>
      <c r="FY104" s="373"/>
      <c r="FZ104" s="373"/>
      <c r="GA104" s="373"/>
      <c r="GB104" s="373"/>
      <c r="GC104" s="373"/>
      <c r="GD104" s="373"/>
      <c r="GE104" s="373"/>
      <c r="GF104" s="373"/>
      <c r="GG104" s="373"/>
      <c r="GH104" s="373"/>
      <c r="GI104" s="373"/>
      <c r="GJ104" s="373"/>
      <c r="GK104" s="373"/>
      <c r="GL104" s="373"/>
      <c r="GM104" s="373"/>
      <c r="GN104" s="373"/>
      <c r="GO104" s="373"/>
      <c r="GP104" s="373"/>
      <c r="GQ104" s="373"/>
      <c r="GR104" s="373"/>
      <c r="GS104" s="373"/>
      <c r="GT104" s="373"/>
      <c r="GU104" s="373"/>
      <c r="GV104" s="373"/>
      <c r="GW104" s="373"/>
      <c r="GX104" s="373"/>
      <c r="GY104" s="373"/>
      <c r="GZ104" s="373"/>
      <c r="HA104" s="373"/>
      <c r="HB104" s="373"/>
      <c r="HC104" s="373"/>
      <c r="HD104" s="373"/>
      <c r="HE104" s="373"/>
      <c r="HF104" s="373"/>
      <c r="HG104" s="373"/>
      <c r="HH104" s="373"/>
      <c r="HI104" s="373"/>
      <c r="HJ104" s="373"/>
      <c r="HK104" s="373"/>
      <c r="HL104" s="373"/>
      <c r="HM104" s="373"/>
      <c r="HN104" s="373"/>
      <c r="HO104" s="373"/>
      <c r="HP104" s="373"/>
      <c r="HQ104" s="373"/>
      <c r="HR104" s="373"/>
      <c r="HS104" s="373"/>
      <c r="HT104" s="373"/>
      <c r="HU104" s="373"/>
      <c r="HV104" s="373"/>
      <c r="HW104" s="373"/>
      <c r="HX104" s="373"/>
      <c r="HY104" s="373"/>
      <c r="HZ104" s="373"/>
      <c r="IA104" s="373"/>
      <c r="IB104" s="373"/>
      <c r="IC104" s="373"/>
      <c r="ID104" s="373"/>
      <c r="IE104" s="373"/>
      <c r="IF104" s="373"/>
      <c r="IG104" s="373"/>
      <c r="IH104" s="373"/>
      <c r="II104" s="373"/>
      <c r="IJ104" s="373"/>
      <c r="IK104" s="373"/>
      <c r="IL104" s="373"/>
      <c r="IM104" s="373"/>
      <c r="IN104" s="373"/>
      <c r="IO104" s="373"/>
      <c r="IP104" s="373"/>
      <c r="IQ104" s="373"/>
      <c r="IR104" s="373"/>
      <c r="IS104" s="373"/>
      <c r="IT104" s="373"/>
      <c r="IU104" s="373"/>
      <c r="IV104" s="373"/>
    </row>
    <row r="105" spans="1:256" ht="14.25" x14ac:dyDescent="0.2">
      <c r="A105" s="241"/>
      <c r="B105" s="241"/>
      <c r="C105" s="241"/>
      <c r="D105" s="241"/>
      <c r="E105" s="241"/>
      <c r="F105" s="241"/>
      <c r="G105" s="241"/>
      <c r="H105" s="241"/>
      <c r="I105" s="241"/>
      <c r="J105" s="241"/>
      <c r="K105" s="241"/>
      <c r="L105" s="241"/>
      <c r="M105" s="374"/>
      <c r="N105" s="375"/>
      <c r="O105" s="375"/>
      <c r="P105" s="375"/>
      <c r="Q105" s="375"/>
      <c r="R105" s="375"/>
      <c r="S105" s="375"/>
      <c r="T105" s="375"/>
      <c r="U105" s="375"/>
      <c r="V105" s="375"/>
      <c r="W105" s="375"/>
      <c r="X105" s="375"/>
      <c r="Y105" s="375"/>
      <c r="Z105" s="375"/>
      <c r="AA105" s="375"/>
      <c r="AB105" s="375"/>
      <c r="AC105" s="375"/>
      <c r="AD105" s="375"/>
      <c r="AE105" s="375"/>
      <c r="AF105" s="375"/>
      <c r="AG105" s="375"/>
      <c r="AH105" s="375"/>
      <c r="AI105" s="375"/>
      <c r="AJ105" s="375"/>
      <c r="AK105" s="375"/>
      <c r="AL105" s="375"/>
      <c r="AM105" s="375"/>
      <c r="AN105" s="375"/>
      <c r="AO105" s="375"/>
      <c r="AP105" s="375"/>
      <c r="AQ105" s="375"/>
      <c r="AR105" s="375"/>
      <c r="AS105" s="375"/>
      <c r="AT105" s="375"/>
      <c r="AU105" s="375"/>
      <c r="AV105" s="375"/>
      <c r="AW105" s="375"/>
      <c r="AX105" s="375"/>
      <c r="AY105" s="375"/>
      <c r="AZ105" s="375"/>
      <c r="BA105" s="375"/>
      <c r="BB105" s="375"/>
      <c r="BC105" s="375"/>
      <c r="BD105" s="375"/>
      <c r="BE105" s="375"/>
      <c r="BF105" s="375"/>
      <c r="BG105" s="375"/>
      <c r="BH105" s="375"/>
      <c r="BI105" s="375"/>
      <c r="BJ105" s="375"/>
      <c r="BK105" s="375"/>
      <c r="BL105" s="375"/>
      <c r="BM105" s="375"/>
      <c r="BN105" s="375"/>
      <c r="BO105" s="375"/>
      <c r="BP105" s="375"/>
      <c r="BQ105" s="375"/>
      <c r="BR105" s="375"/>
      <c r="BS105" s="375"/>
      <c r="BT105" s="375"/>
      <c r="BU105" s="375"/>
      <c r="BV105" s="375"/>
      <c r="BW105" s="375"/>
      <c r="BX105" s="375"/>
      <c r="BY105" s="375"/>
      <c r="BZ105" s="375"/>
      <c r="CA105" s="375"/>
      <c r="CB105" s="375"/>
      <c r="CC105" s="375"/>
      <c r="CD105" s="375"/>
      <c r="CE105" s="375"/>
      <c r="CF105" s="375"/>
      <c r="CG105" s="375"/>
      <c r="CH105" s="375"/>
      <c r="CI105" s="375"/>
      <c r="CJ105" s="375"/>
      <c r="CK105" s="375"/>
      <c r="CL105" s="375"/>
      <c r="CM105" s="375"/>
      <c r="CN105" s="375"/>
      <c r="CO105" s="375"/>
      <c r="CP105" s="375"/>
      <c r="CQ105" s="375"/>
      <c r="CR105" s="375"/>
      <c r="CS105" s="375"/>
      <c r="CT105" s="375"/>
      <c r="CU105" s="375"/>
      <c r="CV105" s="375"/>
      <c r="CW105" s="375"/>
      <c r="CX105" s="375"/>
      <c r="CY105" s="375"/>
      <c r="CZ105" s="375"/>
      <c r="DA105" s="375"/>
      <c r="DB105" s="375"/>
      <c r="DC105" s="375"/>
      <c r="DD105" s="375"/>
      <c r="DE105" s="375"/>
      <c r="DF105" s="375"/>
      <c r="DG105" s="375"/>
      <c r="DH105" s="375"/>
      <c r="DI105" s="375"/>
      <c r="DJ105" s="375"/>
      <c r="DK105" s="375"/>
      <c r="DL105" s="375"/>
      <c r="DM105" s="375"/>
      <c r="DN105" s="375"/>
      <c r="DO105" s="375"/>
      <c r="DP105" s="375"/>
      <c r="DQ105" s="375"/>
      <c r="DR105" s="375"/>
      <c r="DS105" s="375"/>
      <c r="DT105" s="375"/>
      <c r="DU105" s="375"/>
      <c r="DV105" s="375"/>
      <c r="DW105" s="375"/>
      <c r="DX105" s="375"/>
      <c r="DY105" s="375"/>
      <c r="DZ105" s="375"/>
      <c r="EA105" s="375"/>
      <c r="EB105" s="375"/>
      <c r="EC105" s="375"/>
      <c r="ED105" s="375"/>
      <c r="EE105" s="375"/>
      <c r="EF105" s="375"/>
      <c r="EG105" s="375"/>
      <c r="EH105" s="375"/>
      <c r="EI105" s="375"/>
      <c r="EJ105" s="375"/>
      <c r="EK105" s="375"/>
      <c r="EL105" s="375"/>
      <c r="EM105" s="375"/>
      <c r="EN105" s="375"/>
      <c r="EO105" s="375"/>
      <c r="EP105" s="375"/>
      <c r="EQ105" s="375"/>
      <c r="ER105" s="375"/>
      <c r="ES105" s="375"/>
      <c r="ET105" s="375"/>
      <c r="EU105" s="375"/>
      <c r="EV105" s="375"/>
      <c r="EW105" s="375"/>
      <c r="EX105" s="375"/>
      <c r="EY105" s="375"/>
      <c r="EZ105" s="375"/>
      <c r="FA105" s="375"/>
      <c r="FB105" s="375"/>
      <c r="FC105" s="375"/>
      <c r="FD105" s="375"/>
      <c r="FE105" s="375"/>
      <c r="FF105" s="375"/>
      <c r="FG105" s="375"/>
      <c r="FH105" s="375"/>
      <c r="FI105" s="375"/>
      <c r="FJ105" s="375"/>
      <c r="FK105" s="375"/>
      <c r="FL105" s="375"/>
      <c r="FM105" s="375"/>
      <c r="FN105" s="375"/>
      <c r="FO105" s="375"/>
      <c r="FP105" s="375"/>
      <c r="FQ105" s="375"/>
      <c r="FR105" s="375"/>
      <c r="FS105" s="375"/>
      <c r="FT105" s="375"/>
      <c r="FU105" s="375"/>
      <c r="FV105" s="375"/>
      <c r="FW105" s="375"/>
      <c r="FX105" s="375"/>
      <c r="FY105" s="375"/>
      <c r="FZ105" s="375"/>
      <c r="GA105" s="375"/>
      <c r="GB105" s="375"/>
      <c r="GC105" s="375"/>
      <c r="GD105" s="375"/>
      <c r="GE105" s="375"/>
      <c r="GF105" s="375"/>
      <c r="GG105" s="375"/>
      <c r="GH105" s="375"/>
      <c r="GI105" s="375"/>
      <c r="GJ105" s="375"/>
      <c r="GK105" s="375"/>
      <c r="GL105" s="375"/>
      <c r="GM105" s="375"/>
      <c r="GN105" s="375"/>
      <c r="GO105" s="375"/>
      <c r="GP105" s="375"/>
      <c r="GQ105" s="375"/>
      <c r="GR105" s="375"/>
      <c r="GS105" s="375"/>
      <c r="GT105" s="375"/>
      <c r="GU105" s="375"/>
      <c r="GV105" s="375"/>
      <c r="GW105" s="375"/>
      <c r="GX105" s="375"/>
      <c r="GY105" s="375"/>
      <c r="GZ105" s="375"/>
      <c r="HA105" s="375"/>
      <c r="HB105" s="375"/>
      <c r="HC105" s="375"/>
      <c r="HD105" s="375"/>
      <c r="HE105" s="375"/>
      <c r="HF105" s="375"/>
      <c r="HG105" s="375"/>
      <c r="HH105" s="375"/>
      <c r="HI105" s="375"/>
      <c r="HJ105" s="375"/>
      <c r="HK105" s="375"/>
      <c r="HL105" s="375"/>
      <c r="HM105" s="375"/>
      <c r="HN105" s="375"/>
      <c r="HO105" s="375"/>
      <c r="HP105" s="375"/>
      <c r="HQ105" s="375"/>
      <c r="HR105" s="375"/>
      <c r="HS105" s="375"/>
      <c r="HT105" s="375"/>
      <c r="HU105" s="375"/>
      <c r="HV105" s="375"/>
      <c r="HW105" s="375"/>
      <c r="HX105" s="375"/>
      <c r="HY105" s="375"/>
      <c r="HZ105" s="375"/>
      <c r="IA105" s="375"/>
      <c r="IB105" s="375"/>
      <c r="IC105" s="375"/>
      <c r="ID105" s="375"/>
      <c r="IE105" s="375"/>
      <c r="IF105" s="375"/>
      <c r="IG105" s="375"/>
      <c r="IH105" s="375"/>
      <c r="II105" s="375"/>
      <c r="IJ105" s="375"/>
      <c r="IK105" s="375"/>
      <c r="IL105" s="375"/>
      <c r="IM105" s="375"/>
      <c r="IN105" s="375"/>
      <c r="IO105" s="375"/>
      <c r="IP105" s="375"/>
      <c r="IQ105" s="375"/>
      <c r="IR105" s="375"/>
      <c r="IS105" s="375"/>
      <c r="IT105" s="375"/>
      <c r="IU105" s="375"/>
      <c r="IV105" s="375"/>
    </row>
    <row r="106" spans="1:256" ht="30" x14ac:dyDescent="0.25">
      <c r="A106" s="239"/>
      <c r="B106" s="239"/>
      <c r="C106" s="239"/>
      <c r="D106" s="242" t="s">
        <v>194</v>
      </c>
      <c r="E106" s="242"/>
      <c r="F106" s="242"/>
      <c r="G106" s="242"/>
      <c r="H106" s="242"/>
      <c r="I106" s="243"/>
      <c r="J106" s="244">
        <f>I93-J104</f>
        <v>72928.38</v>
      </c>
      <c r="K106" s="245"/>
      <c r="L106" s="244">
        <f>K93-L104</f>
        <v>757512.35</v>
      </c>
      <c r="M106" s="374" t="e">
        <v>#REF!</v>
      </c>
      <c r="N106" s="373"/>
      <c r="O106" s="373"/>
      <c r="P106" s="373"/>
      <c r="Q106" s="373"/>
      <c r="R106" s="373"/>
      <c r="S106" s="373"/>
      <c r="T106" s="373"/>
      <c r="U106" s="373"/>
      <c r="V106" s="373"/>
      <c r="W106" s="373"/>
      <c r="X106" s="373"/>
      <c r="Y106" s="373"/>
      <c r="Z106" s="373"/>
      <c r="AA106" s="373"/>
      <c r="AB106" s="373"/>
      <c r="AC106" s="373"/>
      <c r="AD106" s="373"/>
      <c r="AE106" s="373"/>
      <c r="AF106" s="373"/>
      <c r="AG106" s="373"/>
      <c r="AH106" s="373"/>
      <c r="AI106" s="373"/>
      <c r="AJ106" s="373"/>
      <c r="AK106" s="373"/>
      <c r="AL106" s="373"/>
      <c r="AM106" s="373"/>
      <c r="AN106" s="373"/>
      <c r="AO106" s="373"/>
      <c r="AP106" s="373"/>
      <c r="AQ106" s="373"/>
      <c r="AR106" s="373"/>
      <c r="AS106" s="373"/>
      <c r="AT106" s="373"/>
      <c r="AU106" s="373"/>
      <c r="AV106" s="373"/>
      <c r="AW106" s="373"/>
      <c r="AX106" s="373"/>
      <c r="AY106" s="373"/>
      <c r="AZ106" s="373"/>
      <c r="BA106" s="373"/>
      <c r="BB106" s="373"/>
      <c r="BC106" s="373"/>
      <c r="BD106" s="373"/>
      <c r="BE106" s="373"/>
      <c r="BF106" s="373"/>
      <c r="BG106" s="373"/>
      <c r="BH106" s="373"/>
      <c r="BI106" s="373"/>
      <c r="BJ106" s="373"/>
      <c r="BK106" s="373"/>
      <c r="BL106" s="373"/>
      <c r="BM106" s="373"/>
      <c r="BN106" s="373"/>
      <c r="BO106" s="373"/>
      <c r="BP106" s="373"/>
      <c r="BQ106" s="373"/>
      <c r="BR106" s="373"/>
      <c r="BS106" s="373"/>
      <c r="BT106" s="373"/>
      <c r="BU106" s="373"/>
      <c r="BV106" s="373"/>
      <c r="BW106" s="373"/>
      <c r="BX106" s="373"/>
      <c r="BY106" s="373"/>
      <c r="BZ106" s="373"/>
      <c r="CA106" s="373"/>
      <c r="CB106" s="373"/>
      <c r="CC106" s="373"/>
      <c r="CD106" s="373"/>
      <c r="CE106" s="373"/>
      <c r="CF106" s="373"/>
      <c r="CG106" s="373"/>
      <c r="CH106" s="373"/>
      <c r="CI106" s="373"/>
      <c r="CJ106" s="373"/>
      <c r="CK106" s="373"/>
      <c r="CL106" s="373"/>
      <c r="CM106" s="373"/>
      <c r="CN106" s="373"/>
      <c r="CO106" s="373"/>
      <c r="CP106" s="373"/>
      <c r="CQ106" s="373"/>
      <c r="CR106" s="373"/>
      <c r="CS106" s="373"/>
      <c r="CT106" s="373"/>
      <c r="CU106" s="373"/>
      <c r="CV106" s="373"/>
      <c r="CW106" s="373"/>
      <c r="CX106" s="373"/>
      <c r="CY106" s="373"/>
      <c r="CZ106" s="373"/>
      <c r="DA106" s="373"/>
      <c r="DB106" s="373"/>
      <c r="DC106" s="373"/>
      <c r="DD106" s="373"/>
      <c r="DE106" s="373"/>
      <c r="DF106" s="373"/>
      <c r="DG106" s="373"/>
      <c r="DH106" s="373"/>
      <c r="DI106" s="373"/>
      <c r="DJ106" s="373"/>
      <c r="DK106" s="373"/>
      <c r="DL106" s="373"/>
      <c r="DM106" s="373"/>
      <c r="DN106" s="373"/>
      <c r="DO106" s="373"/>
      <c r="DP106" s="373"/>
      <c r="DQ106" s="373"/>
      <c r="DR106" s="373"/>
      <c r="DS106" s="373"/>
      <c r="DT106" s="373"/>
      <c r="DU106" s="373"/>
      <c r="DV106" s="373"/>
      <c r="DW106" s="373"/>
      <c r="DX106" s="373"/>
      <c r="DY106" s="373"/>
      <c r="DZ106" s="373"/>
      <c r="EA106" s="373"/>
      <c r="EB106" s="373"/>
      <c r="EC106" s="373"/>
      <c r="ED106" s="373"/>
      <c r="EE106" s="373"/>
      <c r="EF106" s="373"/>
      <c r="EG106" s="373"/>
      <c r="EH106" s="373"/>
      <c r="EI106" s="373"/>
      <c r="EJ106" s="373"/>
      <c r="EK106" s="373"/>
      <c r="EL106" s="373"/>
      <c r="EM106" s="373"/>
      <c r="EN106" s="373"/>
      <c r="EO106" s="373"/>
      <c r="EP106" s="373"/>
      <c r="EQ106" s="373"/>
      <c r="ER106" s="373"/>
      <c r="ES106" s="373"/>
      <c r="ET106" s="373"/>
      <c r="EU106" s="373"/>
      <c r="EV106" s="373"/>
      <c r="EW106" s="373"/>
      <c r="EX106" s="373"/>
      <c r="EY106" s="373"/>
      <c r="EZ106" s="373"/>
      <c r="FA106" s="373"/>
      <c r="FB106" s="373"/>
      <c r="FC106" s="373"/>
      <c r="FD106" s="373"/>
      <c r="FE106" s="373"/>
      <c r="FF106" s="373"/>
      <c r="FG106" s="373"/>
      <c r="FH106" s="373"/>
      <c r="FI106" s="373"/>
      <c r="FJ106" s="373"/>
      <c r="FK106" s="373"/>
      <c r="FL106" s="373"/>
      <c r="FM106" s="373"/>
      <c r="FN106" s="373"/>
      <c r="FO106" s="373"/>
      <c r="FP106" s="373"/>
      <c r="FQ106" s="373"/>
      <c r="FR106" s="373"/>
      <c r="FS106" s="373"/>
      <c r="FT106" s="373"/>
      <c r="FU106" s="373"/>
      <c r="FV106" s="373"/>
      <c r="FW106" s="373"/>
      <c r="FX106" s="373"/>
      <c r="FY106" s="373"/>
      <c r="FZ106" s="373"/>
      <c r="GA106" s="373"/>
      <c r="GB106" s="373"/>
      <c r="GC106" s="373"/>
      <c r="GD106" s="373"/>
      <c r="GE106" s="373"/>
      <c r="GF106" s="373"/>
      <c r="GG106" s="373"/>
      <c r="GH106" s="373"/>
      <c r="GI106" s="373"/>
      <c r="GJ106" s="373"/>
      <c r="GK106" s="373"/>
      <c r="GL106" s="373"/>
      <c r="GM106" s="373"/>
      <c r="GN106" s="373"/>
      <c r="GO106" s="373"/>
      <c r="GP106" s="373"/>
      <c r="GQ106" s="373"/>
      <c r="GR106" s="373"/>
      <c r="GS106" s="373"/>
      <c r="GT106" s="373"/>
      <c r="GU106" s="373"/>
      <c r="GV106" s="373"/>
      <c r="GW106" s="373"/>
      <c r="GX106" s="373"/>
      <c r="GY106" s="373"/>
      <c r="GZ106" s="373"/>
      <c r="HA106" s="373"/>
      <c r="HB106" s="373"/>
      <c r="HC106" s="373"/>
      <c r="HD106" s="373"/>
      <c r="HE106" s="373"/>
      <c r="HF106" s="373"/>
      <c r="HG106" s="373"/>
      <c r="HH106" s="373"/>
      <c r="HI106" s="373"/>
      <c r="HJ106" s="373"/>
      <c r="HK106" s="373"/>
      <c r="HL106" s="373"/>
      <c r="HM106" s="373"/>
      <c r="HN106" s="373"/>
      <c r="HO106" s="373"/>
      <c r="HP106" s="373"/>
      <c r="HQ106" s="373"/>
      <c r="HR106" s="373"/>
      <c r="HS106" s="373"/>
      <c r="HT106" s="373"/>
      <c r="HU106" s="373"/>
      <c r="HV106" s="373"/>
      <c r="HW106" s="373"/>
      <c r="HX106" s="373"/>
      <c r="HY106" s="373"/>
      <c r="HZ106" s="373"/>
      <c r="IA106" s="373"/>
      <c r="IB106" s="373"/>
      <c r="IC106" s="373"/>
      <c r="ID106" s="373"/>
      <c r="IE106" s="373"/>
      <c r="IF106" s="373"/>
      <c r="IG106" s="373"/>
      <c r="IH106" s="373"/>
      <c r="II106" s="373"/>
      <c r="IJ106" s="373"/>
      <c r="IK106" s="373"/>
      <c r="IL106" s="373"/>
      <c r="IM106" s="373"/>
      <c r="IN106" s="373"/>
      <c r="IO106" s="373"/>
      <c r="IP106" s="373"/>
      <c r="IQ106" s="373"/>
      <c r="IR106" s="373"/>
      <c r="IS106" s="373"/>
      <c r="IT106" s="373"/>
      <c r="IU106" s="373"/>
      <c r="IV106" s="373"/>
    </row>
    <row r="107" spans="1:256" ht="14.25" x14ac:dyDescent="0.2">
      <c r="A107" s="239"/>
      <c r="B107" s="239"/>
      <c r="C107" s="239"/>
      <c r="D107" s="246" t="s">
        <v>69</v>
      </c>
      <c r="E107" s="246"/>
      <c r="F107" s="246"/>
      <c r="G107" s="246"/>
      <c r="H107" s="246"/>
      <c r="I107" s="247"/>
      <c r="J107" s="248">
        <f>J106-J110</f>
        <v>72928.38</v>
      </c>
      <c r="K107" s="249"/>
      <c r="L107" s="248">
        <f>L106-L110</f>
        <v>757512.35</v>
      </c>
      <c r="M107" s="374"/>
      <c r="N107" s="373"/>
      <c r="O107" s="373"/>
      <c r="P107" s="373"/>
      <c r="Q107" s="373"/>
      <c r="R107" s="373"/>
      <c r="S107" s="373"/>
      <c r="T107" s="373"/>
      <c r="U107" s="373"/>
      <c r="V107" s="373"/>
      <c r="W107" s="373"/>
      <c r="X107" s="373"/>
      <c r="Y107" s="373"/>
      <c r="Z107" s="373"/>
      <c r="AA107" s="373"/>
      <c r="AB107" s="373"/>
      <c r="AC107" s="373"/>
      <c r="AD107" s="373"/>
      <c r="AE107" s="373"/>
      <c r="AF107" s="373"/>
      <c r="AG107" s="373"/>
      <c r="AH107" s="373"/>
      <c r="AI107" s="373"/>
      <c r="AJ107" s="373"/>
      <c r="AK107" s="373"/>
      <c r="AL107" s="373"/>
      <c r="AM107" s="373"/>
      <c r="AN107" s="373"/>
      <c r="AO107" s="373"/>
      <c r="AP107" s="373"/>
      <c r="AQ107" s="373"/>
      <c r="AR107" s="373"/>
      <c r="AS107" s="373"/>
      <c r="AT107" s="373"/>
      <c r="AU107" s="373"/>
      <c r="AV107" s="373"/>
      <c r="AW107" s="373"/>
      <c r="AX107" s="373"/>
      <c r="AY107" s="373"/>
      <c r="AZ107" s="373"/>
      <c r="BA107" s="373"/>
      <c r="BB107" s="373"/>
      <c r="BC107" s="373"/>
      <c r="BD107" s="373"/>
      <c r="BE107" s="373"/>
      <c r="BF107" s="373"/>
      <c r="BG107" s="373"/>
      <c r="BH107" s="373"/>
      <c r="BI107" s="373"/>
      <c r="BJ107" s="373"/>
      <c r="BK107" s="373"/>
      <c r="BL107" s="373"/>
      <c r="BM107" s="373"/>
      <c r="BN107" s="373"/>
      <c r="BO107" s="373"/>
      <c r="BP107" s="373"/>
      <c r="BQ107" s="373"/>
      <c r="BR107" s="373"/>
      <c r="BS107" s="373"/>
      <c r="BT107" s="373"/>
      <c r="BU107" s="373"/>
      <c r="BV107" s="373"/>
      <c r="BW107" s="373"/>
      <c r="BX107" s="373"/>
      <c r="BY107" s="373"/>
      <c r="BZ107" s="373"/>
      <c r="CA107" s="373"/>
      <c r="CB107" s="373"/>
      <c r="CC107" s="373"/>
      <c r="CD107" s="373"/>
      <c r="CE107" s="373"/>
      <c r="CF107" s="373"/>
      <c r="CG107" s="373"/>
      <c r="CH107" s="373"/>
      <c r="CI107" s="373"/>
      <c r="CJ107" s="373"/>
      <c r="CK107" s="373"/>
      <c r="CL107" s="373"/>
      <c r="CM107" s="373"/>
      <c r="CN107" s="373"/>
      <c r="CO107" s="373"/>
      <c r="CP107" s="373"/>
      <c r="CQ107" s="373"/>
      <c r="CR107" s="373"/>
      <c r="CS107" s="373"/>
      <c r="CT107" s="373"/>
      <c r="CU107" s="373"/>
      <c r="CV107" s="373"/>
      <c r="CW107" s="373"/>
      <c r="CX107" s="373"/>
      <c r="CY107" s="373"/>
      <c r="CZ107" s="373"/>
      <c r="DA107" s="373"/>
      <c r="DB107" s="373"/>
      <c r="DC107" s="373"/>
      <c r="DD107" s="373"/>
      <c r="DE107" s="373"/>
      <c r="DF107" s="373"/>
      <c r="DG107" s="373"/>
      <c r="DH107" s="373"/>
      <c r="DI107" s="373"/>
      <c r="DJ107" s="373"/>
      <c r="DK107" s="373"/>
      <c r="DL107" s="373"/>
      <c r="DM107" s="373"/>
      <c r="DN107" s="373"/>
      <c r="DO107" s="373"/>
      <c r="DP107" s="373"/>
      <c r="DQ107" s="373"/>
      <c r="DR107" s="373"/>
      <c r="DS107" s="373"/>
      <c r="DT107" s="373"/>
      <c r="DU107" s="373"/>
      <c r="DV107" s="373"/>
      <c r="DW107" s="373"/>
      <c r="DX107" s="373"/>
      <c r="DY107" s="373"/>
      <c r="DZ107" s="373"/>
      <c r="EA107" s="373"/>
      <c r="EB107" s="373"/>
      <c r="EC107" s="373"/>
      <c r="ED107" s="373"/>
      <c r="EE107" s="373"/>
      <c r="EF107" s="373"/>
      <c r="EG107" s="373"/>
      <c r="EH107" s="373"/>
      <c r="EI107" s="373"/>
      <c r="EJ107" s="373"/>
      <c r="EK107" s="373"/>
      <c r="EL107" s="373"/>
      <c r="EM107" s="373"/>
      <c r="EN107" s="373"/>
      <c r="EO107" s="373"/>
      <c r="EP107" s="373"/>
      <c r="EQ107" s="373"/>
      <c r="ER107" s="373"/>
      <c r="ES107" s="373"/>
      <c r="ET107" s="373"/>
      <c r="EU107" s="373"/>
      <c r="EV107" s="373"/>
      <c r="EW107" s="373"/>
      <c r="EX107" s="373"/>
      <c r="EY107" s="373"/>
      <c r="EZ107" s="373"/>
      <c r="FA107" s="373"/>
      <c r="FB107" s="373"/>
      <c r="FC107" s="373"/>
      <c r="FD107" s="373"/>
      <c r="FE107" s="373"/>
      <c r="FF107" s="373"/>
      <c r="FG107" s="373"/>
      <c r="FH107" s="373"/>
      <c r="FI107" s="373"/>
      <c r="FJ107" s="373"/>
      <c r="FK107" s="373"/>
      <c r="FL107" s="373"/>
      <c r="FM107" s="373"/>
      <c r="FN107" s="373"/>
      <c r="FO107" s="373"/>
      <c r="FP107" s="373"/>
      <c r="FQ107" s="373"/>
      <c r="FR107" s="373"/>
      <c r="FS107" s="373"/>
      <c r="FT107" s="373"/>
      <c r="FU107" s="373"/>
      <c r="FV107" s="373"/>
      <c r="FW107" s="373"/>
      <c r="FX107" s="373"/>
      <c r="FY107" s="373"/>
      <c r="FZ107" s="373"/>
      <c r="GA107" s="373"/>
      <c r="GB107" s="373"/>
      <c r="GC107" s="373"/>
      <c r="GD107" s="373"/>
      <c r="GE107" s="373"/>
      <c r="GF107" s="373"/>
      <c r="GG107" s="373"/>
      <c r="GH107" s="373"/>
      <c r="GI107" s="373"/>
      <c r="GJ107" s="373"/>
      <c r="GK107" s="373"/>
      <c r="GL107" s="373"/>
      <c r="GM107" s="373"/>
      <c r="GN107" s="373"/>
      <c r="GO107" s="373"/>
      <c r="GP107" s="373"/>
      <c r="GQ107" s="373"/>
      <c r="GR107" s="373"/>
      <c r="GS107" s="373"/>
      <c r="GT107" s="373"/>
      <c r="GU107" s="373"/>
      <c r="GV107" s="373"/>
      <c r="GW107" s="373"/>
      <c r="GX107" s="373"/>
      <c r="GY107" s="373"/>
      <c r="GZ107" s="373"/>
      <c r="HA107" s="373"/>
      <c r="HB107" s="373"/>
      <c r="HC107" s="373"/>
      <c r="HD107" s="373"/>
      <c r="HE107" s="373"/>
      <c r="HF107" s="373"/>
      <c r="HG107" s="373"/>
      <c r="HH107" s="373"/>
      <c r="HI107" s="373"/>
      <c r="HJ107" s="373"/>
      <c r="HK107" s="373"/>
      <c r="HL107" s="373"/>
      <c r="HM107" s="373"/>
      <c r="HN107" s="373"/>
      <c r="HO107" s="373"/>
      <c r="HP107" s="373"/>
      <c r="HQ107" s="373"/>
      <c r="HR107" s="373"/>
      <c r="HS107" s="373"/>
      <c r="HT107" s="373"/>
      <c r="HU107" s="373"/>
      <c r="HV107" s="373"/>
      <c r="HW107" s="373"/>
      <c r="HX107" s="373"/>
      <c r="HY107" s="373"/>
      <c r="HZ107" s="373"/>
      <c r="IA107" s="373"/>
      <c r="IB107" s="373"/>
      <c r="IC107" s="373"/>
      <c r="ID107" s="373"/>
      <c r="IE107" s="373"/>
      <c r="IF107" s="373"/>
      <c r="IG107" s="373"/>
      <c r="IH107" s="373"/>
      <c r="II107" s="373"/>
      <c r="IJ107" s="373"/>
      <c r="IK107" s="373"/>
      <c r="IL107" s="373"/>
      <c r="IM107" s="373"/>
      <c r="IN107" s="373"/>
      <c r="IO107" s="373"/>
      <c r="IP107" s="373"/>
      <c r="IQ107" s="373"/>
      <c r="IR107" s="373"/>
      <c r="IS107" s="373"/>
      <c r="IT107" s="373"/>
      <c r="IU107" s="373"/>
      <c r="IV107" s="373"/>
    </row>
    <row r="108" spans="1:256" ht="14.25" x14ac:dyDescent="0.2">
      <c r="A108" s="239"/>
      <c r="B108" s="239"/>
      <c r="C108" s="239"/>
      <c r="D108" s="246" t="s">
        <v>70</v>
      </c>
      <c r="E108" s="246"/>
      <c r="F108" s="246"/>
      <c r="G108" s="246"/>
      <c r="H108" s="246"/>
      <c r="I108" s="247"/>
      <c r="J108" s="248">
        <f>I97+I98</f>
        <v>7447.63</v>
      </c>
      <c r="K108" s="249"/>
      <c r="L108" s="248">
        <f>K97+K98</f>
        <v>180456.08</v>
      </c>
      <c r="M108" s="374">
        <v>23353.06</v>
      </c>
      <c r="N108" s="373"/>
      <c r="O108" s="373"/>
      <c r="P108" s="373"/>
      <c r="Q108" s="373"/>
      <c r="R108" s="373"/>
      <c r="S108" s="373"/>
      <c r="T108" s="373"/>
      <c r="U108" s="373"/>
      <c r="V108" s="373"/>
      <c r="W108" s="373"/>
      <c r="X108" s="373"/>
      <c r="Y108" s="373"/>
      <c r="Z108" s="373"/>
      <c r="AA108" s="373"/>
      <c r="AB108" s="373"/>
      <c r="AC108" s="373"/>
      <c r="AD108" s="373"/>
      <c r="AE108" s="373"/>
      <c r="AF108" s="373"/>
      <c r="AG108" s="373"/>
      <c r="AH108" s="373"/>
      <c r="AI108" s="373"/>
      <c r="AJ108" s="373"/>
      <c r="AK108" s="373"/>
      <c r="AL108" s="373"/>
      <c r="AM108" s="373"/>
      <c r="AN108" s="373"/>
      <c r="AO108" s="373"/>
      <c r="AP108" s="373"/>
      <c r="AQ108" s="373"/>
      <c r="AR108" s="373"/>
      <c r="AS108" s="373"/>
      <c r="AT108" s="373"/>
      <c r="AU108" s="373"/>
      <c r="AV108" s="373"/>
      <c r="AW108" s="373"/>
      <c r="AX108" s="373"/>
      <c r="AY108" s="373"/>
      <c r="AZ108" s="373"/>
      <c r="BA108" s="373"/>
      <c r="BB108" s="373"/>
      <c r="BC108" s="373"/>
      <c r="BD108" s="373"/>
      <c r="BE108" s="373"/>
      <c r="BF108" s="373"/>
      <c r="BG108" s="373"/>
      <c r="BH108" s="373"/>
      <c r="BI108" s="373"/>
      <c r="BJ108" s="373"/>
      <c r="BK108" s="373"/>
      <c r="BL108" s="373"/>
      <c r="BM108" s="373"/>
      <c r="BN108" s="373"/>
      <c r="BO108" s="373"/>
      <c r="BP108" s="373"/>
      <c r="BQ108" s="373"/>
      <c r="BR108" s="373"/>
      <c r="BS108" s="373"/>
      <c r="BT108" s="373"/>
      <c r="BU108" s="373"/>
      <c r="BV108" s="373"/>
      <c r="BW108" s="373"/>
      <c r="BX108" s="373"/>
      <c r="BY108" s="373"/>
      <c r="BZ108" s="373"/>
      <c r="CA108" s="373"/>
      <c r="CB108" s="373"/>
      <c r="CC108" s="373"/>
      <c r="CD108" s="373"/>
      <c r="CE108" s="373"/>
      <c r="CF108" s="373"/>
      <c r="CG108" s="373"/>
      <c r="CH108" s="373"/>
      <c r="CI108" s="373"/>
      <c r="CJ108" s="373"/>
      <c r="CK108" s="373"/>
      <c r="CL108" s="373"/>
      <c r="CM108" s="373"/>
      <c r="CN108" s="373"/>
      <c r="CO108" s="373"/>
      <c r="CP108" s="373"/>
      <c r="CQ108" s="373"/>
      <c r="CR108" s="373"/>
      <c r="CS108" s="373"/>
      <c r="CT108" s="373"/>
      <c r="CU108" s="373"/>
      <c r="CV108" s="373"/>
      <c r="CW108" s="373"/>
      <c r="CX108" s="373"/>
      <c r="CY108" s="373"/>
      <c r="CZ108" s="373"/>
      <c r="DA108" s="373"/>
      <c r="DB108" s="373"/>
      <c r="DC108" s="373"/>
      <c r="DD108" s="373"/>
      <c r="DE108" s="373"/>
      <c r="DF108" s="373"/>
      <c r="DG108" s="373"/>
      <c r="DH108" s="373"/>
      <c r="DI108" s="373"/>
      <c r="DJ108" s="373"/>
      <c r="DK108" s="373"/>
      <c r="DL108" s="373"/>
      <c r="DM108" s="373"/>
      <c r="DN108" s="373"/>
      <c r="DO108" s="373"/>
      <c r="DP108" s="373"/>
      <c r="DQ108" s="373"/>
      <c r="DR108" s="373"/>
      <c r="DS108" s="373"/>
      <c r="DT108" s="373"/>
      <c r="DU108" s="373"/>
      <c r="DV108" s="373"/>
      <c r="DW108" s="373"/>
      <c r="DX108" s="373"/>
      <c r="DY108" s="373"/>
      <c r="DZ108" s="373"/>
      <c r="EA108" s="373"/>
      <c r="EB108" s="373"/>
      <c r="EC108" s="373"/>
      <c r="ED108" s="373"/>
      <c r="EE108" s="373"/>
      <c r="EF108" s="373"/>
      <c r="EG108" s="373"/>
      <c r="EH108" s="373"/>
      <c r="EI108" s="373"/>
      <c r="EJ108" s="373"/>
      <c r="EK108" s="373"/>
      <c r="EL108" s="373"/>
      <c r="EM108" s="373"/>
      <c r="EN108" s="373"/>
      <c r="EO108" s="373"/>
      <c r="EP108" s="373"/>
      <c r="EQ108" s="373"/>
      <c r="ER108" s="373"/>
      <c r="ES108" s="373"/>
      <c r="ET108" s="373"/>
      <c r="EU108" s="373"/>
      <c r="EV108" s="373"/>
      <c r="EW108" s="373"/>
      <c r="EX108" s="373"/>
      <c r="EY108" s="373"/>
      <c r="EZ108" s="373"/>
      <c r="FA108" s="373"/>
      <c r="FB108" s="373"/>
      <c r="FC108" s="373"/>
      <c r="FD108" s="373"/>
      <c r="FE108" s="373"/>
      <c r="FF108" s="373"/>
      <c r="FG108" s="373"/>
      <c r="FH108" s="373"/>
      <c r="FI108" s="373"/>
      <c r="FJ108" s="373"/>
      <c r="FK108" s="373"/>
      <c r="FL108" s="373"/>
      <c r="FM108" s="373"/>
      <c r="FN108" s="373"/>
      <c r="FO108" s="373"/>
      <c r="FP108" s="373"/>
      <c r="FQ108" s="373"/>
      <c r="FR108" s="373"/>
      <c r="FS108" s="373"/>
      <c r="FT108" s="373"/>
      <c r="FU108" s="373"/>
      <c r="FV108" s="373"/>
      <c r="FW108" s="373"/>
      <c r="FX108" s="373"/>
      <c r="FY108" s="373"/>
      <c r="FZ108" s="373"/>
      <c r="GA108" s="373"/>
      <c r="GB108" s="373"/>
      <c r="GC108" s="373"/>
      <c r="GD108" s="373"/>
      <c r="GE108" s="373"/>
      <c r="GF108" s="373"/>
      <c r="GG108" s="373"/>
      <c r="GH108" s="373"/>
      <c r="GI108" s="373"/>
      <c r="GJ108" s="373"/>
      <c r="GK108" s="373"/>
      <c r="GL108" s="373"/>
      <c r="GM108" s="373"/>
      <c r="GN108" s="373"/>
      <c r="GO108" s="373"/>
      <c r="GP108" s="373"/>
      <c r="GQ108" s="373"/>
      <c r="GR108" s="373"/>
      <c r="GS108" s="373"/>
      <c r="GT108" s="373"/>
      <c r="GU108" s="373"/>
      <c r="GV108" s="373"/>
      <c r="GW108" s="373"/>
      <c r="GX108" s="373"/>
      <c r="GY108" s="373"/>
      <c r="GZ108" s="373"/>
      <c r="HA108" s="373"/>
      <c r="HB108" s="373"/>
      <c r="HC108" s="373"/>
      <c r="HD108" s="373"/>
      <c r="HE108" s="373"/>
      <c r="HF108" s="373"/>
      <c r="HG108" s="373"/>
      <c r="HH108" s="373"/>
      <c r="HI108" s="373"/>
      <c r="HJ108" s="373"/>
      <c r="HK108" s="373"/>
      <c r="HL108" s="373"/>
      <c r="HM108" s="373"/>
      <c r="HN108" s="373"/>
      <c r="HO108" s="373"/>
      <c r="HP108" s="373"/>
      <c r="HQ108" s="373"/>
      <c r="HR108" s="373"/>
      <c r="HS108" s="373"/>
      <c r="HT108" s="373"/>
      <c r="HU108" s="373"/>
      <c r="HV108" s="373"/>
      <c r="HW108" s="373"/>
      <c r="HX108" s="373"/>
      <c r="HY108" s="373"/>
      <c r="HZ108" s="373"/>
      <c r="IA108" s="373"/>
      <c r="IB108" s="373"/>
      <c r="IC108" s="373"/>
      <c r="ID108" s="373"/>
      <c r="IE108" s="373"/>
      <c r="IF108" s="373"/>
      <c r="IG108" s="373"/>
      <c r="IH108" s="373"/>
      <c r="II108" s="373"/>
      <c r="IJ108" s="373"/>
      <c r="IK108" s="373"/>
      <c r="IL108" s="373"/>
      <c r="IM108" s="373"/>
      <c r="IN108" s="373"/>
      <c r="IO108" s="373"/>
      <c r="IP108" s="373"/>
      <c r="IQ108" s="373"/>
      <c r="IR108" s="373"/>
      <c r="IS108" s="373"/>
      <c r="IT108" s="373"/>
      <c r="IU108" s="373"/>
      <c r="IV108" s="373"/>
    </row>
    <row r="109" spans="1:256" ht="14.25" x14ac:dyDescent="0.2">
      <c r="A109" s="239"/>
      <c r="B109" s="239"/>
      <c r="C109" s="239"/>
      <c r="D109" s="246" t="s">
        <v>195</v>
      </c>
      <c r="E109" s="246"/>
      <c r="F109" s="246"/>
      <c r="G109" s="246"/>
      <c r="H109" s="246"/>
      <c r="I109" s="247"/>
      <c r="J109" s="248">
        <f>I96</f>
        <v>37520.29</v>
      </c>
      <c r="K109" s="249"/>
      <c r="L109" s="248">
        <f>K96</f>
        <v>266319.68</v>
      </c>
      <c r="M109" s="374" t="e">
        <v>#REF!</v>
      </c>
      <c r="N109" s="373"/>
      <c r="O109" s="373"/>
      <c r="P109" s="373"/>
      <c r="Q109" s="373"/>
      <c r="R109" s="373"/>
      <c r="S109" s="373"/>
      <c r="T109" s="373"/>
      <c r="U109" s="373"/>
      <c r="V109" s="373"/>
      <c r="W109" s="373"/>
      <c r="X109" s="373"/>
      <c r="Y109" s="373"/>
      <c r="Z109" s="373"/>
      <c r="AA109" s="373"/>
      <c r="AB109" s="373"/>
      <c r="AC109" s="373"/>
      <c r="AD109" s="373"/>
      <c r="AE109" s="373"/>
      <c r="AF109" s="373"/>
      <c r="AG109" s="373"/>
      <c r="AH109" s="373"/>
      <c r="AI109" s="373"/>
      <c r="AJ109" s="373"/>
      <c r="AK109" s="373"/>
      <c r="AL109" s="373"/>
      <c r="AM109" s="373"/>
      <c r="AN109" s="373"/>
      <c r="AO109" s="373"/>
      <c r="AP109" s="373"/>
      <c r="AQ109" s="373"/>
      <c r="AR109" s="373"/>
      <c r="AS109" s="373"/>
      <c r="AT109" s="373"/>
      <c r="AU109" s="373"/>
      <c r="AV109" s="373"/>
      <c r="AW109" s="373"/>
      <c r="AX109" s="373"/>
      <c r="AY109" s="373"/>
      <c r="AZ109" s="373"/>
      <c r="BA109" s="373"/>
      <c r="BB109" s="373"/>
      <c r="BC109" s="373"/>
      <c r="BD109" s="373"/>
      <c r="BE109" s="373"/>
      <c r="BF109" s="373"/>
      <c r="BG109" s="373"/>
      <c r="BH109" s="373"/>
      <c r="BI109" s="373"/>
      <c r="BJ109" s="373"/>
      <c r="BK109" s="373"/>
      <c r="BL109" s="373"/>
      <c r="BM109" s="373"/>
      <c r="BN109" s="373"/>
      <c r="BO109" s="373"/>
      <c r="BP109" s="373"/>
      <c r="BQ109" s="373"/>
      <c r="BR109" s="373"/>
      <c r="BS109" s="373"/>
      <c r="BT109" s="373"/>
      <c r="BU109" s="373"/>
      <c r="BV109" s="373"/>
      <c r="BW109" s="373"/>
      <c r="BX109" s="373"/>
      <c r="BY109" s="373"/>
      <c r="BZ109" s="373"/>
      <c r="CA109" s="373"/>
      <c r="CB109" s="373"/>
      <c r="CC109" s="373"/>
      <c r="CD109" s="373"/>
      <c r="CE109" s="373"/>
      <c r="CF109" s="373"/>
      <c r="CG109" s="373"/>
      <c r="CH109" s="373"/>
      <c r="CI109" s="373"/>
      <c r="CJ109" s="373"/>
      <c r="CK109" s="373"/>
      <c r="CL109" s="373"/>
      <c r="CM109" s="373"/>
      <c r="CN109" s="373"/>
      <c r="CO109" s="373"/>
      <c r="CP109" s="373"/>
      <c r="CQ109" s="373"/>
      <c r="CR109" s="373"/>
      <c r="CS109" s="373"/>
      <c r="CT109" s="373"/>
      <c r="CU109" s="373"/>
      <c r="CV109" s="373"/>
      <c r="CW109" s="373"/>
      <c r="CX109" s="373"/>
      <c r="CY109" s="373"/>
      <c r="CZ109" s="373"/>
      <c r="DA109" s="373"/>
      <c r="DB109" s="373"/>
      <c r="DC109" s="373"/>
      <c r="DD109" s="373"/>
      <c r="DE109" s="373"/>
      <c r="DF109" s="373"/>
      <c r="DG109" s="373"/>
      <c r="DH109" s="373"/>
      <c r="DI109" s="373"/>
      <c r="DJ109" s="373"/>
      <c r="DK109" s="373"/>
      <c r="DL109" s="373"/>
      <c r="DM109" s="373"/>
      <c r="DN109" s="373"/>
      <c r="DO109" s="373"/>
      <c r="DP109" s="373"/>
      <c r="DQ109" s="373"/>
      <c r="DR109" s="373"/>
      <c r="DS109" s="373"/>
      <c r="DT109" s="373"/>
      <c r="DU109" s="373"/>
      <c r="DV109" s="373"/>
      <c r="DW109" s="373"/>
      <c r="DX109" s="373"/>
      <c r="DY109" s="373"/>
      <c r="DZ109" s="373"/>
      <c r="EA109" s="373"/>
      <c r="EB109" s="373"/>
      <c r="EC109" s="373"/>
      <c r="ED109" s="373"/>
      <c r="EE109" s="373"/>
      <c r="EF109" s="373"/>
      <c r="EG109" s="373"/>
      <c r="EH109" s="373"/>
      <c r="EI109" s="373"/>
      <c r="EJ109" s="373"/>
      <c r="EK109" s="373"/>
      <c r="EL109" s="373"/>
      <c r="EM109" s="373"/>
      <c r="EN109" s="373"/>
      <c r="EO109" s="373"/>
      <c r="EP109" s="373"/>
      <c r="EQ109" s="373"/>
      <c r="ER109" s="373"/>
      <c r="ES109" s="373"/>
      <c r="ET109" s="373"/>
      <c r="EU109" s="373"/>
      <c r="EV109" s="373"/>
      <c r="EW109" s="373"/>
      <c r="EX109" s="373"/>
      <c r="EY109" s="373"/>
      <c r="EZ109" s="373"/>
      <c r="FA109" s="373"/>
      <c r="FB109" s="373"/>
      <c r="FC109" s="373"/>
      <c r="FD109" s="373"/>
      <c r="FE109" s="373"/>
      <c r="FF109" s="373"/>
      <c r="FG109" s="373"/>
      <c r="FH109" s="373"/>
      <c r="FI109" s="373"/>
      <c r="FJ109" s="373"/>
      <c r="FK109" s="373"/>
      <c r="FL109" s="373"/>
      <c r="FM109" s="373"/>
      <c r="FN109" s="373"/>
      <c r="FO109" s="373"/>
      <c r="FP109" s="373"/>
      <c r="FQ109" s="373"/>
      <c r="FR109" s="373"/>
      <c r="FS109" s="373"/>
      <c r="FT109" s="373"/>
      <c r="FU109" s="373"/>
      <c r="FV109" s="373"/>
      <c r="FW109" s="373"/>
      <c r="FX109" s="373"/>
      <c r="FY109" s="373"/>
      <c r="FZ109" s="373"/>
      <c r="GA109" s="373"/>
      <c r="GB109" s="373"/>
      <c r="GC109" s="373"/>
      <c r="GD109" s="373"/>
      <c r="GE109" s="373"/>
      <c r="GF109" s="373"/>
      <c r="GG109" s="373"/>
      <c r="GH109" s="373"/>
      <c r="GI109" s="373"/>
      <c r="GJ109" s="373"/>
      <c r="GK109" s="373"/>
      <c r="GL109" s="373"/>
      <c r="GM109" s="373"/>
      <c r="GN109" s="373"/>
      <c r="GO109" s="373"/>
      <c r="GP109" s="373"/>
      <c r="GQ109" s="373"/>
      <c r="GR109" s="373"/>
      <c r="GS109" s="373"/>
      <c r="GT109" s="373"/>
      <c r="GU109" s="373"/>
      <c r="GV109" s="373"/>
      <c r="GW109" s="373"/>
      <c r="GX109" s="373"/>
      <c r="GY109" s="373"/>
      <c r="GZ109" s="373"/>
      <c r="HA109" s="373"/>
      <c r="HB109" s="373"/>
      <c r="HC109" s="373"/>
      <c r="HD109" s="373"/>
      <c r="HE109" s="373"/>
      <c r="HF109" s="373"/>
      <c r="HG109" s="373"/>
      <c r="HH109" s="373"/>
      <c r="HI109" s="373"/>
      <c r="HJ109" s="373"/>
      <c r="HK109" s="373"/>
      <c r="HL109" s="373"/>
      <c r="HM109" s="373"/>
      <c r="HN109" s="373"/>
      <c r="HO109" s="373"/>
      <c r="HP109" s="373"/>
      <c r="HQ109" s="373"/>
      <c r="HR109" s="373"/>
      <c r="HS109" s="373"/>
      <c r="HT109" s="373"/>
      <c r="HU109" s="373"/>
      <c r="HV109" s="373"/>
      <c r="HW109" s="373"/>
      <c r="HX109" s="373"/>
      <c r="HY109" s="373"/>
      <c r="HZ109" s="373"/>
      <c r="IA109" s="373"/>
      <c r="IB109" s="373"/>
      <c r="IC109" s="373"/>
      <c r="ID109" s="373"/>
      <c r="IE109" s="373"/>
      <c r="IF109" s="373"/>
      <c r="IG109" s="373"/>
      <c r="IH109" s="373"/>
      <c r="II109" s="373"/>
      <c r="IJ109" s="373"/>
      <c r="IK109" s="373"/>
      <c r="IL109" s="373"/>
      <c r="IM109" s="373"/>
      <c r="IN109" s="373"/>
      <c r="IO109" s="373"/>
      <c r="IP109" s="373"/>
      <c r="IQ109" s="373"/>
      <c r="IR109" s="373"/>
      <c r="IS109" s="373"/>
      <c r="IT109" s="373"/>
      <c r="IU109" s="373"/>
      <c r="IV109" s="373"/>
    </row>
    <row r="110" spans="1:256" ht="14.25" x14ac:dyDescent="0.2">
      <c r="A110" s="250"/>
      <c r="B110" s="250"/>
      <c r="C110" s="250"/>
      <c r="D110" s="251" t="s">
        <v>157</v>
      </c>
      <c r="E110" s="251"/>
      <c r="F110" s="251"/>
      <c r="G110" s="251"/>
      <c r="H110" s="251"/>
      <c r="I110" s="252"/>
      <c r="J110" s="253">
        <v>0</v>
      </c>
      <c r="K110" s="254"/>
      <c r="L110" s="253">
        <v>0</v>
      </c>
      <c r="M110" s="374"/>
      <c r="N110" s="376"/>
      <c r="O110" s="376"/>
      <c r="P110" s="376"/>
      <c r="Q110" s="376"/>
      <c r="R110" s="376"/>
      <c r="S110" s="376"/>
      <c r="T110" s="376"/>
      <c r="U110" s="376"/>
      <c r="V110" s="376"/>
      <c r="W110" s="376"/>
      <c r="X110" s="376"/>
      <c r="Y110" s="376"/>
      <c r="Z110" s="376"/>
      <c r="AA110" s="376"/>
      <c r="AB110" s="376"/>
      <c r="AC110" s="376"/>
      <c r="AD110" s="376"/>
      <c r="AE110" s="376"/>
      <c r="AF110" s="376"/>
      <c r="AG110" s="376"/>
      <c r="AH110" s="376"/>
      <c r="AI110" s="376"/>
      <c r="AJ110" s="376"/>
      <c r="AK110" s="376"/>
      <c r="AL110" s="376"/>
      <c r="AM110" s="376"/>
      <c r="AN110" s="376"/>
      <c r="AO110" s="376"/>
      <c r="AP110" s="376"/>
      <c r="AQ110" s="376"/>
      <c r="AR110" s="376"/>
      <c r="AS110" s="376"/>
      <c r="AT110" s="376"/>
      <c r="AU110" s="376"/>
      <c r="AV110" s="376"/>
      <c r="AW110" s="376"/>
      <c r="AX110" s="376"/>
      <c r="AY110" s="376"/>
      <c r="AZ110" s="376"/>
      <c r="BA110" s="376"/>
      <c r="BB110" s="376"/>
      <c r="BC110" s="376"/>
      <c r="BD110" s="376"/>
      <c r="BE110" s="376"/>
      <c r="BF110" s="376"/>
      <c r="BG110" s="376"/>
      <c r="BH110" s="376"/>
      <c r="BI110" s="376"/>
      <c r="BJ110" s="376"/>
      <c r="BK110" s="376"/>
      <c r="BL110" s="376"/>
      <c r="BM110" s="376"/>
      <c r="BN110" s="376"/>
      <c r="BO110" s="376"/>
      <c r="BP110" s="376"/>
      <c r="BQ110" s="376"/>
      <c r="BR110" s="376"/>
      <c r="BS110" s="376"/>
      <c r="BT110" s="376"/>
      <c r="BU110" s="376"/>
      <c r="BV110" s="376"/>
      <c r="BW110" s="376"/>
      <c r="BX110" s="376"/>
      <c r="BY110" s="376"/>
      <c r="BZ110" s="376"/>
      <c r="CA110" s="376"/>
      <c r="CB110" s="376"/>
      <c r="CC110" s="376"/>
      <c r="CD110" s="376"/>
      <c r="CE110" s="376"/>
      <c r="CF110" s="376"/>
      <c r="CG110" s="376"/>
      <c r="CH110" s="376"/>
      <c r="CI110" s="376"/>
      <c r="CJ110" s="376"/>
      <c r="CK110" s="376"/>
      <c r="CL110" s="376"/>
      <c r="CM110" s="376"/>
      <c r="CN110" s="376"/>
      <c r="CO110" s="376"/>
      <c r="CP110" s="376"/>
      <c r="CQ110" s="376"/>
      <c r="CR110" s="376"/>
      <c r="CS110" s="376"/>
      <c r="CT110" s="376"/>
      <c r="CU110" s="376"/>
      <c r="CV110" s="376"/>
      <c r="CW110" s="376"/>
      <c r="CX110" s="376"/>
      <c r="CY110" s="376"/>
      <c r="CZ110" s="376"/>
      <c r="DA110" s="376"/>
      <c r="DB110" s="376"/>
      <c r="DC110" s="376"/>
      <c r="DD110" s="376"/>
      <c r="DE110" s="376"/>
      <c r="DF110" s="376"/>
      <c r="DG110" s="376"/>
      <c r="DH110" s="376"/>
      <c r="DI110" s="376"/>
      <c r="DJ110" s="376"/>
      <c r="DK110" s="376"/>
      <c r="DL110" s="376"/>
      <c r="DM110" s="376"/>
      <c r="DN110" s="376"/>
      <c r="DO110" s="376"/>
      <c r="DP110" s="376"/>
      <c r="DQ110" s="376"/>
      <c r="DR110" s="376"/>
      <c r="DS110" s="376"/>
      <c r="DT110" s="376"/>
      <c r="DU110" s="376"/>
      <c r="DV110" s="376"/>
      <c r="DW110" s="376"/>
      <c r="DX110" s="376"/>
      <c r="DY110" s="376"/>
      <c r="DZ110" s="376"/>
      <c r="EA110" s="376"/>
      <c r="EB110" s="376"/>
      <c r="EC110" s="376"/>
      <c r="ED110" s="376"/>
      <c r="EE110" s="376"/>
      <c r="EF110" s="376"/>
      <c r="EG110" s="376"/>
      <c r="EH110" s="376"/>
      <c r="EI110" s="376"/>
      <c r="EJ110" s="376"/>
      <c r="EK110" s="376"/>
      <c r="EL110" s="376"/>
      <c r="EM110" s="376"/>
      <c r="EN110" s="376"/>
      <c r="EO110" s="376"/>
      <c r="EP110" s="376"/>
      <c r="EQ110" s="376"/>
      <c r="ER110" s="376"/>
      <c r="ES110" s="376"/>
      <c r="ET110" s="376"/>
      <c r="EU110" s="376"/>
      <c r="EV110" s="376"/>
      <c r="EW110" s="376"/>
      <c r="EX110" s="376"/>
      <c r="EY110" s="376"/>
      <c r="EZ110" s="376"/>
      <c r="FA110" s="376"/>
      <c r="FB110" s="376"/>
      <c r="FC110" s="376"/>
      <c r="FD110" s="376"/>
      <c r="FE110" s="376"/>
      <c r="FF110" s="376"/>
      <c r="FG110" s="376"/>
      <c r="FH110" s="376"/>
      <c r="FI110" s="376"/>
      <c r="FJ110" s="376"/>
      <c r="FK110" s="376"/>
      <c r="FL110" s="376"/>
      <c r="FM110" s="376"/>
      <c r="FN110" s="376"/>
      <c r="FO110" s="376"/>
      <c r="FP110" s="376"/>
      <c r="FQ110" s="376"/>
      <c r="FR110" s="376"/>
      <c r="FS110" s="376"/>
      <c r="FT110" s="376"/>
      <c r="FU110" s="376"/>
      <c r="FV110" s="376"/>
      <c r="FW110" s="376"/>
      <c r="FX110" s="376"/>
      <c r="FY110" s="376"/>
      <c r="FZ110" s="376"/>
      <c r="GA110" s="376"/>
      <c r="GB110" s="376"/>
      <c r="GC110" s="376"/>
      <c r="GD110" s="376"/>
      <c r="GE110" s="376"/>
      <c r="GF110" s="376"/>
      <c r="GG110" s="376"/>
      <c r="GH110" s="376"/>
      <c r="GI110" s="376"/>
      <c r="GJ110" s="376"/>
      <c r="GK110" s="376"/>
      <c r="GL110" s="376"/>
      <c r="GM110" s="376"/>
      <c r="GN110" s="376"/>
      <c r="GO110" s="376"/>
      <c r="GP110" s="376"/>
      <c r="GQ110" s="376"/>
      <c r="GR110" s="376"/>
      <c r="GS110" s="376"/>
      <c r="GT110" s="376"/>
      <c r="GU110" s="376"/>
      <c r="GV110" s="376"/>
      <c r="GW110" s="376"/>
      <c r="GX110" s="376"/>
      <c r="GY110" s="376"/>
      <c r="GZ110" s="376"/>
      <c r="HA110" s="376"/>
      <c r="HB110" s="376"/>
      <c r="HC110" s="376"/>
      <c r="HD110" s="376"/>
      <c r="HE110" s="376"/>
      <c r="HF110" s="376"/>
      <c r="HG110" s="376"/>
      <c r="HH110" s="376"/>
      <c r="HI110" s="376"/>
      <c r="HJ110" s="376"/>
      <c r="HK110" s="376"/>
      <c r="HL110" s="376"/>
      <c r="HM110" s="376"/>
      <c r="HN110" s="376"/>
      <c r="HO110" s="376"/>
      <c r="HP110" s="376"/>
      <c r="HQ110" s="376"/>
      <c r="HR110" s="376"/>
      <c r="HS110" s="376"/>
      <c r="HT110" s="376"/>
      <c r="HU110" s="376"/>
      <c r="HV110" s="376"/>
      <c r="HW110" s="376"/>
      <c r="HX110" s="376"/>
      <c r="HY110" s="376"/>
      <c r="HZ110" s="376"/>
      <c r="IA110" s="376"/>
      <c r="IB110" s="376"/>
      <c r="IC110" s="376"/>
      <c r="ID110" s="376"/>
      <c r="IE110" s="376"/>
      <c r="IF110" s="376"/>
      <c r="IG110" s="376"/>
      <c r="IH110" s="376"/>
      <c r="II110" s="376"/>
      <c r="IJ110" s="376"/>
      <c r="IK110" s="376"/>
      <c r="IL110" s="376"/>
      <c r="IM110" s="376"/>
      <c r="IN110" s="376"/>
      <c r="IO110" s="376"/>
      <c r="IP110" s="376"/>
      <c r="IQ110" s="376"/>
      <c r="IR110" s="376"/>
      <c r="IS110" s="376"/>
      <c r="IT110" s="376"/>
      <c r="IU110" s="376"/>
      <c r="IV110" s="376"/>
    </row>
    <row r="111" spans="1:256" ht="15" x14ac:dyDescent="0.25">
      <c r="A111" s="237"/>
      <c r="B111" s="237"/>
      <c r="C111" s="237"/>
      <c r="D111" s="377" t="s">
        <v>196</v>
      </c>
      <c r="E111" s="377"/>
      <c r="F111" s="377"/>
      <c r="G111" s="377"/>
      <c r="H111" s="377"/>
      <c r="I111" s="377"/>
      <c r="J111" s="378">
        <f>J108*15%</f>
        <v>1117.1400000000001</v>
      </c>
      <c r="K111" s="378"/>
      <c r="L111" s="378">
        <f>L108*15%</f>
        <v>27068.41</v>
      </c>
      <c r="M111" s="370">
        <v>3502.96</v>
      </c>
      <c r="N111" s="371"/>
      <c r="O111" s="371"/>
      <c r="P111" s="371"/>
      <c r="Q111" s="371"/>
      <c r="R111" s="371"/>
      <c r="S111" s="371"/>
      <c r="T111" s="371"/>
      <c r="U111" s="371"/>
      <c r="V111" s="371"/>
      <c r="W111" s="371"/>
      <c r="X111" s="371"/>
      <c r="Y111" s="371"/>
      <c r="Z111" s="371"/>
      <c r="AA111" s="371"/>
      <c r="AB111" s="371"/>
      <c r="AC111" s="371"/>
      <c r="AD111" s="371"/>
      <c r="AE111" s="371"/>
      <c r="AF111" s="371"/>
      <c r="AG111" s="371"/>
      <c r="AH111" s="371"/>
      <c r="AI111" s="371"/>
      <c r="AJ111" s="371"/>
      <c r="AK111" s="371"/>
      <c r="AL111" s="371"/>
      <c r="AM111" s="371"/>
      <c r="AN111" s="371"/>
      <c r="AO111" s="371"/>
      <c r="AP111" s="371"/>
      <c r="AQ111" s="371"/>
      <c r="AR111" s="371"/>
      <c r="AS111" s="371"/>
      <c r="AT111" s="371"/>
      <c r="AU111" s="371"/>
      <c r="AV111" s="371"/>
      <c r="AW111" s="371"/>
      <c r="AX111" s="371"/>
      <c r="AY111" s="371"/>
      <c r="AZ111" s="371"/>
      <c r="BA111" s="371"/>
      <c r="BB111" s="371"/>
      <c r="BC111" s="371"/>
      <c r="BD111" s="371"/>
      <c r="BE111" s="371"/>
      <c r="BF111" s="371"/>
      <c r="BG111" s="371"/>
      <c r="BH111" s="371"/>
      <c r="BI111" s="371"/>
      <c r="BJ111" s="371"/>
      <c r="BK111" s="371"/>
      <c r="BL111" s="371"/>
      <c r="BM111" s="371"/>
      <c r="BN111" s="371"/>
      <c r="BO111" s="371"/>
      <c r="BP111" s="371"/>
      <c r="BQ111" s="371"/>
      <c r="BR111" s="371"/>
      <c r="BS111" s="371"/>
      <c r="BT111" s="371"/>
      <c r="BU111" s="371"/>
      <c r="BV111" s="371"/>
      <c r="BW111" s="371"/>
      <c r="BX111" s="371"/>
      <c r="BY111" s="371"/>
      <c r="BZ111" s="371"/>
      <c r="CA111" s="371"/>
      <c r="CB111" s="371"/>
      <c r="CC111" s="371"/>
      <c r="CD111" s="371"/>
      <c r="CE111" s="371"/>
      <c r="CF111" s="371"/>
      <c r="CG111" s="371"/>
      <c r="CH111" s="371"/>
      <c r="CI111" s="371"/>
      <c r="CJ111" s="371"/>
      <c r="CK111" s="371"/>
      <c r="CL111" s="371"/>
      <c r="CM111" s="371"/>
      <c r="CN111" s="371"/>
      <c r="CO111" s="371"/>
      <c r="CP111" s="371"/>
      <c r="CQ111" s="371"/>
      <c r="CR111" s="371"/>
      <c r="CS111" s="371"/>
      <c r="CT111" s="371"/>
      <c r="CU111" s="371"/>
      <c r="CV111" s="371"/>
      <c r="CW111" s="371"/>
      <c r="CX111" s="371"/>
      <c r="CY111" s="371"/>
      <c r="CZ111" s="371"/>
      <c r="DA111" s="371"/>
      <c r="DB111" s="371"/>
      <c r="DC111" s="371"/>
      <c r="DD111" s="371"/>
      <c r="DE111" s="371"/>
      <c r="DF111" s="371"/>
      <c r="DG111" s="371"/>
      <c r="DH111" s="371"/>
      <c r="DI111" s="371"/>
      <c r="DJ111" s="371"/>
      <c r="DK111" s="371"/>
      <c r="DL111" s="371"/>
      <c r="DM111" s="371"/>
      <c r="DN111" s="371"/>
      <c r="DO111" s="371"/>
      <c r="DP111" s="371"/>
      <c r="DQ111" s="371"/>
      <c r="DR111" s="371"/>
      <c r="DS111" s="371"/>
      <c r="DT111" s="371"/>
      <c r="DU111" s="371"/>
      <c r="DV111" s="371"/>
      <c r="DW111" s="371"/>
      <c r="DX111" s="371"/>
      <c r="DY111" s="371"/>
      <c r="DZ111" s="371"/>
      <c r="EA111" s="371"/>
      <c r="EB111" s="371"/>
      <c r="EC111" s="371"/>
      <c r="ED111" s="371"/>
      <c r="EE111" s="371"/>
      <c r="EF111" s="371"/>
      <c r="EG111" s="371"/>
      <c r="EH111" s="371"/>
      <c r="EI111" s="371"/>
      <c r="EJ111" s="371"/>
      <c r="EK111" s="371"/>
      <c r="EL111" s="371"/>
      <c r="EM111" s="371"/>
      <c r="EN111" s="371"/>
      <c r="EO111" s="371"/>
      <c r="EP111" s="371"/>
      <c r="EQ111" s="371"/>
      <c r="ER111" s="371"/>
      <c r="ES111" s="371"/>
      <c r="ET111" s="371"/>
      <c r="EU111" s="371"/>
      <c r="EV111" s="371"/>
      <c r="EW111" s="371"/>
      <c r="EX111" s="371"/>
      <c r="EY111" s="371"/>
      <c r="EZ111" s="371"/>
      <c r="FA111" s="371"/>
      <c r="FB111" s="371"/>
      <c r="FC111" s="371"/>
      <c r="FD111" s="371"/>
      <c r="FE111" s="371"/>
      <c r="FF111" s="371"/>
      <c r="FG111" s="371"/>
      <c r="FH111" s="371"/>
      <c r="FI111" s="371"/>
      <c r="FJ111" s="371"/>
      <c r="FK111" s="371"/>
      <c r="FL111" s="371"/>
      <c r="FM111" s="371"/>
      <c r="FN111" s="371"/>
      <c r="FO111" s="371"/>
      <c r="FP111" s="371"/>
      <c r="FQ111" s="371"/>
      <c r="FR111" s="371"/>
      <c r="FS111" s="371"/>
      <c r="FT111" s="371"/>
      <c r="FU111" s="371"/>
      <c r="FV111" s="371"/>
      <c r="FW111" s="371"/>
      <c r="FX111" s="371"/>
      <c r="FY111" s="371"/>
      <c r="FZ111" s="371"/>
      <c r="GA111" s="371"/>
      <c r="GB111" s="371"/>
      <c r="GC111" s="371"/>
      <c r="GD111" s="371"/>
      <c r="GE111" s="371"/>
      <c r="GF111" s="371"/>
      <c r="GG111" s="371"/>
      <c r="GH111" s="371"/>
      <c r="GI111" s="371"/>
      <c r="GJ111" s="371"/>
      <c r="GK111" s="371"/>
      <c r="GL111" s="371"/>
      <c r="GM111" s="371"/>
      <c r="GN111" s="371"/>
      <c r="GO111" s="371"/>
      <c r="GP111" s="371"/>
      <c r="GQ111" s="371"/>
      <c r="GR111" s="371"/>
      <c r="GS111" s="371"/>
      <c r="GT111" s="371"/>
      <c r="GU111" s="371"/>
      <c r="GV111" s="371"/>
      <c r="GW111" s="371"/>
      <c r="GX111" s="371"/>
      <c r="GY111" s="371"/>
      <c r="GZ111" s="371"/>
      <c r="HA111" s="371"/>
      <c r="HB111" s="371"/>
      <c r="HC111" s="371"/>
      <c r="HD111" s="371"/>
      <c r="HE111" s="371"/>
      <c r="HF111" s="371"/>
      <c r="HG111" s="371"/>
      <c r="HH111" s="371"/>
      <c r="HI111" s="371"/>
      <c r="HJ111" s="371"/>
      <c r="HK111" s="371"/>
      <c r="HL111" s="371"/>
      <c r="HM111" s="371"/>
      <c r="HN111" s="371"/>
      <c r="HO111" s="371"/>
      <c r="HP111" s="371"/>
      <c r="HQ111" s="371"/>
      <c r="HR111" s="371"/>
      <c r="HS111" s="371"/>
      <c r="HT111" s="371"/>
      <c r="HU111" s="371"/>
      <c r="HV111" s="371"/>
      <c r="HW111" s="371"/>
      <c r="HX111" s="371"/>
      <c r="HY111" s="371"/>
      <c r="HZ111" s="371"/>
      <c r="IA111" s="371"/>
      <c r="IB111" s="371"/>
      <c r="IC111" s="371"/>
      <c r="ID111" s="371"/>
      <c r="IE111" s="371"/>
      <c r="IF111" s="371"/>
      <c r="IG111" s="371"/>
      <c r="IH111" s="371"/>
      <c r="II111" s="371"/>
      <c r="IJ111" s="371"/>
      <c r="IK111" s="371"/>
      <c r="IL111" s="371"/>
      <c r="IM111" s="371"/>
      <c r="IN111" s="371"/>
      <c r="IO111" s="371"/>
      <c r="IP111" s="371"/>
      <c r="IQ111" s="371"/>
      <c r="IR111" s="371"/>
      <c r="IS111" s="371"/>
      <c r="IT111" s="371"/>
      <c r="IU111" s="371"/>
      <c r="IV111" s="371"/>
    </row>
    <row r="112" spans="1:256" ht="14.25" x14ac:dyDescent="0.2">
      <c r="A112" s="237"/>
      <c r="B112" s="237"/>
      <c r="C112" s="237"/>
      <c r="D112" s="379" t="s">
        <v>197</v>
      </c>
      <c r="E112" s="380"/>
      <c r="F112" s="380"/>
      <c r="G112" s="380"/>
      <c r="H112" s="380"/>
      <c r="I112" s="380"/>
      <c r="J112" s="381">
        <f>J106+J111</f>
        <v>74045.52</v>
      </c>
      <c r="K112" s="381"/>
      <c r="L112" s="381">
        <f>L106+L111</f>
        <v>784580.76</v>
      </c>
      <c r="M112" s="370" t="e">
        <v>#REF!</v>
      </c>
      <c r="N112" s="371"/>
      <c r="O112" s="371"/>
      <c r="P112" s="371"/>
      <c r="Q112" s="371"/>
      <c r="R112" s="371"/>
      <c r="S112" s="371"/>
      <c r="T112" s="371"/>
      <c r="U112" s="371"/>
      <c r="V112" s="371"/>
      <c r="W112" s="371"/>
      <c r="X112" s="371"/>
      <c r="Y112" s="371"/>
      <c r="Z112" s="371"/>
      <c r="AA112" s="371"/>
      <c r="AB112" s="371"/>
      <c r="AC112" s="371"/>
      <c r="AD112" s="371"/>
      <c r="AE112" s="371"/>
      <c r="AF112" s="371"/>
      <c r="AG112" s="371"/>
      <c r="AH112" s="371"/>
      <c r="AI112" s="371"/>
      <c r="AJ112" s="371"/>
      <c r="AK112" s="371"/>
      <c r="AL112" s="371"/>
      <c r="AM112" s="371"/>
      <c r="AN112" s="371"/>
      <c r="AO112" s="371"/>
      <c r="AP112" s="371"/>
      <c r="AQ112" s="371"/>
      <c r="AR112" s="371"/>
      <c r="AS112" s="371"/>
      <c r="AT112" s="371"/>
      <c r="AU112" s="371"/>
      <c r="AV112" s="371"/>
      <c r="AW112" s="371"/>
      <c r="AX112" s="371"/>
      <c r="AY112" s="371"/>
      <c r="AZ112" s="371"/>
      <c r="BA112" s="371"/>
      <c r="BB112" s="371"/>
      <c r="BC112" s="371"/>
      <c r="BD112" s="371"/>
      <c r="BE112" s="371"/>
      <c r="BF112" s="371"/>
      <c r="BG112" s="371"/>
      <c r="BH112" s="371"/>
      <c r="BI112" s="371"/>
      <c r="BJ112" s="371"/>
      <c r="BK112" s="371"/>
      <c r="BL112" s="371"/>
      <c r="BM112" s="371"/>
      <c r="BN112" s="371"/>
      <c r="BO112" s="371"/>
      <c r="BP112" s="371"/>
      <c r="BQ112" s="371"/>
      <c r="BR112" s="371"/>
      <c r="BS112" s="371"/>
      <c r="BT112" s="371"/>
      <c r="BU112" s="371"/>
      <c r="BV112" s="371"/>
      <c r="BW112" s="371"/>
      <c r="BX112" s="371"/>
      <c r="BY112" s="371"/>
      <c r="BZ112" s="371"/>
      <c r="CA112" s="371"/>
      <c r="CB112" s="371"/>
      <c r="CC112" s="371"/>
      <c r="CD112" s="371"/>
      <c r="CE112" s="371"/>
      <c r="CF112" s="371"/>
      <c r="CG112" s="371"/>
      <c r="CH112" s="371"/>
      <c r="CI112" s="371"/>
      <c r="CJ112" s="371"/>
      <c r="CK112" s="371"/>
      <c r="CL112" s="371"/>
      <c r="CM112" s="371"/>
      <c r="CN112" s="371"/>
      <c r="CO112" s="371"/>
      <c r="CP112" s="371"/>
      <c r="CQ112" s="371"/>
      <c r="CR112" s="371"/>
      <c r="CS112" s="371"/>
      <c r="CT112" s="371"/>
      <c r="CU112" s="371"/>
      <c r="CV112" s="371"/>
      <c r="CW112" s="371"/>
      <c r="CX112" s="371"/>
      <c r="CY112" s="371"/>
      <c r="CZ112" s="371"/>
      <c r="DA112" s="371"/>
      <c r="DB112" s="371"/>
      <c r="DC112" s="371"/>
      <c r="DD112" s="371"/>
      <c r="DE112" s="371"/>
      <c r="DF112" s="371"/>
      <c r="DG112" s="371"/>
      <c r="DH112" s="371"/>
      <c r="DI112" s="371"/>
      <c r="DJ112" s="371"/>
      <c r="DK112" s="371"/>
      <c r="DL112" s="371"/>
      <c r="DM112" s="371"/>
      <c r="DN112" s="371"/>
      <c r="DO112" s="371"/>
      <c r="DP112" s="371"/>
      <c r="DQ112" s="371"/>
      <c r="DR112" s="371"/>
      <c r="DS112" s="371"/>
      <c r="DT112" s="371"/>
      <c r="DU112" s="371"/>
      <c r="DV112" s="371"/>
      <c r="DW112" s="371"/>
      <c r="DX112" s="371"/>
      <c r="DY112" s="371"/>
      <c r="DZ112" s="371"/>
      <c r="EA112" s="371"/>
      <c r="EB112" s="371"/>
      <c r="EC112" s="371"/>
      <c r="ED112" s="371"/>
      <c r="EE112" s="371"/>
      <c r="EF112" s="371"/>
      <c r="EG112" s="371"/>
      <c r="EH112" s="371"/>
      <c r="EI112" s="371"/>
      <c r="EJ112" s="371"/>
      <c r="EK112" s="371"/>
      <c r="EL112" s="371"/>
      <c r="EM112" s="371"/>
      <c r="EN112" s="371"/>
      <c r="EO112" s="371"/>
      <c r="EP112" s="371"/>
      <c r="EQ112" s="371"/>
      <c r="ER112" s="371"/>
      <c r="ES112" s="371"/>
      <c r="ET112" s="371"/>
      <c r="EU112" s="371"/>
      <c r="EV112" s="371"/>
      <c r="EW112" s="371"/>
      <c r="EX112" s="371"/>
      <c r="EY112" s="371"/>
      <c r="EZ112" s="371"/>
      <c r="FA112" s="371"/>
      <c r="FB112" s="371"/>
      <c r="FC112" s="371"/>
      <c r="FD112" s="371"/>
      <c r="FE112" s="371"/>
      <c r="FF112" s="371"/>
      <c r="FG112" s="371"/>
      <c r="FH112" s="371"/>
      <c r="FI112" s="371"/>
      <c r="FJ112" s="371"/>
      <c r="FK112" s="371"/>
      <c r="FL112" s="371"/>
      <c r="FM112" s="371"/>
      <c r="FN112" s="371"/>
      <c r="FO112" s="371"/>
      <c r="FP112" s="371"/>
      <c r="FQ112" s="371"/>
      <c r="FR112" s="371"/>
      <c r="FS112" s="371"/>
      <c r="FT112" s="371"/>
      <c r="FU112" s="371"/>
      <c r="FV112" s="371"/>
      <c r="FW112" s="371"/>
      <c r="FX112" s="371"/>
      <c r="FY112" s="371"/>
      <c r="FZ112" s="371"/>
      <c r="GA112" s="371"/>
      <c r="GB112" s="371"/>
      <c r="GC112" s="371"/>
      <c r="GD112" s="371"/>
      <c r="GE112" s="371"/>
      <c r="GF112" s="371"/>
      <c r="GG112" s="371"/>
      <c r="GH112" s="371"/>
      <c r="GI112" s="371"/>
      <c r="GJ112" s="371"/>
      <c r="GK112" s="371"/>
      <c r="GL112" s="371"/>
      <c r="GM112" s="371"/>
      <c r="GN112" s="371"/>
      <c r="GO112" s="371"/>
      <c r="GP112" s="371"/>
      <c r="GQ112" s="371"/>
      <c r="GR112" s="371"/>
      <c r="GS112" s="371"/>
      <c r="GT112" s="371"/>
      <c r="GU112" s="371"/>
      <c r="GV112" s="371"/>
      <c r="GW112" s="371"/>
      <c r="GX112" s="371"/>
      <c r="GY112" s="371"/>
      <c r="GZ112" s="371"/>
      <c r="HA112" s="371"/>
      <c r="HB112" s="371"/>
      <c r="HC112" s="371"/>
      <c r="HD112" s="371"/>
      <c r="HE112" s="371"/>
      <c r="HF112" s="371"/>
      <c r="HG112" s="371"/>
      <c r="HH112" s="371"/>
      <c r="HI112" s="371"/>
      <c r="HJ112" s="371"/>
      <c r="HK112" s="371"/>
      <c r="HL112" s="371"/>
      <c r="HM112" s="371"/>
      <c r="HN112" s="371"/>
      <c r="HO112" s="371"/>
      <c r="HP112" s="371"/>
      <c r="HQ112" s="371"/>
      <c r="HR112" s="371"/>
      <c r="HS112" s="371"/>
      <c r="HT112" s="371"/>
      <c r="HU112" s="371"/>
      <c r="HV112" s="371"/>
      <c r="HW112" s="371"/>
      <c r="HX112" s="371"/>
      <c r="HY112" s="371"/>
      <c r="HZ112" s="371"/>
      <c r="IA112" s="371"/>
      <c r="IB112" s="371"/>
      <c r="IC112" s="371"/>
      <c r="ID112" s="371"/>
      <c r="IE112" s="371"/>
      <c r="IF112" s="371"/>
      <c r="IG112" s="371"/>
      <c r="IH112" s="371"/>
      <c r="II112" s="371"/>
      <c r="IJ112" s="371"/>
      <c r="IK112" s="371"/>
      <c r="IL112" s="371"/>
      <c r="IM112" s="371"/>
      <c r="IN112" s="371"/>
      <c r="IO112" s="371"/>
      <c r="IP112" s="371"/>
      <c r="IQ112" s="371"/>
      <c r="IR112" s="371"/>
      <c r="IS112" s="371"/>
      <c r="IT112" s="371"/>
      <c r="IU112" s="371"/>
      <c r="IV112" s="371"/>
    </row>
    <row r="113" spans="1:256" ht="14.25" x14ac:dyDescent="0.2">
      <c r="A113" s="241"/>
      <c r="B113" s="241"/>
      <c r="C113" s="241"/>
      <c r="D113" s="241"/>
      <c r="E113" s="241"/>
      <c r="F113" s="241"/>
      <c r="G113" s="241"/>
      <c r="H113" s="241"/>
      <c r="I113" s="241"/>
      <c r="J113" s="241"/>
      <c r="K113" s="241"/>
      <c r="L113" s="241"/>
      <c r="M113" s="374"/>
      <c r="N113" s="375"/>
      <c r="O113" s="375"/>
      <c r="P113" s="375"/>
      <c r="Q113" s="375"/>
      <c r="R113" s="375"/>
      <c r="S113" s="375"/>
      <c r="T113" s="375"/>
      <c r="U113" s="375"/>
      <c r="V113" s="375"/>
      <c r="W113" s="375"/>
      <c r="X113" s="375"/>
      <c r="Y113" s="375"/>
      <c r="Z113" s="375"/>
      <c r="AA113" s="375"/>
      <c r="AB113" s="375"/>
      <c r="AC113" s="375"/>
      <c r="AD113" s="375"/>
      <c r="AE113" s="375"/>
      <c r="AF113" s="375"/>
      <c r="AG113" s="375"/>
      <c r="AH113" s="375"/>
      <c r="AI113" s="375"/>
      <c r="AJ113" s="375"/>
      <c r="AK113" s="375"/>
      <c r="AL113" s="375"/>
      <c r="AM113" s="375"/>
      <c r="AN113" s="375"/>
      <c r="AO113" s="375"/>
      <c r="AP113" s="375"/>
      <c r="AQ113" s="375"/>
      <c r="AR113" s="375"/>
      <c r="AS113" s="375"/>
      <c r="AT113" s="375"/>
      <c r="AU113" s="375"/>
      <c r="AV113" s="375"/>
      <c r="AW113" s="375"/>
      <c r="AX113" s="375"/>
      <c r="AY113" s="375"/>
      <c r="AZ113" s="375"/>
      <c r="BA113" s="375"/>
      <c r="BB113" s="375"/>
      <c r="BC113" s="375"/>
      <c r="BD113" s="375"/>
      <c r="BE113" s="375"/>
      <c r="BF113" s="375"/>
      <c r="BG113" s="375"/>
      <c r="BH113" s="375"/>
      <c r="BI113" s="375"/>
      <c r="BJ113" s="375"/>
      <c r="BK113" s="375"/>
      <c r="BL113" s="375"/>
      <c r="BM113" s="375"/>
      <c r="BN113" s="375"/>
      <c r="BO113" s="375"/>
      <c r="BP113" s="375"/>
      <c r="BQ113" s="375"/>
      <c r="BR113" s="375"/>
      <c r="BS113" s="375"/>
      <c r="BT113" s="375"/>
      <c r="BU113" s="375"/>
      <c r="BV113" s="375"/>
      <c r="BW113" s="375"/>
      <c r="BX113" s="375"/>
      <c r="BY113" s="375"/>
      <c r="BZ113" s="375"/>
      <c r="CA113" s="375"/>
      <c r="CB113" s="375"/>
      <c r="CC113" s="375"/>
      <c r="CD113" s="375"/>
      <c r="CE113" s="375"/>
      <c r="CF113" s="375"/>
      <c r="CG113" s="375"/>
      <c r="CH113" s="375"/>
      <c r="CI113" s="375"/>
      <c r="CJ113" s="375"/>
      <c r="CK113" s="375"/>
      <c r="CL113" s="375"/>
      <c r="CM113" s="375"/>
      <c r="CN113" s="375"/>
      <c r="CO113" s="375"/>
      <c r="CP113" s="375"/>
      <c r="CQ113" s="375"/>
      <c r="CR113" s="375"/>
      <c r="CS113" s="375"/>
      <c r="CT113" s="375"/>
      <c r="CU113" s="375"/>
      <c r="CV113" s="375"/>
      <c r="CW113" s="375"/>
      <c r="CX113" s="375"/>
      <c r="CY113" s="375"/>
      <c r="CZ113" s="375"/>
      <c r="DA113" s="375"/>
      <c r="DB113" s="375"/>
      <c r="DC113" s="375"/>
      <c r="DD113" s="375"/>
      <c r="DE113" s="375"/>
      <c r="DF113" s="375"/>
      <c r="DG113" s="375"/>
      <c r="DH113" s="375"/>
      <c r="DI113" s="375"/>
      <c r="DJ113" s="375"/>
      <c r="DK113" s="375"/>
      <c r="DL113" s="375"/>
      <c r="DM113" s="375"/>
      <c r="DN113" s="375"/>
      <c r="DO113" s="375"/>
      <c r="DP113" s="375"/>
      <c r="DQ113" s="375"/>
      <c r="DR113" s="375"/>
      <c r="DS113" s="375"/>
      <c r="DT113" s="375"/>
      <c r="DU113" s="375"/>
      <c r="DV113" s="375"/>
      <c r="DW113" s="375"/>
      <c r="DX113" s="375"/>
      <c r="DY113" s="375"/>
      <c r="DZ113" s="375"/>
      <c r="EA113" s="375"/>
      <c r="EB113" s="375"/>
      <c r="EC113" s="375"/>
      <c r="ED113" s="375"/>
      <c r="EE113" s="375"/>
      <c r="EF113" s="375"/>
      <c r="EG113" s="375"/>
      <c r="EH113" s="375"/>
      <c r="EI113" s="375"/>
      <c r="EJ113" s="375"/>
      <c r="EK113" s="375"/>
      <c r="EL113" s="375"/>
      <c r="EM113" s="375"/>
      <c r="EN113" s="375"/>
      <c r="EO113" s="375"/>
      <c r="EP113" s="375"/>
      <c r="EQ113" s="375"/>
      <c r="ER113" s="375"/>
      <c r="ES113" s="375"/>
      <c r="ET113" s="375"/>
      <c r="EU113" s="375"/>
      <c r="EV113" s="375"/>
      <c r="EW113" s="375"/>
      <c r="EX113" s="375"/>
      <c r="EY113" s="375"/>
      <c r="EZ113" s="375"/>
      <c r="FA113" s="375"/>
      <c r="FB113" s="375"/>
      <c r="FC113" s="375"/>
      <c r="FD113" s="375"/>
      <c r="FE113" s="375"/>
      <c r="FF113" s="375"/>
      <c r="FG113" s="375"/>
      <c r="FH113" s="375"/>
      <c r="FI113" s="375"/>
      <c r="FJ113" s="375"/>
      <c r="FK113" s="375"/>
      <c r="FL113" s="375"/>
      <c r="FM113" s="375"/>
      <c r="FN113" s="375"/>
      <c r="FO113" s="375"/>
      <c r="FP113" s="375"/>
      <c r="FQ113" s="375"/>
      <c r="FR113" s="375"/>
      <c r="FS113" s="375"/>
      <c r="FT113" s="375"/>
      <c r="FU113" s="375"/>
      <c r="FV113" s="375"/>
      <c r="FW113" s="375"/>
      <c r="FX113" s="375"/>
      <c r="FY113" s="375"/>
      <c r="FZ113" s="375"/>
      <c r="GA113" s="375"/>
      <c r="GB113" s="375"/>
      <c r="GC113" s="375"/>
      <c r="GD113" s="375"/>
      <c r="GE113" s="375"/>
      <c r="GF113" s="375"/>
      <c r="GG113" s="375"/>
      <c r="GH113" s="375"/>
      <c r="GI113" s="375"/>
      <c r="GJ113" s="375"/>
      <c r="GK113" s="375"/>
      <c r="GL113" s="375"/>
      <c r="GM113" s="375"/>
      <c r="GN113" s="375"/>
      <c r="GO113" s="375"/>
      <c r="GP113" s="375"/>
      <c r="GQ113" s="375"/>
      <c r="GR113" s="375"/>
      <c r="GS113" s="375"/>
      <c r="GT113" s="375"/>
      <c r="GU113" s="375"/>
      <c r="GV113" s="375"/>
      <c r="GW113" s="375"/>
      <c r="GX113" s="375"/>
      <c r="GY113" s="375"/>
      <c r="GZ113" s="375"/>
      <c r="HA113" s="375"/>
      <c r="HB113" s="375"/>
      <c r="HC113" s="375"/>
      <c r="HD113" s="375"/>
      <c r="HE113" s="375"/>
      <c r="HF113" s="375"/>
      <c r="HG113" s="375"/>
      <c r="HH113" s="375"/>
      <c r="HI113" s="375"/>
      <c r="HJ113" s="375"/>
      <c r="HK113" s="375"/>
      <c r="HL113" s="375"/>
      <c r="HM113" s="375"/>
      <c r="HN113" s="375"/>
      <c r="HO113" s="375"/>
      <c r="HP113" s="375"/>
      <c r="HQ113" s="375"/>
      <c r="HR113" s="375"/>
      <c r="HS113" s="375"/>
      <c r="HT113" s="375"/>
      <c r="HU113" s="375"/>
      <c r="HV113" s="375"/>
      <c r="HW113" s="375"/>
      <c r="HX113" s="375"/>
      <c r="HY113" s="375"/>
      <c r="HZ113" s="375"/>
      <c r="IA113" s="375"/>
      <c r="IB113" s="375"/>
      <c r="IC113" s="375"/>
      <c r="ID113" s="375"/>
      <c r="IE113" s="375"/>
      <c r="IF113" s="375"/>
      <c r="IG113" s="375"/>
      <c r="IH113" s="375"/>
      <c r="II113" s="375"/>
      <c r="IJ113" s="375"/>
      <c r="IK113" s="375"/>
      <c r="IL113" s="375"/>
      <c r="IM113" s="375"/>
      <c r="IN113" s="375"/>
      <c r="IO113" s="375"/>
      <c r="IP113" s="375"/>
      <c r="IQ113" s="375"/>
      <c r="IR113" s="375"/>
      <c r="IS113" s="375"/>
      <c r="IT113" s="375"/>
      <c r="IU113" s="375"/>
      <c r="IV113" s="375"/>
    </row>
    <row r="114" spans="1:256" ht="14.25" x14ac:dyDescent="0.2">
      <c r="A114" s="241"/>
      <c r="B114" s="241"/>
      <c r="C114" s="241"/>
      <c r="D114" s="241"/>
      <c r="E114" s="241"/>
      <c r="F114" s="241"/>
      <c r="G114" s="241"/>
      <c r="H114" s="241"/>
      <c r="I114" s="241"/>
      <c r="J114" s="241"/>
      <c r="K114" s="241"/>
      <c r="L114" s="241"/>
      <c r="M114" s="374"/>
      <c r="N114" s="375"/>
      <c r="O114" s="375"/>
      <c r="P114" s="375"/>
      <c r="Q114" s="375"/>
      <c r="R114" s="375"/>
      <c r="S114" s="375"/>
      <c r="T114" s="375"/>
      <c r="U114" s="375"/>
      <c r="V114" s="375"/>
      <c r="W114" s="375"/>
      <c r="X114" s="375"/>
      <c r="Y114" s="375"/>
      <c r="Z114" s="375"/>
      <c r="AA114" s="375"/>
      <c r="AB114" s="375"/>
      <c r="AC114" s="375"/>
      <c r="AD114" s="375"/>
      <c r="AE114" s="375"/>
      <c r="AF114" s="375"/>
      <c r="AG114" s="375"/>
      <c r="AH114" s="375"/>
      <c r="AI114" s="375"/>
      <c r="AJ114" s="375"/>
      <c r="AK114" s="375"/>
      <c r="AL114" s="375"/>
      <c r="AM114" s="375"/>
      <c r="AN114" s="375"/>
      <c r="AO114" s="375"/>
      <c r="AP114" s="375"/>
      <c r="AQ114" s="375"/>
      <c r="AR114" s="375"/>
      <c r="AS114" s="375"/>
      <c r="AT114" s="375"/>
      <c r="AU114" s="375"/>
      <c r="AV114" s="375"/>
      <c r="AW114" s="375"/>
      <c r="AX114" s="375"/>
      <c r="AY114" s="375"/>
      <c r="AZ114" s="375"/>
      <c r="BA114" s="375"/>
      <c r="BB114" s="375"/>
      <c r="BC114" s="375"/>
      <c r="BD114" s="375"/>
      <c r="BE114" s="375"/>
      <c r="BF114" s="375"/>
      <c r="BG114" s="375"/>
      <c r="BH114" s="375"/>
      <c r="BI114" s="375"/>
      <c r="BJ114" s="375"/>
      <c r="BK114" s="375"/>
      <c r="BL114" s="375"/>
      <c r="BM114" s="375"/>
      <c r="BN114" s="375"/>
      <c r="BO114" s="375"/>
      <c r="BP114" s="375"/>
      <c r="BQ114" s="375"/>
      <c r="BR114" s="375"/>
      <c r="BS114" s="375"/>
      <c r="BT114" s="375"/>
      <c r="BU114" s="375"/>
      <c r="BV114" s="375"/>
      <c r="BW114" s="375"/>
      <c r="BX114" s="375"/>
      <c r="BY114" s="375"/>
      <c r="BZ114" s="375"/>
      <c r="CA114" s="375"/>
      <c r="CB114" s="375"/>
      <c r="CC114" s="375"/>
      <c r="CD114" s="375"/>
      <c r="CE114" s="375"/>
      <c r="CF114" s="375"/>
      <c r="CG114" s="375"/>
      <c r="CH114" s="375"/>
      <c r="CI114" s="375"/>
      <c r="CJ114" s="375"/>
      <c r="CK114" s="375"/>
      <c r="CL114" s="375"/>
      <c r="CM114" s="375"/>
      <c r="CN114" s="375"/>
      <c r="CO114" s="375"/>
      <c r="CP114" s="375"/>
      <c r="CQ114" s="375"/>
      <c r="CR114" s="375"/>
      <c r="CS114" s="375"/>
      <c r="CT114" s="375"/>
      <c r="CU114" s="375"/>
      <c r="CV114" s="375"/>
      <c r="CW114" s="375"/>
      <c r="CX114" s="375"/>
      <c r="CY114" s="375"/>
      <c r="CZ114" s="375"/>
      <c r="DA114" s="375"/>
      <c r="DB114" s="375"/>
      <c r="DC114" s="375"/>
      <c r="DD114" s="375"/>
      <c r="DE114" s="375"/>
      <c r="DF114" s="375"/>
      <c r="DG114" s="375"/>
      <c r="DH114" s="375"/>
      <c r="DI114" s="375"/>
      <c r="DJ114" s="375"/>
      <c r="DK114" s="375"/>
      <c r="DL114" s="375"/>
      <c r="DM114" s="375"/>
      <c r="DN114" s="375"/>
      <c r="DO114" s="375"/>
      <c r="DP114" s="375"/>
      <c r="DQ114" s="375"/>
      <c r="DR114" s="375"/>
      <c r="DS114" s="375"/>
      <c r="DT114" s="375"/>
      <c r="DU114" s="375"/>
      <c r="DV114" s="375"/>
      <c r="DW114" s="375"/>
      <c r="DX114" s="375"/>
      <c r="DY114" s="375"/>
      <c r="DZ114" s="375"/>
      <c r="EA114" s="375"/>
      <c r="EB114" s="375"/>
      <c r="EC114" s="375"/>
      <c r="ED114" s="375"/>
      <c r="EE114" s="375"/>
      <c r="EF114" s="375"/>
      <c r="EG114" s="375"/>
      <c r="EH114" s="375"/>
      <c r="EI114" s="375"/>
      <c r="EJ114" s="375"/>
      <c r="EK114" s="375"/>
      <c r="EL114" s="375"/>
      <c r="EM114" s="375"/>
      <c r="EN114" s="375"/>
      <c r="EO114" s="375"/>
      <c r="EP114" s="375"/>
      <c r="EQ114" s="375"/>
      <c r="ER114" s="375"/>
      <c r="ES114" s="375"/>
      <c r="ET114" s="375"/>
      <c r="EU114" s="375"/>
      <c r="EV114" s="375"/>
      <c r="EW114" s="375"/>
      <c r="EX114" s="375"/>
      <c r="EY114" s="375"/>
      <c r="EZ114" s="375"/>
      <c r="FA114" s="375"/>
      <c r="FB114" s="375"/>
      <c r="FC114" s="375"/>
      <c r="FD114" s="375"/>
      <c r="FE114" s="375"/>
      <c r="FF114" s="375"/>
      <c r="FG114" s="375"/>
      <c r="FH114" s="375"/>
      <c r="FI114" s="375"/>
      <c r="FJ114" s="375"/>
      <c r="FK114" s="375"/>
      <c r="FL114" s="375"/>
      <c r="FM114" s="375"/>
      <c r="FN114" s="375"/>
      <c r="FO114" s="375"/>
      <c r="FP114" s="375"/>
      <c r="FQ114" s="375"/>
      <c r="FR114" s="375"/>
      <c r="FS114" s="375"/>
      <c r="FT114" s="375"/>
      <c r="FU114" s="375"/>
      <c r="FV114" s="375"/>
      <c r="FW114" s="375"/>
      <c r="FX114" s="375"/>
      <c r="FY114" s="375"/>
      <c r="FZ114" s="375"/>
      <c r="GA114" s="375"/>
      <c r="GB114" s="375"/>
      <c r="GC114" s="375"/>
      <c r="GD114" s="375"/>
      <c r="GE114" s="375"/>
      <c r="GF114" s="375"/>
      <c r="GG114" s="375"/>
      <c r="GH114" s="375"/>
      <c r="GI114" s="375"/>
      <c r="GJ114" s="375"/>
      <c r="GK114" s="375"/>
      <c r="GL114" s="375"/>
      <c r="GM114" s="375"/>
      <c r="GN114" s="375"/>
      <c r="GO114" s="375"/>
      <c r="GP114" s="375"/>
      <c r="GQ114" s="375"/>
      <c r="GR114" s="375"/>
      <c r="GS114" s="375"/>
      <c r="GT114" s="375"/>
      <c r="GU114" s="375"/>
      <c r="GV114" s="375"/>
      <c r="GW114" s="375"/>
      <c r="GX114" s="375"/>
      <c r="GY114" s="375"/>
      <c r="GZ114" s="375"/>
      <c r="HA114" s="375"/>
      <c r="HB114" s="375"/>
      <c r="HC114" s="375"/>
      <c r="HD114" s="375"/>
      <c r="HE114" s="375"/>
      <c r="HF114" s="375"/>
      <c r="HG114" s="375"/>
      <c r="HH114" s="375"/>
      <c r="HI114" s="375"/>
      <c r="HJ114" s="375"/>
      <c r="HK114" s="375"/>
      <c r="HL114" s="375"/>
      <c r="HM114" s="375"/>
      <c r="HN114" s="375"/>
      <c r="HO114" s="375"/>
      <c r="HP114" s="375"/>
      <c r="HQ114" s="375"/>
      <c r="HR114" s="375"/>
      <c r="HS114" s="375"/>
      <c r="HT114" s="375"/>
      <c r="HU114" s="375"/>
      <c r="HV114" s="375"/>
      <c r="HW114" s="375"/>
      <c r="HX114" s="375"/>
      <c r="HY114" s="375"/>
      <c r="HZ114" s="375"/>
      <c r="IA114" s="375"/>
      <c r="IB114" s="375"/>
      <c r="IC114" s="375"/>
      <c r="ID114" s="375"/>
      <c r="IE114" s="375"/>
      <c r="IF114" s="375"/>
      <c r="IG114" s="375"/>
      <c r="IH114" s="375"/>
      <c r="II114" s="375"/>
      <c r="IJ114" s="375"/>
      <c r="IK114" s="375"/>
      <c r="IL114" s="375"/>
      <c r="IM114" s="375"/>
      <c r="IN114" s="375"/>
      <c r="IO114" s="375"/>
      <c r="IP114" s="375"/>
      <c r="IQ114" s="375"/>
      <c r="IR114" s="375"/>
      <c r="IS114" s="375"/>
      <c r="IT114" s="375"/>
      <c r="IU114" s="375"/>
      <c r="IV114" s="375"/>
    </row>
    <row r="115" spans="1:256" ht="15" x14ac:dyDescent="0.25">
      <c r="A115" s="368"/>
      <c r="B115" s="368"/>
      <c r="C115" s="368"/>
      <c r="D115" s="379" t="s">
        <v>198</v>
      </c>
      <c r="E115" s="377"/>
      <c r="F115" s="377"/>
      <c r="G115" s="377"/>
      <c r="H115" s="377"/>
      <c r="I115" s="377"/>
      <c r="J115" s="382">
        <f>(J106-J109)*0.925+J109</f>
        <v>70272.77</v>
      </c>
      <c r="K115" s="382"/>
      <c r="L115" s="382">
        <f>L106*0.925</f>
        <v>700698.92</v>
      </c>
      <c r="M115" s="287" t="e">
        <v>#REF!</v>
      </c>
      <c r="N115" s="275"/>
      <c r="O115" s="275"/>
      <c r="P115" s="275"/>
      <c r="Q115" s="275"/>
      <c r="R115" s="275"/>
      <c r="S115" s="275"/>
      <c r="T115" s="275"/>
      <c r="U115" s="275"/>
      <c r="V115" s="275"/>
      <c r="W115" s="275"/>
      <c r="X115" s="275"/>
      <c r="Y115" s="275"/>
      <c r="Z115" s="275"/>
      <c r="AA115" s="275"/>
      <c r="AB115" s="275"/>
      <c r="AC115" s="275"/>
      <c r="AD115" s="275"/>
      <c r="AE115" s="275"/>
      <c r="AF115" s="275"/>
      <c r="AG115" s="275"/>
      <c r="AH115" s="275"/>
      <c r="AI115" s="275"/>
      <c r="AJ115" s="275"/>
      <c r="AK115" s="275"/>
      <c r="AL115" s="275"/>
      <c r="AM115" s="275"/>
      <c r="AN115" s="275"/>
      <c r="AO115" s="275"/>
      <c r="AP115" s="275"/>
      <c r="AQ115" s="275"/>
      <c r="AR115" s="275"/>
      <c r="AS115" s="275"/>
      <c r="AT115" s="275"/>
      <c r="AU115" s="275"/>
      <c r="AV115" s="275"/>
      <c r="AW115" s="275"/>
      <c r="AX115" s="275"/>
      <c r="AY115" s="275"/>
      <c r="AZ115" s="275"/>
      <c r="BA115" s="275"/>
      <c r="BB115" s="275"/>
      <c r="BC115" s="275"/>
      <c r="BD115" s="275"/>
      <c r="BE115" s="275"/>
      <c r="BF115" s="275"/>
      <c r="BG115" s="275"/>
      <c r="BH115" s="275"/>
      <c r="BI115" s="275"/>
      <c r="BJ115" s="275"/>
      <c r="BK115" s="275"/>
      <c r="BL115" s="275"/>
      <c r="BM115" s="275"/>
      <c r="BN115" s="275"/>
      <c r="BO115" s="275"/>
      <c r="BP115" s="275"/>
      <c r="BQ115" s="275"/>
      <c r="BR115" s="275"/>
      <c r="BS115" s="275"/>
      <c r="BT115" s="275"/>
      <c r="BU115" s="275"/>
      <c r="BV115" s="275"/>
      <c r="BW115" s="275"/>
      <c r="BX115" s="275"/>
      <c r="BY115" s="275"/>
      <c r="BZ115" s="275"/>
      <c r="CA115" s="275"/>
      <c r="CB115" s="275"/>
      <c r="CC115" s="275"/>
      <c r="CD115" s="275"/>
      <c r="CE115" s="275"/>
      <c r="CF115" s="275"/>
      <c r="CG115" s="275"/>
      <c r="CH115" s="275"/>
      <c r="CI115" s="275"/>
      <c r="CJ115" s="275"/>
      <c r="CK115" s="275"/>
      <c r="CL115" s="275"/>
      <c r="CM115" s="275"/>
      <c r="CN115" s="275"/>
      <c r="CO115" s="275"/>
      <c r="CP115" s="275"/>
      <c r="CQ115" s="275"/>
      <c r="CR115" s="275"/>
      <c r="CS115" s="275"/>
      <c r="CT115" s="275"/>
      <c r="CU115" s="275"/>
      <c r="CV115" s="275"/>
      <c r="CW115" s="275"/>
      <c r="CX115" s="275"/>
      <c r="CY115" s="275"/>
      <c r="CZ115" s="275"/>
      <c r="DA115" s="275"/>
      <c r="DB115" s="275"/>
      <c r="DC115" s="275"/>
      <c r="DD115" s="275"/>
      <c r="DE115" s="275"/>
      <c r="DF115" s="275"/>
      <c r="DG115" s="275"/>
      <c r="DH115" s="275"/>
      <c r="DI115" s="275"/>
      <c r="DJ115" s="275"/>
      <c r="DK115" s="275"/>
      <c r="DL115" s="275"/>
      <c r="DM115" s="275"/>
      <c r="DN115" s="275"/>
      <c r="DO115" s="275"/>
      <c r="DP115" s="275"/>
      <c r="DQ115" s="275"/>
      <c r="DR115" s="275"/>
      <c r="DS115" s="275"/>
      <c r="DT115" s="275"/>
      <c r="DU115" s="275"/>
      <c r="DV115" s="275"/>
      <c r="DW115" s="275"/>
      <c r="DX115" s="275"/>
      <c r="DY115" s="275"/>
      <c r="DZ115" s="275"/>
      <c r="EA115" s="275"/>
      <c r="EB115" s="275"/>
      <c r="EC115" s="275"/>
      <c r="ED115" s="275"/>
      <c r="EE115" s="275"/>
      <c r="EF115" s="275"/>
      <c r="EG115" s="275"/>
      <c r="EH115" s="275"/>
      <c r="EI115" s="275"/>
      <c r="EJ115" s="275"/>
      <c r="EK115" s="275"/>
      <c r="EL115" s="275"/>
      <c r="EM115" s="275"/>
      <c r="EN115" s="275"/>
      <c r="EO115" s="275"/>
      <c r="EP115" s="275"/>
      <c r="EQ115" s="275"/>
      <c r="ER115" s="275"/>
      <c r="ES115" s="275"/>
      <c r="ET115" s="275"/>
      <c r="EU115" s="275"/>
      <c r="EV115" s="275"/>
      <c r="EW115" s="275"/>
      <c r="EX115" s="275"/>
      <c r="EY115" s="275"/>
      <c r="EZ115" s="275"/>
      <c r="FA115" s="275"/>
      <c r="FB115" s="275"/>
      <c r="FC115" s="275"/>
      <c r="FD115" s="275"/>
      <c r="FE115" s="275"/>
      <c r="FF115" s="275"/>
      <c r="FG115" s="275"/>
      <c r="FH115" s="275"/>
      <c r="FI115" s="275"/>
      <c r="FJ115" s="275"/>
      <c r="FK115" s="275"/>
      <c r="FL115" s="275"/>
      <c r="FM115" s="275"/>
      <c r="FN115" s="275"/>
      <c r="FO115" s="275"/>
      <c r="FP115" s="275"/>
      <c r="FQ115" s="275"/>
      <c r="FR115" s="275"/>
      <c r="FS115" s="275"/>
      <c r="FT115" s="275"/>
      <c r="FU115" s="275"/>
      <c r="FV115" s="275"/>
      <c r="FW115" s="275"/>
      <c r="FX115" s="275"/>
      <c r="FY115" s="275"/>
      <c r="FZ115" s="275"/>
      <c r="GA115" s="275"/>
      <c r="GB115" s="275"/>
      <c r="GC115" s="275"/>
      <c r="GD115" s="275"/>
      <c r="GE115" s="275"/>
      <c r="GF115" s="275"/>
      <c r="GG115" s="275"/>
      <c r="GH115" s="275"/>
      <c r="GI115" s="275"/>
      <c r="GJ115" s="275"/>
      <c r="GK115" s="275"/>
      <c r="GL115" s="275"/>
      <c r="GM115" s="275"/>
      <c r="GN115" s="275"/>
      <c r="GO115" s="275"/>
      <c r="GP115" s="275"/>
      <c r="GQ115" s="275"/>
      <c r="GR115" s="275"/>
      <c r="GS115" s="275"/>
      <c r="GT115" s="275"/>
      <c r="GU115" s="275"/>
      <c r="GV115" s="275"/>
      <c r="GW115" s="275"/>
      <c r="GX115" s="275"/>
      <c r="GY115" s="275"/>
      <c r="GZ115" s="275"/>
      <c r="HA115" s="275"/>
      <c r="HB115" s="275"/>
      <c r="HC115" s="275"/>
      <c r="HD115" s="275"/>
      <c r="HE115" s="275"/>
      <c r="HF115" s="275"/>
      <c r="HG115" s="275"/>
      <c r="HH115" s="275"/>
      <c r="HI115" s="275"/>
      <c r="HJ115" s="275"/>
      <c r="HK115" s="275"/>
      <c r="HL115" s="275"/>
      <c r="HM115" s="275"/>
      <c r="HN115" s="275"/>
      <c r="HO115" s="275"/>
      <c r="HP115" s="275"/>
      <c r="HQ115" s="275"/>
      <c r="HR115" s="275"/>
      <c r="HS115" s="275"/>
      <c r="HT115" s="275"/>
      <c r="HU115" s="275"/>
      <c r="HV115" s="275"/>
      <c r="HW115" s="275"/>
      <c r="HX115" s="275"/>
      <c r="HY115" s="275"/>
      <c r="HZ115" s="275"/>
      <c r="IA115" s="275"/>
      <c r="IB115" s="275"/>
      <c r="IC115" s="275"/>
      <c r="ID115" s="275"/>
      <c r="IE115" s="275"/>
      <c r="IF115" s="275"/>
      <c r="IG115" s="275"/>
      <c r="IH115" s="275"/>
      <c r="II115" s="275"/>
      <c r="IJ115" s="275"/>
      <c r="IK115" s="275"/>
      <c r="IL115" s="275"/>
      <c r="IM115" s="275"/>
      <c r="IN115" s="275"/>
      <c r="IO115" s="275"/>
      <c r="IP115" s="275"/>
      <c r="IQ115" s="275"/>
      <c r="IR115" s="275"/>
      <c r="IS115" s="275"/>
      <c r="IT115" s="275"/>
      <c r="IU115" s="275"/>
      <c r="IV115" s="275"/>
    </row>
    <row r="116" spans="1:256" ht="15" x14ac:dyDescent="0.25">
      <c r="A116" s="368"/>
      <c r="B116" s="368"/>
      <c r="C116" s="368"/>
      <c r="D116" s="377" t="s">
        <v>69</v>
      </c>
      <c r="E116" s="377"/>
      <c r="F116" s="377"/>
      <c r="G116" s="377"/>
      <c r="H116" s="377"/>
      <c r="I116" s="377"/>
      <c r="J116" s="378">
        <f>J115</f>
        <v>70272.77</v>
      </c>
      <c r="K116" s="378"/>
      <c r="L116" s="378">
        <f>L115</f>
        <v>700698.92</v>
      </c>
      <c r="M116" s="287"/>
      <c r="N116" s="275"/>
      <c r="O116" s="275"/>
      <c r="P116" s="275"/>
      <c r="Q116" s="275"/>
      <c r="R116" s="275"/>
      <c r="S116" s="275"/>
      <c r="T116" s="275"/>
      <c r="U116" s="275"/>
      <c r="V116" s="275"/>
      <c r="W116" s="275"/>
      <c r="X116" s="275"/>
      <c r="Y116" s="275"/>
      <c r="Z116" s="275"/>
      <c r="AA116" s="275"/>
      <c r="AB116" s="275"/>
      <c r="AC116" s="275"/>
      <c r="AD116" s="275"/>
      <c r="AE116" s="275"/>
      <c r="AF116" s="275"/>
      <c r="AG116" s="275"/>
      <c r="AH116" s="275"/>
      <c r="AI116" s="275"/>
      <c r="AJ116" s="275"/>
      <c r="AK116" s="275"/>
      <c r="AL116" s="275"/>
      <c r="AM116" s="275"/>
      <c r="AN116" s="275"/>
      <c r="AO116" s="275"/>
      <c r="AP116" s="275"/>
      <c r="AQ116" s="275"/>
      <c r="AR116" s="275"/>
      <c r="AS116" s="275"/>
      <c r="AT116" s="275"/>
      <c r="AU116" s="275"/>
      <c r="AV116" s="275"/>
      <c r="AW116" s="275"/>
      <c r="AX116" s="275"/>
      <c r="AY116" s="275"/>
      <c r="AZ116" s="275"/>
      <c r="BA116" s="275"/>
      <c r="BB116" s="275"/>
      <c r="BC116" s="275"/>
      <c r="BD116" s="275"/>
      <c r="BE116" s="275"/>
      <c r="BF116" s="275"/>
      <c r="BG116" s="275"/>
      <c r="BH116" s="275"/>
      <c r="BI116" s="275"/>
      <c r="BJ116" s="275"/>
      <c r="BK116" s="275"/>
      <c r="BL116" s="275"/>
      <c r="BM116" s="275"/>
      <c r="BN116" s="275"/>
      <c r="BO116" s="275"/>
      <c r="BP116" s="275"/>
      <c r="BQ116" s="275"/>
      <c r="BR116" s="275"/>
      <c r="BS116" s="275"/>
      <c r="BT116" s="275"/>
      <c r="BU116" s="275"/>
      <c r="BV116" s="275"/>
      <c r="BW116" s="275"/>
      <c r="BX116" s="275"/>
      <c r="BY116" s="275"/>
      <c r="BZ116" s="275"/>
      <c r="CA116" s="275"/>
      <c r="CB116" s="275"/>
      <c r="CC116" s="275"/>
      <c r="CD116" s="275"/>
      <c r="CE116" s="275"/>
      <c r="CF116" s="275"/>
      <c r="CG116" s="275"/>
      <c r="CH116" s="275"/>
      <c r="CI116" s="275"/>
      <c r="CJ116" s="275"/>
      <c r="CK116" s="275"/>
      <c r="CL116" s="275"/>
      <c r="CM116" s="275"/>
      <c r="CN116" s="275"/>
      <c r="CO116" s="275"/>
      <c r="CP116" s="275"/>
      <c r="CQ116" s="275"/>
      <c r="CR116" s="275"/>
      <c r="CS116" s="275"/>
      <c r="CT116" s="275"/>
      <c r="CU116" s="275"/>
      <c r="CV116" s="275"/>
      <c r="CW116" s="275"/>
      <c r="CX116" s="275"/>
      <c r="CY116" s="275"/>
      <c r="CZ116" s="275"/>
      <c r="DA116" s="275"/>
      <c r="DB116" s="275"/>
      <c r="DC116" s="275"/>
      <c r="DD116" s="275"/>
      <c r="DE116" s="275"/>
      <c r="DF116" s="275"/>
      <c r="DG116" s="275"/>
      <c r="DH116" s="275"/>
      <c r="DI116" s="275"/>
      <c r="DJ116" s="275"/>
      <c r="DK116" s="275"/>
      <c r="DL116" s="275"/>
      <c r="DM116" s="275"/>
      <c r="DN116" s="275"/>
      <c r="DO116" s="275"/>
      <c r="DP116" s="275"/>
      <c r="DQ116" s="275"/>
      <c r="DR116" s="275"/>
      <c r="DS116" s="275"/>
      <c r="DT116" s="275"/>
      <c r="DU116" s="275"/>
      <c r="DV116" s="275"/>
      <c r="DW116" s="275"/>
      <c r="DX116" s="275"/>
      <c r="DY116" s="275"/>
      <c r="DZ116" s="275"/>
      <c r="EA116" s="275"/>
      <c r="EB116" s="275"/>
      <c r="EC116" s="275"/>
      <c r="ED116" s="275"/>
      <c r="EE116" s="275"/>
      <c r="EF116" s="275"/>
      <c r="EG116" s="275"/>
      <c r="EH116" s="275"/>
      <c r="EI116" s="275"/>
      <c r="EJ116" s="275"/>
      <c r="EK116" s="275"/>
      <c r="EL116" s="275"/>
      <c r="EM116" s="275"/>
      <c r="EN116" s="275"/>
      <c r="EO116" s="275"/>
      <c r="EP116" s="275"/>
      <c r="EQ116" s="275"/>
      <c r="ER116" s="275"/>
      <c r="ES116" s="275"/>
      <c r="ET116" s="275"/>
      <c r="EU116" s="275"/>
      <c r="EV116" s="275"/>
      <c r="EW116" s="275"/>
      <c r="EX116" s="275"/>
      <c r="EY116" s="275"/>
      <c r="EZ116" s="275"/>
      <c r="FA116" s="275"/>
      <c r="FB116" s="275"/>
      <c r="FC116" s="275"/>
      <c r="FD116" s="275"/>
      <c r="FE116" s="275"/>
      <c r="FF116" s="275"/>
      <c r="FG116" s="275"/>
      <c r="FH116" s="275"/>
      <c r="FI116" s="275"/>
      <c r="FJ116" s="275"/>
      <c r="FK116" s="275"/>
      <c r="FL116" s="275"/>
      <c r="FM116" s="275"/>
      <c r="FN116" s="275"/>
      <c r="FO116" s="275"/>
      <c r="FP116" s="275"/>
      <c r="FQ116" s="275"/>
      <c r="FR116" s="275"/>
      <c r="FS116" s="275"/>
      <c r="FT116" s="275"/>
      <c r="FU116" s="275"/>
      <c r="FV116" s="275"/>
      <c r="FW116" s="275"/>
      <c r="FX116" s="275"/>
      <c r="FY116" s="275"/>
      <c r="FZ116" s="275"/>
      <c r="GA116" s="275"/>
      <c r="GB116" s="275"/>
      <c r="GC116" s="275"/>
      <c r="GD116" s="275"/>
      <c r="GE116" s="275"/>
      <c r="GF116" s="275"/>
      <c r="GG116" s="275"/>
      <c r="GH116" s="275"/>
      <c r="GI116" s="275"/>
      <c r="GJ116" s="275"/>
      <c r="GK116" s="275"/>
      <c r="GL116" s="275"/>
      <c r="GM116" s="275"/>
      <c r="GN116" s="275"/>
      <c r="GO116" s="275"/>
      <c r="GP116" s="275"/>
      <c r="GQ116" s="275"/>
      <c r="GR116" s="275"/>
      <c r="GS116" s="275"/>
      <c r="GT116" s="275"/>
      <c r="GU116" s="275"/>
      <c r="GV116" s="275"/>
      <c r="GW116" s="275"/>
      <c r="GX116" s="275"/>
      <c r="GY116" s="275"/>
      <c r="GZ116" s="275"/>
      <c r="HA116" s="275"/>
      <c r="HB116" s="275"/>
      <c r="HC116" s="275"/>
      <c r="HD116" s="275"/>
      <c r="HE116" s="275"/>
      <c r="HF116" s="275"/>
      <c r="HG116" s="275"/>
      <c r="HH116" s="275"/>
      <c r="HI116" s="275"/>
      <c r="HJ116" s="275"/>
      <c r="HK116" s="275"/>
      <c r="HL116" s="275"/>
      <c r="HM116" s="275"/>
      <c r="HN116" s="275"/>
      <c r="HO116" s="275"/>
      <c r="HP116" s="275"/>
      <c r="HQ116" s="275"/>
      <c r="HR116" s="275"/>
      <c r="HS116" s="275"/>
      <c r="HT116" s="275"/>
      <c r="HU116" s="275"/>
      <c r="HV116" s="275"/>
      <c r="HW116" s="275"/>
      <c r="HX116" s="275"/>
      <c r="HY116" s="275"/>
      <c r="HZ116" s="275"/>
      <c r="IA116" s="275"/>
      <c r="IB116" s="275"/>
      <c r="IC116" s="275"/>
      <c r="ID116" s="275"/>
      <c r="IE116" s="275"/>
      <c r="IF116" s="275"/>
      <c r="IG116" s="275"/>
      <c r="IH116" s="275"/>
      <c r="II116" s="275"/>
      <c r="IJ116" s="275"/>
      <c r="IK116" s="275"/>
      <c r="IL116" s="275"/>
      <c r="IM116" s="275"/>
      <c r="IN116" s="275"/>
      <c r="IO116" s="275"/>
      <c r="IP116" s="275"/>
      <c r="IQ116" s="275"/>
      <c r="IR116" s="275"/>
      <c r="IS116" s="275"/>
      <c r="IT116" s="275"/>
      <c r="IU116" s="275"/>
      <c r="IV116" s="275"/>
    </row>
    <row r="117" spans="1:256" ht="15" x14ac:dyDescent="0.25">
      <c r="A117" s="368"/>
      <c r="B117" s="368"/>
      <c r="C117" s="368"/>
      <c r="D117" s="377" t="s">
        <v>70</v>
      </c>
      <c r="E117" s="377"/>
      <c r="F117" s="377"/>
      <c r="G117" s="377"/>
      <c r="H117" s="377"/>
      <c r="I117" s="377"/>
      <c r="J117" s="378">
        <f>J108*0.925</f>
        <v>6889.06</v>
      </c>
      <c r="K117" s="378"/>
      <c r="L117" s="378">
        <f>L108*0.925</f>
        <v>166921.87</v>
      </c>
      <c r="M117" s="287">
        <v>21718.35</v>
      </c>
      <c r="N117" s="275"/>
      <c r="O117" s="275"/>
      <c r="P117" s="275"/>
      <c r="Q117" s="275"/>
      <c r="R117" s="275"/>
      <c r="S117" s="275"/>
      <c r="T117" s="275"/>
      <c r="U117" s="275"/>
      <c r="V117" s="275"/>
      <c r="W117" s="275"/>
      <c r="X117" s="275"/>
      <c r="Y117" s="275"/>
      <c r="Z117" s="275"/>
      <c r="AA117" s="275"/>
      <c r="AB117" s="275"/>
      <c r="AC117" s="275"/>
      <c r="AD117" s="275"/>
      <c r="AE117" s="275"/>
      <c r="AF117" s="275"/>
      <c r="AG117" s="275"/>
      <c r="AH117" s="275"/>
      <c r="AI117" s="275"/>
      <c r="AJ117" s="275"/>
      <c r="AK117" s="275"/>
      <c r="AL117" s="275"/>
      <c r="AM117" s="275"/>
      <c r="AN117" s="275"/>
      <c r="AO117" s="275"/>
      <c r="AP117" s="275"/>
      <c r="AQ117" s="275"/>
      <c r="AR117" s="275"/>
      <c r="AS117" s="275"/>
      <c r="AT117" s="275"/>
      <c r="AU117" s="275"/>
      <c r="AV117" s="275"/>
      <c r="AW117" s="275"/>
      <c r="AX117" s="275"/>
      <c r="AY117" s="275"/>
      <c r="AZ117" s="275"/>
      <c r="BA117" s="275"/>
      <c r="BB117" s="275"/>
      <c r="BC117" s="275"/>
      <c r="BD117" s="275"/>
      <c r="BE117" s="275"/>
      <c r="BF117" s="275"/>
      <c r="BG117" s="275"/>
      <c r="BH117" s="275"/>
      <c r="BI117" s="275"/>
      <c r="BJ117" s="275"/>
      <c r="BK117" s="275"/>
      <c r="BL117" s="275"/>
      <c r="BM117" s="275"/>
      <c r="BN117" s="275"/>
      <c r="BO117" s="275"/>
      <c r="BP117" s="275"/>
      <c r="BQ117" s="275"/>
      <c r="BR117" s="275"/>
      <c r="BS117" s="275"/>
      <c r="BT117" s="275"/>
      <c r="BU117" s="275"/>
      <c r="BV117" s="275"/>
      <c r="BW117" s="275"/>
      <c r="BX117" s="275"/>
      <c r="BY117" s="275"/>
      <c r="BZ117" s="275"/>
      <c r="CA117" s="275"/>
      <c r="CB117" s="275"/>
      <c r="CC117" s="275"/>
      <c r="CD117" s="275"/>
      <c r="CE117" s="275"/>
      <c r="CF117" s="275"/>
      <c r="CG117" s="275"/>
      <c r="CH117" s="275"/>
      <c r="CI117" s="275"/>
      <c r="CJ117" s="275"/>
      <c r="CK117" s="275"/>
      <c r="CL117" s="275"/>
      <c r="CM117" s="275"/>
      <c r="CN117" s="275"/>
      <c r="CO117" s="275"/>
      <c r="CP117" s="275"/>
      <c r="CQ117" s="275"/>
      <c r="CR117" s="275"/>
      <c r="CS117" s="275"/>
      <c r="CT117" s="275"/>
      <c r="CU117" s="275"/>
      <c r="CV117" s="275"/>
      <c r="CW117" s="275"/>
      <c r="CX117" s="275"/>
      <c r="CY117" s="275"/>
      <c r="CZ117" s="275"/>
      <c r="DA117" s="275"/>
      <c r="DB117" s="275"/>
      <c r="DC117" s="275"/>
      <c r="DD117" s="275"/>
      <c r="DE117" s="275"/>
      <c r="DF117" s="275"/>
      <c r="DG117" s="275"/>
      <c r="DH117" s="275"/>
      <c r="DI117" s="275"/>
      <c r="DJ117" s="275"/>
      <c r="DK117" s="275"/>
      <c r="DL117" s="275"/>
      <c r="DM117" s="275"/>
      <c r="DN117" s="275"/>
      <c r="DO117" s="275"/>
      <c r="DP117" s="275"/>
      <c r="DQ117" s="275"/>
      <c r="DR117" s="275"/>
      <c r="DS117" s="275"/>
      <c r="DT117" s="275"/>
      <c r="DU117" s="275"/>
      <c r="DV117" s="275"/>
      <c r="DW117" s="275"/>
      <c r="DX117" s="275"/>
      <c r="DY117" s="275"/>
      <c r="DZ117" s="275"/>
      <c r="EA117" s="275"/>
      <c r="EB117" s="275"/>
      <c r="EC117" s="275"/>
      <c r="ED117" s="275"/>
      <c r="EE117" s="275"/>
      <c r="EF117" s="275"/>
      <c r="EG117" s="275"/>
      <c r="EH117" s="275"/>
      <c r="EI117" s="275"/>
      <c r="EJ117" s="275"/>
      <c r="EK117" s="275"/>
      <c r="EL117" s="275"/>
      <c r="EM117" s="275"/>
      <c r="EN117" s="275"/>
      <c r="EO117" s="275"/>
      <c r="EP117" s="275"/>
      <c r="EQ117" s="275"/>
      <c r="ER117" s="275"/>
      <c r="ES117" s="275"/>
      <c r="ET117" s="275"/>
      <c r="EU117" s="275"/>
      <c r="EV117" s="275"/>
      <c r="EW117" s="275"/>
      <c r="EX117" s="275"/>
      <c r="EY117" s="275"/>
      <c r="EZ117" s="275"/>
      <c r="FA117" s="275"/>
      <c r="FB117" s="275"/>
      <c r="FC117" s="275"/>
      <c r="FD117" s="275"/>
      <c r="FE117" s="275"/>
      <c r="FF117" s="275"/>
      <c r="FG117" s="275"/>
      <c r="FH117" s="275"/>
      <c r="FI117" s="275"/>
      <c r="FJ117" s="275"/>
      <c r="FK117" s="275"/>
      <c r="FL117" s="275"/>
      <c r="FM117" s="275"/>
      <c r="FN117" s="275"/>
      <c r="FO117" s="275"/>
      <c r="FP117" s="275"/>
      <c r="FQ117" s="275"/>
      <c r="FR117" s="275"/>
      <c r="FS117" s="275"/>
      <c r="FT117" s="275"/>
      <c r="FU117" s="275"/>
      <c r="FV117" s="275"/>
      <c r="FW117" s="275"/>
      <c r="FX117" s="275"/>
      <c r="FY117" s="275"/>
      <c r="FZ117" s="275"/>
      <c r="GA117" s="275"/>
      <c r="GB117" s="275"/>
      <c r="GC117" s="275"/>
      <c r="GD117" s="275"/>
      <c r="GE117" s="275"/>
      <c r="GF117" s="275"/>
      <c r="GG117" s="275"/>
      <c r="GH117" s="275"/>
      <c r="GI117" s="275"/>
      <c r="GJ117" s="275"/>
      <c r="GK117" s="275"/>
      <c r="GL117" s="275"/>
      <c r="GM117" s="275"/>
      <c r="GN117" s="275"/>
      <c r="GO117" s="275"/>
      <c r="GP117" s="275"/>
      <c r="GQ117" s="275"/>
      <c r="GR117" s="275"/>
      <c r="GS117" s="275"/>
      <c r="GT117" s="275"/>
      <c r="GU117" s="275"/>
      <c r="GV117" s="275"/>
      <c r="GW117" s="275"/>
      <c r="GX117" s="275"/>
      <c r="GY117" s="275"/>
      <c r="GZ117" s="275"/>
      <c r="HA117" s="275"/>
      <c r="HB117" s="275"/>
      <c r="HC117" s="275"/>
      <c r="HD117" s="275"/>
      <c r="HE117" s="275"/>
      <c r="HF117" s="275"/>
      <c r="HG117" s="275"/>
      <c r="HH117" s="275"/>
      <c r="HI117" s="275"/>
      <c r="HJ117" s="275"/>
      <c r="HK117" s="275"/>
      <c r="HL117" s="275"/>
      <c r="HM117" s="275"/>
      <c r="HN117" s="275"/>
      <c r="HO117" s="275"/>
      <c r="HP117" s="275"/>
      <c r="HQ117" s="275"/>
      <c r="HR117" s="275"/>
      <c r="HS117" s="275"/>
      <c r="HT117" s="275"/>
      <c r="HU117" s="275"/>
      <c r="HV117" s="275"/>
      <c r="HW117" s="275"/>
      <c r="HX117" s="275"/>
      <c r="HY117" s="275"/>
      <c r="HZ117" s="275"/>
      <c r="IA117" s="275"/>
      <c r="IB117" s="275"/>
      <c r="IC117" s="275"/>
      <c r="ID117" s="275"/>
      <c r="IE117" s="275"/>
      <c r="IF117" s="275"/>
      <c r="IG117" s="275"/>
      <c r="IH117" s="275"/>
      <c r="II117" s="275"/>
      <c r="IJ117" s="275"/>
      <c r="IK117" s="275"/>
      <c r="IL117" s="275"/>
      <c r="IM117" s="275"/>
      <c r="IN117" s="275"/>
      <c r="IO117" s="275"/>
      <c r="IP117" s="275"/>
      <c r="IQ117" s="275"/>
      <c r="IR117" s="275"/>
      <c r="IS117" s="275"/>
      <c r="IT117" s="275"/>
      <c r="IU117" s="275"/>
      <c r="IV117" s="275"/>
    </row>
    <row r="118" spans="1:256" ht="15" x14ac:dyDescent="0.25">
      <c r="A118" s="368"/>
      <c r="B118" s="368"/>
      <c r="C118" s="368"/>
      <c r="D118" s="377" t="s">
        <v>195</v>
      </c>
      <c r="E118" s="377"/>
      <c r="F118" s="377"/>
      <c r="G118" s="377"/>
      <c r="H118" s="377"/>
      <c r="I118" s="377"/>
      <c r="J118" s="378">
        <f>J109</f>
        <v>37520.29</v>
      </c>
      <c r="K118" s="378"/>
      <c r="L118" s="378">
        <f>L109*0.925</f>
        <v>246345.7</v>
      </c>
      <c r="M118" s="287"/>
    </row>
    <row r="119" spans="1:256" ht="15" x14ac:dyDescent="0.25">
      <c r="A119" s="368"/>
      <c r="B119" s="368"/>
      <c r="C119" s="368"/>
      <c r="D119" s="383" t="s">
        <v>157</v>
      </c>
      <c r="E119" s="377"/>
      <c r="F119" s="377"/>
      <c r="G119" s="377"/>
      <c r="H119" s="377"/>
      <c r="I119" s="377"/>
      <c r="J119" s="384">
        <v>0</v>
      </c>
      <c r="K119" s="378"/>
      <c r="L119" s="384">
        <v>0</v>
      </c>
      <c r="M119" s="287"/>
    </row>
    <row r="120" spans="1:256" ht="15" x14ac:dyDescent="0.25">
      <c r="A120" s="368"/>
      <c r="B120" s="368"/>
      <c r="C120" s="368"/>
      <c r="D120" s="377" t="s">
        <v>196</v>
      </c>
      <c r="E120" s="377"/>
      <c r="F120" s="377"/>
      <c r="G120" s="377"/>
      <c r="H120" s="377"/>
      <c r="I120" s="377"/>
      <c r="J120" s="378">
        <f>J117*0.15</f>
        <v>1033.3599999999999</v>
      </c>
      <c r="K120" s="378"/>
      <c r="L120" s="378">
        <f>L117*0.15</f>
        <v>25038.28</v>
      </c>
      <c r="M120" s="287">
        <v>3257.75</v>
      </c>
    </row>
    <row r="121" spans="1:256" ht="15" x14ac:dyDescent="0.25">
      <c r="A121" s="368"/>
      <c r="B121" s="368"/>
      <c r="C121" s="368"/>
      <c r="D121" s="379" t="s">
        <v>199</v>
      </c>
      <c r="E121" s="380"/>
      <c r="F121" s="380"/>
      <c r="G121" s="380"/>
      <c r="H121" s="380"/>
      <c r="I121" s="380"/>
      <c r="J121" s="382">
        <f>J120+J115</f>
        <v>71306.13</v>
      </c>
      <c r="K121" s="380"/>
      <c r="L121" s="382">
        <f>L120+L115</f>
        <v>725737.2</v>
      </c>
      <c r="M121" s="287" t="e">
        <v>#REF!</v>
      </c>
    </row>
    <row r="122" spans="1:256" ht="15" x14ac:dyDescent="0.25">
      <c r="A122" s="368"/>
      <c r="B122" s="368"/>
      <c r="C122" s="368"/>
      <c r="D122" s="385"/>
      <c r="E122" s="385"/>
      <c r="F122" s="385"/>
      <c r="G122" s="385"/>
      <c r="H122" s="385"/>
      <c r="I122" s="385"/>
      <c r="J122" s="385"/>
      <c r="K122" s="385"/>
      <c r="L122" s="385"/>
      <c r="M122" s="287"/>
    </row>
    <row r="123" spans="1:256" ht="15" x14ac:dyDescent="0.25">
      <c r="A123" s="368"/>
      <c r="B123" s="368"/>
      <c r="C123" s="368"/>
      <c r="D123" s="385"/>
      <c r="E123" s="385"/>
      <c r="F123" s="385"/>
      <c r="G123" s="385"/>
      <c r="H123" s="385"/>
      <c r="I123" s="385"/>
      <c r="J123" s="385"/>
      <c r="K123" s="385"/>
      <c r="L123" s="385"/>
      <c r="M123" s="287"/>
    </row>
    <row r="124" spans="1:256" ht="15" x14ac:dyDescent="0.25">
      <c r="A124" s="368"/>
      <c r="B124" s="368"/>
      <c r="C124" s="368"/>
      <c r="D124" s="386" t="s">
        <v>200</v>
      </c>
      <c r="E124" s="387"/>
      <c r="F124" s="387"/>
      <c r="G124" s="387"/>
      <c r="H124" s="387"/>
      <c r="I124" s="388"/>
      <c r="J124" s="389">
        <f>J121</f>
        <v>71306.13</v>
      </c>
      <c r="K124" s="390"/>
      <c r="L124" s="389">
        <f>L121</f>
        <v>725737.2</v>
      </c>
      <c r="M124" s="287"/>
    </row>
    <row r="125" spans="1:256" ht="15" x14ac:dyDescent="0.25">
      <c r="A125" s="368"/>
      <c r="B125" s="368"/>
      <c r="C125" s="368"/>
      <c r="D125" s="391" t="s">
        <v>201</v>
      </c>
      <c r="E125" s="392"/>
      <c r="F125" s="392"/>
      <c r="G125" s="392"/>
      <c r="H125" s="392"/>
      <c r="I125" s="393"/>
      <c r="J125" s="394">
        <f>J116</f>
        <v>70272.77</v>
      </c>
      <c r="K125" s="395"/>
      <c r="L125" s="394">
        <f>L116</f>
        <v>700698.92</v>
      </c>
      <c r="M125" s="287"/>
    </row>
    <row r="126" spans="1:256" ht="15" x14ac:dyDescent="0.25">
      <c r="A126" s="368"/>
      <c r="B126" s="368"/>
      <c r="C126" s="368"/>
      <c r="D126" s="391" t="s">
        <v>202</v>
      </c>
      <c r="E126" s="392"/>
      <c r="F126" s="392"/>
      <c r="G126" s="392"/>
      <c r="H126" s="392"/>
      <c r="I126" s="393"/>
      <c r="J126" s="394">
        <f>J120</f>
        <v>1033.3599999999999</v>
      </c>
      <c r="K126" s="396"/>
      <c r="L126" s="394">
        <f>L120</f>
        <v>25038.28</v>
      </c>
      <c r="M126" s="287"/>
    </row>
    <row r="127" spans="1:256" ht="15" x14ac:dyDescent="0.25">
      <c r="A127" s="368"/>
      <c r="B127" s="368"/>
      <c r="C127" s="368"/>
      <c r="D127" s="391" t="s">
        <v>203</v>
      </c>
      <c r="E127" s="392"/>
      <c r="F127" s="392"/>
      <c r="G127" s="392"/>
      <c r="H127" s="392"/>
      <c r="I127" s="393"/>
      <c r="J127" s="394">
        <v>0</v>
      </c>
      <c r="K127" s="394"/>
      <c r="L127" s="394">
        <v>0</v>
      </c>
      <c r="M127" s="287"/>
    </row>
    <row r="128" spans="1:256" ht="15" x14ac:dyDescent="0.25">
      <c r="A128" s="368"/>
      <c r="B128" s="368"/>
      <c r="C128" s="368"/>
      <c r="D128" s="391" t="s">
        <v>204</v>
      </c>
      <c r="E128" s="392"/>
      <c r="F128" s="392"/>
      <c r="G128" s="392"/>
      <c r="H128" s="392"/>
      <c r="I128" s="393"/>
      <c r="J128" s="397">
        <v>0</v>
      </c>
      <c r="K128" s="397"/>
      <c r="L128" s="397">
        <v>0</v>
      </c>
      <c r="M128" s="287"/>
    </row>
    <row r="129" spans="1:12" ht="14.25" x14ac:dyDescent="0.2">
      <c r="A129" s="327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</row>
    <row r="130" spans="1:12" ht="14.25" x14ac:dyDescent="0.2">
      <c r="A130" s="327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</row>
    <row r="131" spans="1:12" ht="14.25" x14ac:dyDescent="0.2">
      <c r="A131" s="327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</row>
  </sheetData>
  <mergeCells count="98">
    <mergeCell ref="I2:L2"/>
    <mergeCell ref="I3:L3"/>
    <mergeCell ref="I4:L4"/>
    <mergeCell ref="J7:L7"/>
    <mergeCell ref="J8:L8"/>
    <mergeCell ref="C19:H19"/>
    <mergeCell ref="J19:L20"/>
    <mergeCell ref="C20:H20"/>
    <mergeCell ref="C10:H10"/>
    <mergeCell ref="C11:H11"/>
    <mergeCell ref="J11:L12"/>
    <mergeCell ref="C12:H12"/>
    <mergeCell ref="C13:H13"/>
    <mergeCell ref="J13:L14"/>
    <mergeCell ref="C14:H14"/>
    <mergeCell ref="J9:L10"/>
    <mergeCell ref="C15:H15"/>
    <mergeCell ref="J15:L16"/>
    <mergeCell ref="C16:H16"/>
    <mergeCell ref="C17:H17"/>
    <mergeCell ref="C18:H18"/>
    <mergeCell ref="A32:L32"/>
    <mergeCell ref="C21:H21"/>
    <mergeCell ref="G22:I22"/>
    <mergeCell ref="J22:L22"/>
    <mergeCell ref="G23:H23"/>
    <mergeCell ref="J23:L23"/>
    <mergeCell ref="J24:L24"/>
    <mergeCell ref="J25:L25"/>
    <mergeCell ref="G27:G28"/>
    <mergeCell ref="H27:H28"/>
    <mergeCell ref="I27:J27"/>
    <mergeCell ref="A31:L31"/>
    <mergeCell ref="A47:L47"/>
    <mergeCell ref="A48:L48"/>
    <mergeCell ref="J36:J40"/>
    <mergeCell ref="K36:K40"/>
    <mergeCell ref="L36:L40"/>
    <mergeCell ref="A37:A40"/>
    <mergeCell ref="B37:B40"/>
    <mergeCell ref="A36:B36"/>
    <mergeCell ref="C36:C40"/>
    <mergeCell ref="D36:D40"/>
    <mergeCell ref="E36:E40"/>
    <mergeCell ref="F36:F40"/>
    <mergeCell ref="G36:G40"/>
    <mergeCell ref="H36:H40"/>
    <mergeCell ref="I36:I40"/>
    <mergeCell ref="A46:L46"/>
    <mergeCell ref="A51:L51"/>
    <mergeCell ref="I62:J62"/>
    <mergeCell ref="K62:L62"/>
    <mergeCell ref="I67:J67"/>
    <mergeCell ref="K67:L67"/>
    <mergeCell ref="I69:J69"/>
    <mergeCell ref="K69:L69"/>
    <mergeCell ref="I71:J71"/>
    <mergeCell ref="K71:L71"/>
    <mergeCell ref="I73:J73"/>
    <mergeCell ref="K73:L73"/>
    <mergeCell ref="I75:J75"/>
    <mergeCell ref="K75:L75"/>
    <mergeCell ref="I77:J77"/>
    <mergeCell ref="K77:L77"/>
    <mergeCell ref="I79:J79"/>
    <mergeCell ref="K79:L79"/>
    <mergeCell ref="D102:H102"/>
    <mergeCell ref="D103:H103"/>
    <mergeCell ref="I96:J96"/>
    <mergeCell ref="K96:L96"/>
    <mergeCell ref="I97:J97"/>
    <mergeCell ref="K97:L97"/>
    <mergeCell ref="I98:J98"/>
    <mergeCell ref="K98:L98"/>
    <mergeCell ref="I99:J99"/>
    <mergeCell ref="K99:L99"/>
    <mergeCell ref="I100:J100"/>
    <mergeCell ref="K100:L100"/>
    <mergeCell ref="A93:H93"/>
    <mergeCell ref="I93:J93"/>
    <mergeCell ref="K93:L93"/>
    <mergeCell ref="I81:J81"/>
    <mergeCell ref="K81:L81"/>
    <mergeCell ref="I83:J83"/>
    <mergeCell ref="I87:J87"/>
    <mergeCell ref="K87:L87"/>
    <mergeCell ref="A89:H89"/>
    <mergeCell ref="I89:J89"/>
    <mergeCell ref="K89:L89"/>
    <mergeCell ref="K83:L83"/>
    <mergeCell ref="I85:J85"/>
    <mergeCell ref="K85:L85"/>
    <mergeCell ref="A33:L33"/>
    <mergeCell ref="A34:L34"/>
    <mergeCell ref="A43:L43"/>
    <mergeCell ref="A44:L44"/>
    <mergeCell ref="A45:L45"/>
    <mergeCell ref="A35:L35"/>
  </mergeCells>
  <pageMargins left="0.4" right="0.2" top="0.2" bottom="0.4" header="0.2" footer="0.2"/>
  <pageSetup paperSize="9" scale="58" fitToHeight="0" orientation="portrait" r:id="rId1"/>
  <headerFooter>
    <oddHeader>&amp;L&amp;8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V120"/>
  <sheetViews>
    <sheetView view="pageBreakPreview" topLeftCell="A51" zoomScale="85" zoomScaleNormal="55" zoomScaleSheetLayoutView="85" workbookViewId="0">
      <selection activeCell="A82" sqref="A82:H82"/>
    </sheetView>
  </sheetViews>
  <sheetFormatPr defaultRowHeight="12.75" x14ac:dyDescent="0.2"/>
  <cols>
    <col min="1" max="2" width="5.7109375" style="326" customWidth="1"/>
    <col min="3" max="3" width="11.7109375" style="326" customWidth="1"/>
    <col min="4" max="4" width="40.7109375" style="326" customWidth="1"/>
    <col min="5" max="6" width="11.7109375" style="326" customWidth="1"/>
    <col min="7" max="7" width="13.5703125" style="326" customWidth="1"/>
    <col min="8" max="8" width="12.7109375" style="326" customWidth="1"/>
    <col min="9" max="9" width="10.7109375" style="326" customWidth="1"/>
    <col min="10" max="12" width="12.7109375" style="326" customWidth="1"/>
    <col min="13" max="13" width="11.85546875" style="326" bestFit="1" customWidth="1"/>
    <col min="14" max="14" width="9.140625" style="326"/>
    <col min="15" max="35" width="0" style="326" hidden="1" customWidth="1"/>
    <col min="36" max="36" width="99.7109375" style="326" hidden="1" customWidth="1"/>
    <col min="37" max="37" width="155.7109375" style="326" hidden="1" customWidth="1"/>
    <col min="38" max="38" width="109.7109375" style="326" hidden="1" customWidth="1"/>
    <col min="39" max="42" width="0" style="326" hidden="1" customWidth="1"/>
    <col min="43" max="16384" width="9.140625" style="326"/>
  </cols>
  <sheetData>
    <row r="1" spans="1:12" hidden="1" x14ac:dyDescent="0.2">
      <c r="A1" s="325" t="str">
        <f>[83]Source!B1</f>
        <v>Smeta.RU  (495) 974-1589</v>
      </c>
    </row>
    <row r="2" spans="1:12" ht="15" hidden="1" x14ac:dyDescent="0.25">
      <c r="A2" s="327"/>
      <c r="B2" s="327"/>
      <c r="C2" s="328"/>
      <c r="D2" s="328"/>
      <c r="E2" s="328"/>
      <c r="F2" s="327"/>
      <c r="G2" s="327"/>
      <c r="H2" s="327"/>
      <c r="I2" s="667" t="s">
        <v>0</v>
      </c>
      <c r="J2" s="667"/>
      <c r="K2" s="667"/>
      <c r="L2" s="667"/>
    </row>
    <row r="3" spans="1:12" ht="14.25" hidden="1" x14ac:dyDescent="0.2">
      <c r="A3" s="327"/>
      <c r="B3" s="327"/>
      <c r="C3" s="327"/>
      <c r="D3" s="327"/>
      <c r="E3" s="327"/>
      <c r="F3" s="327"/>
      <c r="G3" s="327"/>
      <c r="H3" s="327"/>
      <c r="I3" s="667" t="s">
        <v>1</v>
      </c>
      <c r="J3" s="667"/>
      <c r="K3" s="667"/>
      <c r="L3" s="667"/>
    </row>
    <row r="4" spans="1:12" ht="14.25" hidden="1" x14ac:dyDescent="0.2">
      <c r="A4" s="327"/>
      <c r="B4" s="327"/>
      <c r="C4" s="327"/>
      <c r="D4" s="327"/>
      <c r="E4" s="327"/>
      <c r="F4" s="327"/>
      <c r="G4" s="327"/>
      <c r="H4" s="327"/>
      <c r="I4" s="667" t="s">
        <v>2</v>
      </c>
      <c r="J4" s="667"/>
      <c r="K4" s="667"/>
      <c r="L4" s="667"/>
    </row>
    <row r="5" spans="1:12" ht="14.25" hidden="1" x14ac:dyDescent="0.2">
      <c r="A5" s="327"/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</row>
    <row r="6" spans="1:12" ht="14.25" hidden="1" x14ac:dyDescent="0.2">
      <c r="A6" s="327"/>
      <c r="B6" s="327"/>
      <c r="C6" s="327"/>
      <c r="D6" s="327"/>
      <c r="E6" s="327"/>
      <c r="F6" s="327"/>
      <c r="G6" s="327"/>
      <c r="H6" s="327"/>
      <c r="I6" s="327"/>
      <c r="J6" s="651" t="s">
        <v>3</v>
      </c>
      <c r="K6" s="651"/>
      <c r="L6" s="651"/>
    </row>
    <row r="7" spans="1:12" ht="14.25" hidden="1" x14ac:dyDescent="0.2">
      <c r="A7" s="327"/>
      <c r="B7" s="327"/>
      <c r="C7" s="327"/>
      <c r="D7" s="327"/>
      <c r="E7" s="327"/>
      <c r="F7" s="327"/>
      <c r="G7" s="327"/>
      <c r="H7" s="327"/>
      <c r="I7" s="329" t="s">
        <v>4</v>
      </c>
      <c r="J7" s="668" t="s">
        <v>5</v>
      </c>
      <c r="K7" s="668"/>
      <c r="L7" s="668"/>
    </row>
    <row r="8" spans="1:12" ht="14.25" hidden="1" x14ac:dyDescent="0.2">
      <c r="A8" s="327"/>
      <c r="B8" s="327"/>
      <c r="C8" s="327"/>
      <c r="D8" s="327"/>
      <c r="E8" s="327"/>
      <c r="F8" s="327"/>
      <c r="G8" s="327"/>
      <c r="H8" s="327"/>
      <c r="I8" s="327"/>
      <c r="J8" s="666" t="s">
        <v>6</v>
      </c>
      <c r="K8" s="666"/>
      <c r="L8" s="666"/>
    </row>
    <row r="9" spans="1:12" ht="14.25" hidden="1" x14ac:dyDescent="0.2">
      <c r="A9" s="327" t="s">
        <v>218</v>
      </c>
      <c r="B9" s="327"/>
      <c r="C9" s="611" t="s">
        <v>219</v>
      </c>
      <c r="D9" s="611"/>
      <c r="E9" s="611"/>
      <c r="F9" s="611"/>
      <c r="G9" s="611"/>
      <c r="H9" s="611"/>
      <c r="I9" s="329" t="s">
        <v>9</v>
      </c>
      <c r="J9" s="666"/>
      <c r="K9" s="666"/>
      <c r="L9" s="666"/>
    </row>
    <row r="10" spans="1:12" ht="14.25" hidden="1" x14ac:dyDescent="0.2">
      <c r="A10" s="327"/>
      <c r="B10" s="327"/>
      <c r="C10" s="648" t="s">
        <v>10</v>
      </c>
      <c r="D10" s="648"/>
      <c r="E10" s="648"/>
      <c r="F10" s="648"/>
      <c r="G10" s="648"/>
      <c r="H10" s="648"/>
      <c r="I10" s="327"/>
      <c r="J10" s="660" t="s">
        <v>11</v>
      </c>
      <c r="K10" s="661"/>
      <c r="L10" s="662"/>
    </row>
    <row r="11" spans="1:12" ht="14.25" hidden="1" x14ac:dyDescent="0.2">
      <c r="A11" s="327" t="s">
        <v>220</v>
      </c>
      <c r="B11" s="327"/>
      <c r="C11" s="611" t="s">
        <v>221</v>
      </c>
      <c r="D11" s="611"/>
      <c r="E11" s="611"/>
      <c r="F11" s="611"/>
      <c r="G11" s="611"/>
      <c r="H11" s="611"/>
      <c r="I11" s="329" t="s">
        <v>9</v>
      </c>
      <c r="J11" s="663"/>
      <c r="K11" s="664"/>
      <c r="L11" s="665"/>
    </row>
    <row r="12" spans="1:12" ht="14.25" hidden="1" x14ac:dyDescent="0.2">
      <c r="A12" s="327"/>
      <c r="B12" s="327"/>
      <c r="C12" s="648" t="s">
        <v>10</v>
      </c>
      <c r="D12" s="648"/>
      <c r="E12" s="648"/>
      <c r="F12" s="648"/>
      <c r="G12" s="648"/>
      <c r="H12" s="648"/>
      <c r="I12" s="327"/>
      <c r="J12" s="666">
        <v>29478604</v>
      </c>
      <c r="K12" s="666"/>
      <c r="L12" s="666"/>
    </row>
    <row r="13" spans="1:12" ht="14.25" hidden="1" x14ac:dyDescent="0.2">
      <c r="A13" s="327" t="s">
        <v>15</v>
      </c>
      <c r="B13" s="327"/>
      <c r="C13" s="611" t="s">
        <v>222</v>
      </c>
      <c r="D13" s="611"/>
      <c r="E13" s="611"/>
      <c r="F13" s="611"/>
      <c r="G13" s="611"/>
      <c r="H13" s="611"/>
      <c r="I13" s="329" t="s">
        <v>9</v>
      </c>
      <c r="J13" s="666"/>
      <c r="K13" s="666"/>
      <c r="L13" s="666"/>
    </row>
    <row r="14" spans="1:12" ht="14.25" hidden="1" x14ac:dyDescent="0.2">
      <c r="A14" s="327"/>
      <c r="B14" s="327"/>
      <c r="C14" s="648" t="s">
        <v>10</v>
      </c>
      <c r="D14" s="648"/>
      <c r="E14" s="648"/>
      <c r="F14" s="648"/>
      <c r="G14" s="648"/>
      <c r="H14" s="648"/>
      <c r="I14" s="327"/>
      <c r="J14" s="660" t="s">
        <v>132</v>
      </c>
      <c r="K14" s="661"/>
      <c r="L14" s="662"/>
    </row>
    <row r="15" spans="1:12" ht="14.25" hidden="1" customHeight="1" x14ac:dyDescent="0.2">
      <c r="A15" s="327" t="s">
        <v>185</v>
      </c>
      <c r="B15" s="327"/>
      <c r="C15" s="611" t="s">
        <v>213</v>
      </c>
      <c r="D15" s="611"/>
      <c r="E15" s="611"/>
      <c r="F15" s="611"/>
      <c r="G15" s="611"/>
      <c r="H15" s="611"/>
      <c r="I15" s="329" t="s">
        <v>9</v>
      </c>
      <c r="J15" s="663"/>
      <c r="K15" s="664"/>
      <c r="L15" s="665"/>
    </row>
    <row r="16" spans="1:12" ht="14.25" hidden="1" x14ac:dyDescent="0.2">
      <c r="A16" s="327"/>
      <c r="B16" s="327"/>
      <c r="C16" s="648" t="s">
        <v>10</v>
      </c>
      <c r="D16" s="648"/>
      <c r="E16" s="648"/>
      <c r="F16" s="648"/>
      <c r="G16" s="648"/>
      <c r="H16" s="648"/>
      <c r="I16" s="327"/>
      <c r="J16" s="330"/>
      <c r="K16" s="331"/>
      <c r="L16" s="332"/>
    </row>
    <row r="17" spans="1:36" ht="29.25" hidden="1" customHeight="1" x14ac:dyDescent="0.2">
      <c r="A17" s="327" t="s">
        <v>17</v>
      </c>
      <c r="B17" s="327"/>
      <c r="C17" s="659" t="s">
        <v>223</v>
      </c>
      <c r="D17" s="659"/>
      <c r="E17" s="659"/>
      <c r="F17" s="659"/>
      <c r="G17" s="659"/>
      <c r="H17" s="659"/>
      <c r="I17" s="327"/>
      <c r="J17" s="333"/>
      <c r="K17" s="334"/>
      <c r="L17" s="335"/>
      <c r="AJ17" s="336" t="s">
        <v>224</v>
      </c>
    </row>
    <row r="18" spans="1:36" ht="14.25" hidden="1" x14ac:dyDescent="0.2">
      <c r="A18" s="327"/>
      <c r="B18" s="327"/>
      <c r="C18" s="648" t="s">
        <v>20</v>
      </c>
      <c r="D18" s="648"/>
      <c r="E18" s="648"/>
      <c r="F18" s="648"/>
      <c r="G18" s="648"/>
      <c r="H18" s="648"/>
      <c r="I18" s="327"/>
      <c r="J18" s="651"/>
      <c r="K18" s="651"/>
      <c r="L18" s="651"/>
    </row>
    <row r="19" spans="1:36" ht="28.5" hidden="1" customHeight="1" x14ac:dyDescent="0.2">
      <c r="A19" s="327" t="s">
        <v>21</v>
      </c>
      <c r="B19" s="327"/>
      <c r="C19" s="659" t="s">
        <v>223</v>
      </c>
      <c r="D19" s="659"/>
      <c r="E19" s="659"/>
      <c r="F19" s="659"/>
      <c r="G19" s="659"/>
      <c r="H19" s="659"/>
      <c r="I19" s="327"/>
      <c r="J19" s="651"/>
      <c r="K19" s="651"/>
      <c r="L19" s="651"/>
      <c r="AJ19" s="337" t="str">
        <f>IF([80]Source!G12&lt;&gt;"Новый объект", [80]Source!G12, "")</f>
        <v>12-4017-Л-Р-8.3.1-ВК-СМ1 Инженерные системы. Тонельный водопровод и водоотвод</v>
      </c>
    </row>
    <row r="20" spans="1:36" ht="14.25" hidden="1" x14ac:dyDescent="0.2">
      <c r="A20" s="327"/>
      <c r="B20" s="327"/>
      <c r="C20" s="648" t="s">
        <v>22</v>
      </c>
      <c r="D20" s="648"/>
      <c r="E20" s="648"/>
      <c r="F20" s="648"/>
      <c r="G20" s="648"/>
      <c r="H20" s="648"/>
      <c r="I20" s="327"/>
      <c r="J20" s="327"/>
      <c r="K20" s="327"/>
      <c r="L20" s="327"/>
    </row>
    <row r="21" spans="1:36" ht="14.25" hidden="1" x14ac:dyDescent="0.2">
      <c r="A21" s="327"/>
      <c r="B21" s="327"/>
      <c r="C21" s="327"/>
      <c r="D21" s="327"/>
      <c r="E21" s="327"/>
      <c r="F21" s="327"/>
      <c r="G21" s="649" t="s">
        <v>23</v>
      </c>
      <c r="H21" s="649"/>
      <c r="I21" s="650"/>
      <c r="J21" s="651"/>
      <c r="K21" s="651"/>
      <c r="L21" s="651"/>
    </row>
    <row r="22" spans="1:36" ht="14.25" hidden="1" x14ac:dyDescent="0.2">
      <c r="A22" s="327"/>
      <c r="B22" s="327"/>
      <c r="C22" s="327"/>
      <c r="D22" s="327"/>
      <c r="E22" s="327"/>
      <c r="F22" s="327"/>
      <c r="G22" s="649" t="s">
        <v>24</v>
      </c>
      <c r="H22" s="652"/>
      <c r="I22" s="338" t="s">
        <v>25</v>
      </c>
      <c r="J22" s="651" t="s">
        <v>225</v>
      </c>
      <c r="K22" s="651"/>
      <c r="L22" s="651"/>
    </row>
    <row r="23" spans="1:36" ht="14.25" hidden="1" x14ac:dyDescent="0.2">
      <c r="A23" s="327"/>
      <c r="B23" s="327"/>
      <c r="C23" s="327"/>
      <c r="D23" s="327"/>
      <c r="E23" s="327"/>
      <c r="F23" s="327"/>
      <c r="G23" s="327"/>
      <c r="H23" s="327"/>
      <c r="I23" s="339" t="s">
        <v>26</v>
      </c>
      <c r="J23" s="653">
        <v>43713</v>
      </c>
      <c r="K23" s="653"/>
      <c r="L23" s="653"/>
    </row>
    <row r="24" spans="1:36" ht="14.25" hidden="1" x14ac:dyDescent="0.2">
      <c r="A24" s="327"/>
      <c r="B24" s="327"/>
      <c r="C24" s="327"/>
      <c r="D24" s="327"/>
      <c r="E24" s="327"/>
      <c r="F24" s="327"/>
      <c r="G24" s="327"/>
      <c r="H24" s="327"/>
      <c r="I24" s="329" t="s">
        <v>27</v>
      </c>
      <c r="J24" s="651"/>
      <c r="K24" s="651"/>
      <c r="L24" s="651"/>
    </row>
    <row r="25" spans="1:36" ht="14.25" hidden="1" x14ac:dyDescent="0.2">
      <c r="A25" s="327"/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</row>
    <row r="26" spans="1:36" ht="14.25" hidden="1" x14ac:dyDescent="0.2">
      <c r="A26" s="327"/>
      <c r="B26" s="327"/>
      <c r="C26" s="327"/>
      <c r="D26" s="327"/>
      <c r="E26" s="327"/>
      <c r="F26" s="327"/>
      <c r="G26" s="654" t="s">
        <v>28</v>
      </c>
      <c r="H26" s="656" t="s">
        <v>29</v>
      </c>
      <c r="I26" s="656" t="s">
        <v>30</v>
      </c>
      <c r="J26" s="658"/>
      <c r="K26" s="327"/>
      <c r="L26" s="327"/>
    </row>
    <row r="27" spans="1:36" ht="14.25" hidden="1" x14ac:dyDescent="0.2">
      <c r="A27" s="327"/>
      <c r="B27" s="327"/>
      <c r="C27" s="327"/>
      <c r="D27" s="327"/>
      <c r="E27" s="327"/>
      <c r="F27" s="327"/>
      <c r="G27" s="655"/>
      <c r="H27" s="657"/>
      <c r="I27" s="340" t="s">
        <v>31</v>
      </c>
      <c r="J27" s="341" t="s">
        <v>32</v>
      </c>
      <c r="K27" s="327"/>
      <c r="L27" s="327"/>
    </row>
    <row r="28" spans="1:36" ht="14.25" hidden="1" x14ac:dyDescent="0.2">
      <c r="A28" s="327"/>
      <c r="B28" s="327"/>
      <c r="C28" s="327"/>
      <c r="D28" s="327"/>
      <c r="E28" s="327"/>
      <c r="F28" s="327"/>
      <c r="G28" s="342">
        <v>44083</v>
      </c>
      <c r="H28" s="342">
        <v>44012</v>
      </c>
      <c r="I28" s="342" t="s">
        <v>237</v>
      </c>
      <c r="J28" s="343" t="s">
        <v>238</v>
      </c>
      <c r="K28" s="327"/>
      <c r="L28" s="327"/>
    </row>
    <row r="29" spans="1:36" ht="14.25" hidden="1" x14ac:dyDescent="0.2">
      <c r="A29" s="327"/>
      <c r="B29" s="327"/>
      <c r="C29" s="327"/>
      <c r="D29" s="327"/>
      <c r="E29" s="327"/>
      <c r="F29" s="327"/>
      <c r="G29" s="327"/>
      <c r="H29" s="327"/>
      <c r="I29" s="327"/>
      <c r="J29" s="327"/>
      <c r="K29" s="327"/>
      <c r="L29" s="327"/>
    </row>
    <row r="30" spans="1:36" ht="18" hidden="1" x14ac:dyDescent="0.25">
      <c r="A30" s="647" t="s">
        <v>34</v>
      </c>
      <c r="B30" s="647"/>
      <c r="C30" s="647"/>
      <c r="D30" s="647"/>
      <c r="E30" s="647"/>
      <c r="F30" s="647"/>
      <c r="G30" s="647"/>
      <c r="H30" s="647"/>
      <c r="I30" s="647"/>
      <c r="J30" s="647"/>
      <c r="K30" s="647"/>
      <c r="L30" s="647"/>
    </row>
    <row r="31" spans="1:36" ht="18" hidden="1" x14ac:dyDescent="0.25">
      <c r="A31" s="647" t="s">
        <v>35</v>
      </c>
      <c r="B31" s="647"/>
      <c r="C31" s="647"/>
      <c r="D31" s="647"/>
      <c r="E31" s="647"/>
      <c r="F31" s="647"/>
      <c r="G31" s="647"/>
      <c r="H31" s="647"/>
      <c r="I31" s="647"/>
      <c r="J31" s="647"/>
      <c r="K31" s="647"/>
      <c r="L31" s="647"/>
    </row>
    <row r="32" spans="1:36" ht="15" x14ac:dyDescent="0.25">
      <c r="A32" s="615" t="s">
        <v>383</v>
      </c>
      <c r="B32" s="615"/>
      <c r="C32" s="615"/>
      <c r="D32" s="615"/>
      <c r="E32" s="615"/>
      <c r="F32" s="615"/>
      <c r="G32" s="615"/>
      <c r="H32" s="615"/>
      <c r="I32" s="615"/>
      <c r="J32" s="615"/>
      <c r="K32" s="615"/>
      <c r="L32" s="615"/>
    </row>
    <row r="33" spans="1:37" ht="15" x14ac:dyDescent="0.2">
      <c r="A33" s="591" t="s">
        <v>239</v>
      </c>
      <c r="B33" s="591"/>
      <c r="C33" s="591"/>
      <c r="D33" s="591"/>
      <c r="E33" s="591"/>
      <c r="F33" s="591"/>
      <c r="G33" s="591"/>
      <c r="H33" s="591"/>
      <c r="I33" s="591"/>
      <c r="J33" s="591"/>
      <c r="K33" s="591"/>
      <c r="L33" s="591"/>
    </row>
    <row r="34" spans="1:37" ht="28.5" x14ac:dyDescent="0.2">
      <c r="A34" s="611" t="s">
        <v>226</v>
      </c>
      <c r="B34" s="611"/>
      <c r="C34" s="611"/>
      <c r="D34" s="611"/>
      <c r="E34" s="611"/>
      <c r="F34" s="611"/>
      <c r="G34" s="611"/>
      <c r="H34" s="611"/>
      <c r="I34" s="611"/>
      <c r="J34" s="611"/>
      <c r="K34" s="611"/>
      <c r="L34" s="611"/>
      <c r="AK34" s="336" t="s">
        <v>226</v>
      </c>
    </row>
    <row r="35" spans="1:37" ht="14.25" x14ac:dyDescent="0.2">
      <c r="A35" s="642" t="s">
        <v>36</v>
      </c>
      <c r="B35" s="642"/>
      <c r="C35" s="642" t="s">
        <v>37</v>
      </c>
      <c r="D35" s="642" t="s">
        <v>38</v>
      </c>
      <c r="E35" s="642" t="s">
        <v>39</v>
      </c>
      <c r="F35" s="642" t="s">
        <v>40</v>
      </c>
      <c r="G35" s="642" t="s">
        <v>41</v>
      </c>
      <c r="H35" s="643" t="s">
        <v>42</v>
      </c>
      <c r="I35" s="643" t="s">
        <v>43</v>
      </c>
      <c r="J35" s="642" t="s">
        <v>227</v>
      </c>
      <c r="K35" s="642" t="s">
        <v>44</v>
      </c>
      <c r="L35" s="642" t="s">
        <v>45</v>
      </c>
    </row>
    <row r="36" spans="1:37" x14ac:dyDescent="0.2">
      <c r="A36" s="643" t="s">
        <v>46</v>
      </c>
      <c r="B36" s="643" t="s">
        <v>47</v>
      </c>
      <c r="C36" s="642"/>
      <c r="D36" s="642"/>
      <c r="E36" s="642"/>
      <c r="F36" s="642"/>
      <c r="G36" s="642"/>
      <c r="H36" s="644"/>
      <c r="I36" s="644"/>
      <c r="J36" s="642"/>
      <c r="K36" s="642"/>
      <c r="L36" s="642"/>
    </row>
    <row r="37" spans="1:37" x14ac:dyDescent="0.2">
      <c r="A37" s="644"/>
      <c r="B37" s="644"/>
      <c r="C37" s="642"/>
      <c r="D37" s="642"/>
      <c r="E37" s="642"/>
      <c r="F37" s="642"/>
      <c r="G37" s="642"/>
      <c r="H37" s="644"/>
      <c r="I37" s="644"/>
      <c r="J37" s="642"/>
      <c r="K37" s="642"/>
      <c r="L37" s="642"/>
    </row>
    <row r="38" spans="1:37" ht="20.100000000000001" customHeight="1" x14ac:dyDescent="0.2">
      <c r="A38" s="644"/>
      <c r="B38" s="644"/>
      <c r="C38" s="642"/>
      <c r="D38" s="642"/>
      <c r="E38" s="642"/>
      <c r="F38" s="642"/>
      <c r="G38" s="642"/>
      <c r="H38" s="644"/>
      <c r="I38" s="644"/>
      <c r="J38" s="642"/>
      <c r="K38" s="642"/>
      <c r="L38" s="642"/>
    </row>
    <row r="39" spans="1:37" ht="20.100000000000001" customHeight="1" x14ac:dyDescent="0.2">
      <c r="A39" s="645"/>
      <c r="B39" s="645"/>
      <c r="C39" s="642"/>
      <c r="D39" s="642"/>
      <c r="E39" s="642"/>
      <c r="F39" s="642"/>
      <c r="G39" s="642"/>
      <c r="H39" s="645"/>
      <c r="I39" s="645"/>
      <c r="J39" s="642"/>
      <c r="K39" s="642"/>
      <c r="L39" s="642"/>
    </row>
    <row r="40" spans="1:37" ht="14.25" x14ac:dyDescent="0.2">
      <c r="A40" s="344">
        <v>1</v>
      </c>
      <c r="B40" s="344">
        <v>2</v>
      </c>
      <c r="C40" s="344">
        <v>3</v>
      </c>
      <c r="D40" s="344">
        <v>4</v>
      </c>
      <c r="E40" s="344">
        <v>5</v>
      </c>
      <c r="F40" s="344">
        <v>6</v>
      </c>
      <c r="G40" s="344">
        <v>7</v>
      </c>
      <c r="H40" s="344">
        <v>8</v>
      </c>
      <c r="I40" s="344">
        <v>9</v>
      </c>
      <c r="J40" s="344">
        <v>10</v>
      </c>
      <c r="K40" s="344">
        <v>11</v>
      </c>
      <c r="L40" s="344">
        <v>12</v>
      </c>
    </row>
    <row r="42" spans="1:37" ht="15.75" x14ac:dyDescent="0.25">
      <c r="A42" s="592" t="s">
        <v>48</v>
      </c>
      <c r="B42" s="592"/>
      <c r="C42" s="592"/>
      <c r="D42" s="592"/>
      <c r="E42" s="592"/>
      <c r="F42" s="592"/>
      <c r="G42" s="592"/>
      <c r="H42" s="592"/>
      <c r="I42" s="592"/>
      <c r="J42" s="592"/>
      <c r="K42" s="592"/>
      <c r="L42" s="592"/>
    </row>
    <row r="43" spans="1:37" ht="15.75" x14ac:dyDescent="0.25">
      <c r="A43" s="592" t="s">
        <v>381</v>
      </c>
      <c r="B43" s="592"/>
      <c r="C43" s="592"/>
      <c r="D43" s="592"/>
      <c r="E43" s="592"/>
      <c r="F43" s="592"/>
      <c r="G43" s="592"/>
      <c r="H43" s="592"/>
      <c r="I43" s="592"/>
      <c r="J43" s="592"/>
      <c r="K43" s="592"/>
      <c r="L43" s="592"/>
    </row>
    <row r="44" spans="1:37" ht="15.75" x14ac:dyDescent="0.25">
      <c r="A44" s="592" t="s">
        <v>382</v>
      </c>
      <c r="B44" s="592"/>
      <c r="C44" s="592"/>
      <c r="D44" s="592"/>
      <c r="E44" s="592"/>
      <c r="F44" s="592"/>
      <c r="G44" s="592"/>
      <c r="H44" s="592"/>
      <c r="I44" s="592"/>
      <c r="J44" s="592"/>
      <c r="K44" s="592"/>
      <c r="L44" s="592"/>
    </row>
    <row r="45" spans="1:37" ht="15.75" hidden="1" x14ac:dyDescent="0.25">
      <c r="A45" s="593" t="s">
        <v>49</v>
      </c>
      <c r="B45" s="594"/>
      <c r="C45" s="594"/>
      <c r="D45" s="594"/>
      <c r="E45" s="594"/>
      <c r="F45" s="594"/>
      <c r="G45" s="594"/>
      <c r="H45" s="594"/>
      <c r="I45" s="594"/>
      <c r="J45" s="594"/>
      <c r="K45" s="594"/>
      <c r="L45" s="595"/>
    </row>
    <row r="46" spans="1:37" ht="15.75" hidden="1" x14ac:dyDescent="0.2">
      <c r="A46" s="596" t="s">
        <v>50</v>
      </c>
      <c r="B46" s="596"/>
      <c r="C46" s="596"/>
      <c r="D46" s="596"/>
      <c r="E46" s="596"/>
      <c r="F46" s="596"/>
      <c r="G46" s="596"/>
      <c r="H46" s="596"/>
      <c r="I46" s="596"/>
      <c r="J46" s="596"/>
      <c r="K46" s="596"/>
      <c r="L46" s="596"/>
    </row>
    <row r="47" spans="1:37" ht="15.75" hidden="1" x14ac:dyDescent="0.2">
      <c r="A47" s="596" t="s">
        <v>51</v>
      </c>
      <c r="B47" s="596"/>
      <c r="C47" s="596"/>
      <c r="D47" s="596"/>
      <c r="E47" s="596"/>
      <c r="F47" s="596"/>
      <c r="G47" s="596"/>
      <c r="H47" s="596"/>
      <c r="I47" s="596"/>
      <c r="J47" s="596"/>
      <c r="K47" s="596"/>
      <c r="L47" s="596"/>
    </row>
    <row r="48" spans="1:37" ht="14.25" x14ac:dyDescent="0.2">
      <c r="A48" s="14" t="s">
        <v>379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49" spans="1:27" ht="16.5" x14ac:dyDescent="0.25">
      <c r="A49" s="646" t="s">
        <v>249</v>
      </c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</row>
    <row r="50" spans="1:27" ht="71.25" x14ac:dyDescent="0.2">
      <c r="A50" s="346">
        <v>1</v>
      </c>
      <c r="B50" s="346" t="str">
        <f>[83]Source!E2201</f>
        <v>616</v>
      </c>
      <c r="C50" s="347" t="str">
        <f>[83]Source!F2201</f>
        <v>3.16-16-4</v>
      </c>
      <c r="D50" s="347" t="s">
        <v>250</v>
      </c>
      <c r="E50" s="348" t="str">
        <f>[83]Source!H2201</f>
        <v>1  ШТ.</v>
      </c>
      <c r="F50" s="329">
        <f>[83]Source!I2201</f>
        <v>4</v>
      </c>
      <c r="G50" s="349"/>
      <c r="H50" s="350"/>
      <c r="I50" s="329"/>
      <c r="J50" s="351"/>
      <c r="K50" s="329"/>
      <c r="L50" s="351"/>
      <c r="Q50" s="326">
        <f>ROUND(([83]Source!DN2201/100)*ROUND((ROUND(([83]Source!AF2201*[83]Source!AV2201*[83]Source!I2201),2)),2), 2)</f>
        <v>432.29</v>
      </c>
      <c r="R50" s="326">
        <f>[83]Source!X2201</f>
        <v>8379.4599999999991</v>
      </c>
      <c r="S50" s="326">
        <f>ROUND(([83]Source!DO2201/100)*ROUND((ROUND(([83]Source!AF2201*[83]Source!AV2201*[83]Source!I2201),2)),2), 2)</f>
        <v>325.08</v>
      </c>
      <c r="T50" s="326">
        <f>[83]Source!Y2201</f>
        <v>3770.76</v>
      </c>
      <c r="U50" s="326">
        <f>ROUND((175/100)*ROUND((ROUND(([83]Source!AE2201*[83]Source!AV2201*[83]Source!I2201),2)),2), 2)</f>
        <v>31.68</v>
      </c>
      <c r="V50" s="326">
        <f>ROUND((157/100)*ROUND(ROUND((ROUND(([83]Source!AE2201*[83]Source!AV2201*[83]Source!I2201),2)*[83]Source!BS2201),2), 2), 2)</f>
        <v>688.54</v>
      </c>
    </row>
    <row r="51" spans="1:27" ht="14.25" x14ac:dyDescent="0.2">
      <c r="A51" s="346"/>
      <c r="B51" s="346"/>
      <c r="C51" s="347"/>
      <c r="D51" s="347" t="s">
        <v>52</v>
      </c>
      <c r="E51" s="348"/>
      <c r="F51" s="329"/>
      <c r="G51" s="349">
        <f>[83]Source!AO2201</f>
        <v>48.52</v>
      </c>
      <c r="H51" s="350" t="str">
        <f>[83]Source!DG2201</f>
        <v>*1,67</v>
      </c>
      <c r="I51" s="329">
        <f>[83]Source!AV2201</f>
        <v>1.0669999999999999</v>
      </c>
      <c r="J51" s="351">
        <f>ROUND((ROUND(([83]Source!AF2201*[83]Source!AV2201*[83]Source!I2201),2)),2)</f>
        <v>345.83</v>
      </c>
      <c r="K51" s="329">
        <f>IF([83]Source!BA2201&lt;&gt; 0, [83]Source!BA2201, 1)</f>
        <v>24.23</v>
      </c>
      <c r="L51" s="351">
        <f>[83]Source!S2201</f>
        <v>8379.4599999999991</v>
      </c>
      <c r="W51" s="326">
        <f>J51</f>
        <v>345.83</v>
      </c>
    </row>
    <row r="52" spans="1:27" ht="14.25" x14ac:dyDescent="0.2">
      <c r="A52" s="346"/>
      <c r="B52" s="346"/>
      <c r="C52" s="347"/>
      <c r="D52" s="347" t="s">
        <v>53</v>
      </c>
      <c r="E52" s="348"/>
      <c r="F52" s="329"/>
      <c r="G52" s="349">
        <f>[83]Source!AM2201</f>
        <v>10.23</v>
      </c>
      <c r="H52" s="350">
        <f>[83]Source!DE2201</f>
        <v>0</v>
      </c>
      <c r="I52" s="329">
        <f>[83]Source!AV2201</f>
        <v>1.0669999999999999</v>
      </c>
      <c r="J52" s="351">
        <f>(ROUND((ROUND((([83]Source!ET2201)*[83]Source!AV2201*[83]Source!I2201),2)),2)+ROUND((ROUND((([83]Source!AE2201-([83]Source!EU2201))*[83]Source!AV2201*[83]Source!I2201),2)),2))-J61</f>
        <v>43.66</v>
      </c>
      <c r="K52" s="329">
        <f>IF([83]Source!BB2201&lt;&gt; 0, [83]Source!BB2201, 1)</f>
        <v>10.199999999999999</v>
      </c>
      <c r="L52" s="351">
        <f>[83]Source!Q2201-L61</f>
        <v>445.25</v>
      </c>
    </row>
    <row r="53" spans="1:27" ht="14.25" x14ac:dyDescent="0.2">
      <c r="A53" s="346"/>
      <c r="B53" s="346"/>
      <c r="C53" s="347"/>
      <c r="D53" s="347" t="s">
        <v>54</v>
      </c>
      <c r="E53" s="348"/>
      <c r="F53" s="329"/>
      <c r="G53" s="349">
        <f>[83]Source!AN2201</f>
        <v>2.54</v>
      </c>
      <c r="H53" s="350">
        <f>[83]Source!DE2201</f>
        <v>0</v>
      </c>
      <c r="I53" s="329">
        <f>[83]Source!AV2201</f>
        <v>1.0669999999999999</v>
      </c>
      <c r="J53" s="352">
        <f>ROUND((ROUND(([83]Source!AE2201*[83]Source!AV2201*[83]Source!I2201),2)),2)-J62</f>
        <v>10.84</v>
      </c>
      <c r="K53" s="329">
        <f>IF([83]Source!BS2201&lt;&gt; 0, [83]Source!BS2201, 1)</f>
        <v>24.23</v>
      </c>
      <c r="L53" s="352">
        <f>[83]Source!R2201-L62</f>
        <v>262.57</v>
      </c>
      <c r="W53" s="326">
        <f>J53</f>
        <v>10.84</v>
      </c>
    </row>
    <row r="54" spans="1:27" ht="14.25" x14ac:dyDescent="0.2">
      <c r="A54" s="346"/>
      <c r="B54" s="346"/>
      <c r="C54" s="347"/>
      <c r="D54" s="347" t="s">
        <v>55</v>
      </c>
      <c r="E54" s="348"/>
      <c r="F54" s="329"/>
      <c r="G54" s="349">
        <f>[83]Source!AL2201</f>
        <v>90.94</v>
      </c>
      <c r="H54" s="350">
        <f>[83]Source!DD2201</f>
        <v>0</v>
      </c>
      <c r="I54" s="329">
        <f>[83]Source!AW2201</f>
        <v>1</v>
      </c>
      <c r="J54" s="351">
        <f>ROUND((ROUND(([83]Source!AC2201*[83]Source!AW2201*[83]Source!I2201),2)),2)</f>
        <v>363.76</v>
      </c>
      <c r="K54" s="329">
        <f>IF([83]Source!BC2201&lt;&gt; 0, [83]Source!BC2201, 1)</f>
        <v>4.29</v>
      </c>
      <c r="L54" s="351">
        <f>[83]Source!P2201</f>
        <v>1560.53</v>
      </c>
    </row>
    <row r="55" spans="1:27" ht="14.25" x14ac:dyDescent="0.2">
      <c r="A55" s="346"/>
      <c r="B55" s="346"/>
      <c r="C55" s="347"/>
      <c r="D55" s="347" t="s">
        <v>56</v>
      </c>
      <c r="E55" s="348" t="s">
        <v>57</v>
      </c>
      <c r="F55" s="329">
        <f>[83]Source!DN2201</f>
        <v>125</v>
      </c>
      <c r="G55" s="349"/>
      <c r="H55" s="350"/>
      <c r="I55" s="329"/>
      <c r="J55" s="351">
        <f>SUM(Q50:Q54)</f>
        <v>432.29</v>
      </c>
      <c r="K55" s="329">
        <f>[83]Source!BZ2201</f>
        <v>100</v>
      </c>
      <c r="L55" s="351">
        <f>SUM(R50:R54)</f>
        <v>8379.4599999999991</v>
      </c>
    </row>
    <row r="56" spans="1:27" ht="14.25" x14ac:dyDescent="0.2">
      <c r="A56" s="346"/>
      <c r="B56" s="346"/>
      <c r="C56" s="347"/>
      <c r="D56" s="347" t="s">
        <v>58</v>
      </c>
      <c r="E56" s="348" t="s">
        <v>57</v>
      </c>
      <c r="F56" s="329">
        <f>[83]Source!DO2201</f>
        <v>94</v>
      </c>
      <c r="G56" s="349"/>
      <c r="H56" s="350"/>
      <c r="I56" s="329"/>
      <c r="J56" s="351">
        <f>SUM(S50:S55)</f>
        <v>325.08</v>
      </c>
      <c r="K56" s="329">
        <f>[83]Source!CA2201</f>
        <v>45</v>
      </c>
      <c r="L56" s="351">
        <f>SUM(T50:T55)</f>
        <v>3770.76</v>
      </c>
    </row>
    <row r="57" spans="1:27" ht="14.25" x14ac:dyDescent="0.2">
      <c r="A57" s="346"/>
      <c r="B57" s="346"/>
      <c r="C57" s="347"/>
      <c r="D57" s="347" t="s">
        <v>59</v>
      </c>
      <c r="E57" s="348" t="s">
        <v>57</v>
      </c>
      <c r="F57" s="329">
        <f>175</f>
        <v>175</v>
      </c>
      <c r="G57" s="349"/>
      <c r="H57" s="350"/>
      <c r="I57" s="329"/>
      <c r="J57" s="351">
        <f>SUM(U50:U56)-J63</f>
        <v>18.97</v>
      </c>
      <c r="K57" s="329">
        <f>157</f>
        <v>157</v>
      </c>
      <c r="L57" s="351">
        <f>SUM(V50:V56)-L63</f>
        <v>412.24</v>
      </c>
    </row>
    <row r="58" spans="1:27" ht="14.25" x14ac:dyDescent="0.2">
      <c r="A58" s="346"/>
      <c r="B58" s="346"/>
      <c r="C58" s="347"/>
      <c r="D58" s="347" t="s">
        <v>60</v>
      </c>
      <c r="E58" s="348" t="s">
        <v>61</v>
      </c>
      <c r="F58" s="329">
        <f>[83]Source!AQ2201</f>
        <v>4.2300000000000004</v>
      </c>
      <c r="G58" s="349"/>
      <c r="H58" s="350">
        <f>[83]Source!DI2201</f>
        <v>0</v>
      </c>
      <c r="I58" s="329">
        <f>[83]Source!AV2201</f>
        <v>1.0669999999999999</v>
      </c>
      <c r="J58" s="351">
        <f>[83]Source!U2201</f>
        <v>18.05</v>
      </c>
      <c r="K58" s="329"/>
      <c r="L58" s="351"/>
    </row>
    <row r="59" spans="1:27" ht="15" x14ac:dyDescent="0.25">
      <c r="I59" s="641">
        <f>J51+J52+J54+J55+J56+J57</f>
        <v>1529.59</v>
      </c>
      <c r="J59" s="641"/>
      <c r="K59" s="641">
        <f>L51+L52+L54+L55+L56+L57</f>
        <v>22947.7</v>
      </c>
      <c r="L59" s="641"/>
      <c r="O59" s="353">
        <f>J51+J52+J54+J55+J56+J57</f>
        <v>1529.59</v>
      </c>
      <c r="P59" s="353">
        <f>L51+L52+L54+L55+L56+L57</f>
        <v>22947.7</v>
      </c>
      <c r="X59" s="326">
        <f>IF([83]Source!BI2201&lt;=1,J51+J52+J54+J55+J56+J57-0, 0)</f>
        <v>1529.59</v>
      </c>
      <c r="Y59" s="326">
        <f>IF([83]Source!BI2201=2,J51+J52+J54+J55+J56+J57-0, 0)</f>
        <v>0</v>
      </c>
      <c r="Z59" s="326">
        <f>IF([83]Source!BI2201=3,J51+J52+J54+J55+J56+J57-0, 0)</f>
        <v>0</v>
      </c>
      <c r="AA59" s="326">
        <f>IF([83]Source!BI2201=4,J51+J52+J54+J55+J56+J57,0)</f>
        <v>0</v>
      </c>
    </row>
    <row r="60" spans="1:27" ht="28.5" x14ac:dyDescent="0.2">
      <c r="A60" s="354"/>
      <c r="B60" s="354"/>
      <c r="C60" s="355"/>
      <c r="D60" s="355" t="s">
        <v>62</v>
      </c>
      <c r="E60" s="348"/>
      <c r="F60" s="356"/>
      <c r="G60" s="357"/>
      <c r="H60" s="348"/>
      <c r="I60" s="356"/>
      <c r="J60" s="352"/>
      <c r="K60" s="356"/>
      <c r="L60" s="352"/>
    </row>
    <row r="61" spans="1:27" ht="14.25" x14ac:dyDescent="0.2">
      <c r="A61" s="354"/>
      <c r="B61" s="354"/>
      <c r="C61" s="355"/>
      <c r="D61" s="355" t="s">
        <v>53</v>
      </c>
      <c r="E61" s="348"/>
      <c r="F61" s="356"/>
      <c r="G61" s="357">
        <f t="shared" ref="G61:L61" si="0">G62</f>
        <v>2.54</v>
      </c>
      <c r="H61" s="358" t="str">
        <f t="shared" si="0"/>
        <v>)*(1.67-1)</v>
      </c>
      <c r="I61" s="356">
        <f t="shared" si="0"/>
        <v>1.0669999999999999</v>
      </c>
      <c r="J61" s="352">
        <f t="shared" si="0"/>
        <v>7.26</v>
      </c>
      <c r="K61" s="356">
        <f t="shared" si="0"/>
        <v>24.23</v>
      </c>
      <c r="L61" s="352">
        <f t="shared" si="0"/>
        <v>175.99</v>
      </c>
    </row>
    <row r="62" spans="1:27" ht="14.25" x14ac:dyDescent="0.2">
      <c r="A62" s="354"/>
      <c r="B62" s="354"/>
      <c r="C62" s="355"/>
      <c r="D62" s="355" t="s">
        <v>54</v>
      </c>
      <c r="E62" s="348"/>
      <c r="F62" s="356"/>
      <c r="G62" s="357">
        <f>[83]Source!AN2201</f>
        <v>2.54</v>
      </c>
      <c r="H62" s="358" t="s">
        <v>63</v>
      </c>
      <c r="I62" s="356">
        <f>[83]Source!AV2201</f>
        <v>1.0669999999999999</v>
      </c>
      <c r="J62" s="352">
        <f>ROUND(F50*G62*I62*(1.67-1), 2)</f>
        <v>7.26</v>
      </c>
      <c r="K62" s="356">
        <f>IF([83]Source!BS2201&lt;&gt; 0, [83]Source!BS2201, 1)</f>
        <v>24.23</v>
      </c>
      <c r="L62" s="352">
        <f>ROUND(F50*G62*I62*(1.67-1)*K62, 2)</f>
        <v>175.99</v>
      </c>
      <c r="W62" s="326">
        <f>J62</f>
        <v>7.26</v>
      </c>
    </row>
    <row r="63" spans="1:27" ht="14.25" x14ac:dyDescent="0.2">
      <c r="A63" s="354"/>
      <c r="B63" s="354"/>
      <c r="C63" s="355"/>
      <c r="D63" s="355" t="s">
        <v>59</v>
      </c>
      <c r="E63" s="348" t="s">
        <v>57</v>
      </c>
      <c r="F63" s="356">
        <f>175</f>
        <v>175</v>
      </c>
      <c r="G63" s="357"/>
      <c r="H63" s="348"/>
      <c r="I63" s="356"/>
      <c r="J63" s="352">
        <f>ROUND(J62*(F63/100), 2)</f>
        <v>12.71</v>
      </c>
      <c r="K63" s="356">
        <f>157</f>
        <v>157</v>
      </c>
      <c r="L63" s="352">
        <f>ROUND(L62*(K63/100), 2)</f>
        <v>276.3</v>
      </c>
    </row>
    <row r="64" spans="1:27" ht="15" x14ac:dyDescent="0.25">
      <c r="I64" s="641">
        <f>J63+J62</f>
        <v>19.97</v>
      </c>
      <c r="J64" s="641"/>
      <c r="K64" s="641">
        <f>L63+L62</f>
        <v>452.29</v>
      </c>
      <c r="L64" s="641"/>
      <c r="O64" s="353">
        <f>I64</f>
        <v>19.97</v>
      </c>
      <c r="P64" s="353">
        <f>K64</f>
        <v>452.29</v>
      </c>
      <c r="X64" s="326">
        <f>IF([83]Source!BI2201&lt;=1,I64, 0)</f>
        <v>19.97</v>
      </c>
      <c r="Y64" s="326">
        <f>IF([83]Source!BI2201=2,I64, 0)</f>
        <v>0</v>
      </c>
      <c r="Z64" s="326">
        <f>IF([83]Source!BI2201=3,I64, 0)</f>
        <v>0</v>
      </c>
      <c r="AA64" s="326">
        <f>IF([83]Source!BI2201=4,I64, 0)</f>
        <v>0</v>
      </c>
    </row>
    <row r="66" spans="1:38" ht="15" x14ac:dyDescent="0.25">
      <c r="A66" s="359"/>
      <c r="B66" s="359"/>
      <c r="C66" s="360"/>
      <c r="D66" s="360" t="s">
        <v>64</v>
      </c>
      <c r="E66" s="361"/>
      <c r="F66" s="362"/>
      <c r="G66" s="363"/>
      <c r="H66" s="364"/>
      <c r="I66" s="641">
        <f>I59+I64</f>
        <v>1549.56</v>
      </c>
      <c r="J66" s="641"/>
      <c r="K66" s="641">
        <f>K59+K64</f>
        <v>23399.99</v>
      </c>
      <c r="L66" s="641"/>
    </row>
    <row r="67" spans="1:38" ht="71.25" x14ac:dyDescent="0.2">
      <c r="A67" s="346">
        <v>2</v>
      </c>
      <c r="B67" s="346" t="str">
        <f>[83]Source!E2203</f>
        <v>617</v>
      </c>
      <c r="C67" s="347" t="str">
        <f>[83]Source!F2203</f>
        <v>1.12-9-9</v>
      </c>
      <c r="D67" s="347" t="s">
        <v>251</v>
      </c>
      <c r="E67" s="348" t="str">
        <f>[83]Source!H2203</f>
        <v>шт.</v>
      </c>
      <c r="F67" s="329">
        <f>[83]Source!I2203</f>
        <v>8</v>
      </c>
      <c r="G67" s="349">
        <f>[83]Source!AL2203</f>
        <v>229.84</v>
      </c>
      <c r="H67" s="350">
        <f>[83]Source!DD2203</f>
        <v>0</v>
      </c>
      <c r="I67" s="329">
        <f>[83]Source!AW2203</f>
        <v>1</v>
      </c>
      <c r="J67" s="351">
        <f>ROUND((ROUND(([83]Source!AC2203*[83]Source!AW2203*[83]Source!I2203),2)),2)</f>
        <v>1838.72</v>
      </c>
      <c r="K67" s="329">
        <f>IF([83]Source!BC2203&lt;&gt; 0, [83]Source!BC2203, 1)</f>
        <v>3.04</v>
      </c>
      <c r="L67" s="351">
        <f>[83]Source!P2203</f>
        <v>5589.71</v>
      </c>
      <c r="Q67" s="326">
        <f>ROUND(([83]Source!DN2203/100)*ROUND((ROUND(([83]Source!AF2203*[83]Source!AV2203*[83]Source!I2203),2)),2), 2)</f>
        <v>0</v>
      </c>
      <c r="R67" s="326">
        <f>[83]Source!X2203</f>
        <v>0</v>
      </c>
      <c r="S67" s="326">
        <f>ROUND(([83]Source!DO2203/100)*ROUND((ROUND(([83]Source!AF2203*[83]Source!AV2203*[83]Source!I2203),2)),2), 2)</f>
        <v>0</v>
      </c>
      <c r="T67" s="326">
        <f>[83]Source!Y2203</f>
        <v>0</v>
      </c>
      <c r="U67" s="326">
        <f>ROUND((175/100)*ROUND((ROUND(([83]Source!AE2203*[83]Source!AV2203*[83]Source!I2203),2)),2), 2)</f>
        <v>0</v>
      </c>
      <c r="V67" s="326">
        <f>ROUND((157/100)*ROUND(ROUND((ROUND(([83]Source!AE2203*[83]Source!AV2203*[83]Source!I2203),2)*[83]Source!BS2203),2), 2), 2)</f>
        <v>0</v>
      </c>
    </row>
    <row r="68" spans="1:38" ht="15" x14ac:dyDescent="0.25">
      <c r="A68" s="365"/>
      <c r="B68" s="365"/>
      <c r="C68" s="365"/>
      <c r="D68" s="365"/>
      <c r="E68" s="365"/>
      <c r="F68" s="365"/>
      <c r="G68" s="365"/>
      <c r="H68" s="365"/>
      <c r="I68" s="641">
        <f>J67</f>
        <v>1838.72</v>
      </c>
      <c r="J68" s="641"/>
      <c r="K68" s="641">
        <f>L67</f>
        <v>5589.71</v>
      </c>
      <c r="L68" s="641"/>
      <c r="O68" s="353">
        <f>J67</f>
        <v>1838.72</v>
      </c>
      <c r="P68" s="353">
        <f>L67</f>
        <v>5589.71</v>
      </c>
      <c r="X68" s="326">
        <f>IF([83]Source!BI2203&lt;=1,J67-0, 0)</f>
        <v>1838.72</v>
      </c>
      <c r="Y68" s="326">
        <f>IF([83]Source!BI2203=2,J67-0, 0)</f>
        <v>0</v>
      </c>
      <c r="Z68" s="326">
        <f>IF([83]Source!BI2203=3,J67-0, 0)</f>
        <v>0</v>
      </c>
      <c r="AA68" s="326">
        <f>IF([83]Source!BI2203=4,J67,0)</f>
        <v>0</v>
      </c>
    </row>
    <row r="70" spans="1:38" ht="16.5" x14ac:dyDescent="0.25">
      <c r="A70" s="646" t="str">
        <f>CONCATENATE("Подраздел: ",IF([83]Source!G2387&lt;&gt;"Новый подраздел", [83]Source!G2387, ""))</f>
        <v>Подраздел: ОБОРУДОВАНИЕ</v>
      </c>
      <c r="B70" s="646"/>
      <c r="C70" s="646"/>
      <c r="D70" s="646"/>
      <c r="E70" s="646"/>
      <c r="F70" s="646"/>
      <c r="G70" s="646"/>
      <c r="H70" s="646"/>
      <c r="I70" s="646"/>
      <c r="J70" s="646"/>
      <c r="K70" s="646"/>
      <c r="L70" s="646"/>
    </row>
    <row r="71" spans="1:38" ht="82.5" x14ac:dyDescent="0.2">
      <c r="A71" s="346">
        <v>3</v>
      </c>
      <c r="B71" s="346" t="str">
        <f>[83]Source!E2392</f>
        <v>698</v>
      </c>
      <c r="C71" s="347" t="str">
        <f>[83]Source!F2392</f>
        <v>МКЭ-832/6-1 от 07.04.2016</v>
      </c>
      <c r="D71" s="347" t="s">
        <v>252</v>
      </c>
      <c r="E71" s="348" t="str">
        <f>[83]Source!H2392</f>
        <v>шт.</v>
      </c>
      <c r="F71" s="329">
        <f>[83]Source!I2392</f>
        <v>4</v>
      </c>
      <c r="G71" s="412">
        <f>J71/F71</f>
        <v>2596.3200000000002</v>
      </c>
      <c r="H71" s="410">
        <v>1.02</v>
      </c>
      <c r="I71" s="411">
        <v>1</v>
      </c>
      <c r="J71" s="412">
        <f>L71/K71</f>
        <v>10385.27</v>
      </c>
      <c r="K71" s="411">
        <v>5.58</v>
      </c>
      <c r="L71" s="412">
        <f>14203.38*H71*F71</f>
        <v>57949.79</v>
      </c>
      <c r="Q71" s="326">
        <f>ROUND(([83]Source!DN2392/100)*ROUND((ROUND(([83]Source!AF2392*[83]Source!AV2392*[83]Source!I2392),2)),2), 2)</f>
        <v>0</v>
      </c>
      <c r="R71" s="326">
        <f>[83]Source!X2392</f>
        <v>0</v>
      </c>
      <c r="S71" s="326">
        <f>ROUND(([83]Source!DO2392/100)*ROUND((ROUND(([83]Source!AF2392*[83]Source!AV2392*[83]Source!I2392),2)),2), 2)</f>
        <v>0</v>
      </c>
      <c r="T71" s="326">
        <f>[83]Source!Y2392</f>
        <v>0</v>
      </c>
      <c r="U71" s="326">
        <f>ROUND((175/100)*ROUND((ROUND(([83]Source!AE2392*[83]Source!AV2392*[83]Source!I2392),2)),2), 2)</f>
        <v>0</v>
      </c>
      <c r="V71" s="326">
        <f>ROUND((157/100)*ROUND(ROUND((ROUND(([83]Source!AE2392*[83]Source!AV2392*[83]Source!I2392),2)*[83]Source!BS2392),2), 2), 2)</f>
        <v>0</v>
      </c>
    </row>
    <row r="72" spans="1:38" ht="15" x14ac:dyDescent="0.25">
      <c r="A72" s="365"/>
      <c r="B72" s="365"/>
      <c r="C72" s="365"/>
      <c r="D72" s="365"/>
      <c r="E72" s="365"/>
      <c r="F72" s="365"/>
      <c r="G72" s="365"/>
      <c r="H72" s="365"/>
      <c r="I72" s="641">
        <f>J71</f>
        <v>10385.27</v>
      </c>
      <c r="J72" s="641"/>
      <c r="K72" s="641">
        <f>L71</f>
        <v>57949.79</v>
      </c>
      <c r="L72" s="641"/>
      <c r="O72" s="353">
        <f>J71</f>
        <v>10385.27</v>
      </c>
      <c r="P72" s="353">
        <f>L71</f>
        <v>57949.79</v>
      </c>
      <c r="X72" s="326">
        <f>IF([83]Source!BI2392&lt;=1,J71-0, 0)</f>
        <v>10385.27</v>
      </c>
      <c r="Y72" s="326">
        <f>IF([83]Source!BI2392=2,J71-0, 0)</f>
        <v>0</v>
      </c>
      <c r="Z72" s="326">
        <f>IF([83]Source!BI2392=3,J71-0, 0)</f>
        <v>0</v>
      </c>
      <c r="AA72" s="326">
        <f>IF([83]Source!BI2392=4,J71,0)</f>
        <v>0</v>
      </c>
    </row>
    <row r="74" spans="1:38" ht="15" x14ac:dyDescent="0.25">
      <c r="A74" s="637" t="str">
        <f>CONCATENATE("Итого по подразделу: ",IF([83]Source!G2398&lt;&gt;"Новый подраздел", [83]Source!G2398, ""))</f>
        <v>Итого по подразделу: ОБОРУДОВАНИЕ</v>
      </c>
      <c r="B74" s="637"/>
      <c r="C74" s="637"/>
      <c r="D74" s="637"/>
      <c r="E74" s="637"/>
      <c r="F74" s="637"/>
      <c r="G74" s="637"/>
      <c r="H74" s="637"/>
      <c r="I74" s="638">
        <f>SUM(O70:O73)</f>
        <v>10385.27</v>
      </c>
      <c r="J74" s="639"/>
      <c r="K74" s="638">
        <f>SUM(P70:P73)</f>
        <v>57949.79</v>
      </c>
      <c r="L74" s="639"/>
    </row>
    <row r="75" spans="1:38" hidden="1" x14ac:dyDescent="0.2">
      <c r="A75" s="326" t="s">
        <v>67</v>
      </c>
      <c r="J75" s="326">
        <f>SUM(AC70:AC74)</f>
        <v>0</v>
      </c>
      <c r="K75" s="326">
        <f>SUM(AD70:AD74)</f>
        <v>0</v>
      </c>
    </row>
    <row r="76" spans="1:38" hidden="1" x14ac:dyDescent="0.2">
      <c r="A76" s="326" t="s">
        <v>68</v>
      </c>
      <c r="J76" s="326">
        <f>SUM(AE70:AE75)</f>
        <v>0</v>
      </c>
      <c r="K76" s="326">
        <f>SUM(AF70:AF75)</f>
        <v>0</v>
      </c>
    </row>
    <row r="78" spans="1:38" ht="15" x14ac:dyDescent="0.25">
      <c r="A78" s="637" t="str">
        <f>CONCATENATE("Итого по разделу: ",IF([83]Source!G2427&lt;&gt;"Новый раздел", [83]Source!G2427, ""))</f>
        <v>Итого по разделу: Местная водоотливная установка МВУ (пом.4.26). Водоотвод напорный К2Н</v>
      </c>
      <c r="B78" s="637"/>
      <c r="C78" s="637"/>
      <c r="D78" s="637"/>
      <c r="E78" s="637"/>
      <c r="F78" s="637"/>
      <c r="G78" s="637"/>
      <c r="H78" s="637"/>
      <c r="I78" s="638">
        <f>SUM(O49:O77)</f>
        <v>13773.55</v>
      </c>
      <c r="J78" s="639"/>
      <c r="K78" s="638">
        <f>SUM(P49:P77)</f>
        <v>86939.49</v>
      </c>
      <c r="L78" s="639"/>
      <c r="AL78" s="366" t="str">
        <f>CONCATENATE("Итого по разделу: ",IF([83]Source!G2427&lt;&gt;"Новый раздел", [83]Source!G2427, ""))</f>
        <v>Итого по разделу: Местная водоотливная установка МВУ (пом.4.26). Водоотвод напорный К2Н</v>
      </c>
    </row>
    <row r="79" spans="1:38" hidden="1" x14ac:dyDescent="0.2">
      <c r="A79" s="326" t="s">
        <v>67</v>
      </c>
      <c r="J79" s="326">
        <f>SUM(AC49:AC78)</f>
        <v>0</v>
      </c>
      <c r="K79" s="326">
        <f>SUM(AD49:AD78)</f>
        <v>0</v>
      </c>
    </row>
    <row r="80" spans="1:38" hidden="1" x14ac:dyDescent="0.2">
      <c r="A80" s="326" t="s">
        <v>68</v>
      </c>
      <c r="J80" s="326">
        <f>SUM(AE49:AE79)</f>
        <v>0</v>
      </c>
      <c r="K80" s="326">
        <f>SUM(AF49:AF79)</f>
        <v>0</v>
      </c>
    </row>
    <row r="82" spans="1:256" ht="30" x14ac:dyDescent="0.25">
      <c r="A82" s="637" t="str">
        <f>CONCATENATE("Итого по локальной смете: ",IF([83]Source!G2514&lt;&gt;"Новая локальная смета", [83]Source!G2514, ""))</f>
        <v>Итого по локальной смете: Платформенная часть. Внутренние инженерные системы. Водоснабжение и водоотведение</v>
      </c>
      <c r="B82" s="637"/>
      <c r="C82" s="637"/>
      <c r="D82" s="637"/>
      <c r="E82" s="637"/>
      <c r="F82" s="637"/>
      <c r="G82" s="637"/>
      <c r="H82" s="637"/>
      <c r="I82" s="638">
        <f>SUM(O49:O81)</f>
        <v>13773.55</v>
      </c>
      <c r="J82" s="639"/>
      <c r="K82" s="638">
        <f>SUM(P49:P81)</f>
        <v>86939.49</v>
      </c>
      <c r="L82" s="639"/>
      <c r="AL82" s="366" t="str">
        <f>CONCATENATE("Итого по локальной смете: ",IF([83]Source!G2514&lt;&gt;"Новая локальная смета", [83]Source!G2514, ""))</f>
        <v>Итого по локальной смете: Платформенная часть. Внутренние инженерные системы. Водоснабжение и водоотведение</v>
      </c>
    </row>
    <row r="83" spans="1:256" hidden="1" x14ac:dyDescent="0.2">
      <c r="A83" s="326" t="s">
        <v>67</v>
      </c>
      <c r="J83" s="326">
        <f>SUM(AC49:AC82)</f>
        <v>0</v>
      </c>
      <c r="K83" s="326">
        <f>SUM(AD49:AD82)</f>
        <v>0</v>
      </c>
    </row>
    <row r="84" spans="1:256" hidden="1" x14ac:dyDescent="0.2">
      <c r="A84" s="326" t="s">
        <v>68</v>
      </c>
      <c r="J84" s="326">
        <f>SUM(AE49:AE83)</f>
        <v>0</v>
      </c>
      <c r="K84" s="326">
        <f>SUM(AF49:AF83)</f>
        <v>0</v>
      </c>
    </row>
    <row r="85" spans="1:256" ht="14.25" x14ac:dyDescent="0.2">
      <c r="D85" s="367" t="str">
        <f>[83]Source!H2520</f>
        <v>Стоимость материалов (всего)</v>
      </c>
      <c r="E85" s="367"/>
      <c r="F85" s="367"/>
      <c r="G85" s="367"/>
      <c r="H85" s="367"/>
      <c r="I85" s="669">
        <f ca="1">SUMIF(D17:D76,"МР",J17:J74)+J71+J67</f>
        <v>12587.75</v>
      </c>
      <c r="J85" s="669"/>
      <c r="K85" s="670">
        <f>IF([83]Source!P2520=0, "", [83]Source!P2520)</f>
        <v>65100.1</v>
      </c>
      <c r="L85" s="670"/>
    </row>
    <row r="86" spans="1:256" ht="14.25" x14ac:dyDescent="0.2">
      <c r="D86" s="367" t="str">
        <f>[83]Source!H2528</f>
        <v>ЗП машинистов</v>
      </c>
      <c r="E86" s="367"/>
      <c r="F86" s="367"/>
      <c r="G86" s="367"/>
      <c r="H86" s="367"/>
      <c r="I86" s="669">
        <f ca="1">SUMIF(D18:D77,"в т.ч. ЗПМ",J18:J76)</f>
        <v>18.100000000000001</v>
      </c>
      <c r="J86" s="669"/>
      <c r="K86" s="670">
        <f>IF([83]Source!P2528=0, "", [83]Source!P2528)</f>
        <v>438.56</v>
      </c>
      <c r="L86" s="670"/>
    </row>
    <row r="87" spans="1:256" ht="14.25" x14ac:dyDescent="0.2">
      <c r="D87" s="367" t="str">
        <f>[83]Source!H2529</f>
        <v>Основная ЗП рабочих</v>
      </c>
      <c r="E87" s="367"/>
      <c r="F87" s="367"/>
      <c r="G87" s="367"/>
      <c r="H87" s="367"/>
      <c r="I87" s="669">
        <f ca="1">SUMIF(D10:D78,"ЗП",J10:J77)</f>
        <v>345.83</v>
      </c>
      <c r="J87" s="669"/>
      <c r="K87" s="670">
        <f>IF([83]Source!P2529=0, "", [83]Source!P2529)</f>
        <v>8379.4599999999991</v>
      </c>
      <c r="L87" s="670"/>
    </row>
    <row r="88" spans="1:256" ht="14.25" x14ac:dyDescent="0.2">
      <c r="D88" s="367" t="str">
        <f>[83]Source!H2539</f>
        <v>Накладные расходы</v>
      </c>
      <c r="E88" s="367"/>
      <c r="F88" s="367"/>
      <c r="G88" s="367"/>
      <c r="H88" s="367"/>
      <c r="I88" s="669">
        <f ca="1">SUMIF(D11:D79,"НР от ЗП",J11:J78)</f>
        <v>432.29</v>
      </c>
      <c r="J88" s="669"/>
      <c r="K88" s="670">
        <f>IF([83]Source!P2539=0, "", [83]Source!P2539)</f>
        <v>8379.4599999999991</v>
      </c>
      <c r="L88" s="670"/>
    </row>
    <row r="89" spans="1:256" ht="14.25" x14ac:dyDescent="0.2">
      <c r="D89" s="367" t="str">
        <f>[83]Source!H2540</f>
        <v>Сметная прибыль</v>
      </c>
      <c r="E89" s="367"/>
      <c r="F89" s="367"/>
      <c r="G89" s="367"/>
      <c r="H89" s="367"/>
      <c r="I89" s="669">
        <f ca="1">SUMIF(D12:D80,"СП от ЗП",J12:J79)</f>
        <v>325.08</v>
      </c>
      <c r="J89" s="669"/>
      <c r="K89" s="670">
        <f>IF([83]Source!P2540=0, "", [83]Source!P2540)</f>
        <v>3770.76</v>
      </c>
      <c r="L89" s="670"/>
    </row>
    <row r="91" spans="1:256" ht="15" x14ac:dyDescent="0.25">
      <c r="A91" s="237"/>
      <c r="B91" s="237"/>
      <c r="C91" s="237"/>
      <c r="D91" s="623" t="s">
        <v>191</v>
      </c>
      <c r="E91" s="623"/>
      <c r="F91" s="623"/>
      <c r="G91" s="623"/>
      <c r="H91" s="623"/>
      <c r="I91" s="368"/>
      <c r="J91" s="369">
        <v>0</v>
      </c>
      <c r="K91" s="369"/>
      <c r="L91" s="369">
        <v>0</v>
      </c>
      <c r="M91" s="370" t="e">
        <v>#REF!</v>
      </c>
      <c r="N91" s="371"/>
      <c r="O91" s="371"/>
      <c r="P91" s="371"/>
      <c r="Q91" s="371"/>
      <c r="R91" s="371"/>
      <c r="S91" s="371"/>
      <c r="T91" s="371"/>
      <c r="U91" s="371"/>
      <c r="V91" s="371"/>
      <c r="W91" s="371"/>
      <c r="X91" s="371"/>
      <c r="Y91" s="371"/>
      <c r="Z91" s="371"/>
      <c r="AA91" s="371"/>
      <c r="AB91" s="371"/>
      <c r="AC91" s="371"/>
      <c r="AD91" s="371"/>
      <c r="AE91" s="371"/>
      <c r="AF91" s="371"/>
      <c r="AG91" s="371"/>
      <c r="AH91" s="371"/>
      <c r="AI91" s="371"/>
      <c r="AJ91" s="371"/>
      <c r="AK91" s="371"/>
      <c r="AL91" s="371"/>
      <c r="AM91" s="371"/>
      <c r="AN91" s="371"/>
      <c r="AO91" s="371"/>
      <c r="AP91" s="371"/>
      <c r="AQ91" s="371"/>
      <c r="AR91" s="371"/>
      <c r="AS91" s="371"/>
      <c r="AT91" s="371"/>
      <c r="AU91" s="371"/>
      <c r="AV91" s="371"/>
      <c r="AW91" s="371"/>
      <c r="AX91" s="371"/>
      <c r="AY91" s="371"/>
      <c r="AZ91" s="371"/>
      <c r="BA91" s="371"/>
      <c r="BB91" s="371"/>
      <c r="BC91" s="371"/>
      <c r="BD91" s="371"/>
      <c r="BE91" s="371"/>
      <c r="BF91" s="371"/>
      <c r="BG91" s="371"/>
      <c r="BH91" s="371"/>
      <c r="BI91" s="371"/>
      <c r="BJ91" s="371"/>
      <c r="BK91" s="371"/>
      <c r="BL91" s="371"/>
      <c r="BM91" s="371"/>
      <c r="BN91" s="371"/>
      <c r="BO91" s="371"/>
      <c r="BP91" s="371"/>
      <c r="BQ91" s="371"/>
      <c r="BR91" s="371"/>
      <c r="BS91" s="371"/>
      <c r="BT91" s="371"/>
      <c r="BU91" s="371"/>
      <c r="BV91" s="371"/>
      <c r="BW91" s="371"/>
      <c r="BX91" s="371"/>
      <c r="BY91" s="371"/>
      <c r="BZ91" s="371"/>
      <c r="CA91" s="371"/>
      <c r="CB91" s="371"/>
      <c r="CC91" s="371"/>
      <c r="CD91" s="371"/>
      <c r="CE91" s="371"/>
      <c r="CF91" s="371"/>
      <c r="CG91" s="371"/>
      <c r="CH91" s="371"/>
      <c r="CI91" s="371"/>
      <c r="CJ91" s="371"/>
      <c r="CK91" s="371"/>
      <c r="CL91" s="371"/>
      <c r="CM91" s="371"/>
      <c r="CN91" s="371"/>
      <c r="CO91" s="371"/>
      <c r="CP91" s="371"/>
      <c r="CQ91" s="371"/>
      <c r="CR91" s="371"/>
      <c r="CS91" s="371"/>
      <c r="CT91" s="371"/>
      <c r="CU91" s="371"/>
      <c r="CV91" s="371"/>
      <c r="CW91" s="371"/>
      <c r="CX91" s="371"/>
      <c r="CY91" s="371"/>
      <c r="CZ91" s="371"/>
      <c r="DA91" s="371"/>
      <c r="DB91" s="371"/>
      <c r="DC91" s="371"/>
      <c r="DD91" s="371"/>
      <c r="DE91" s="371"/>
      <c r="DF91" s="371"/>
      <c r="DG91" s="371"/>
      <c r="DH91" s="371"/>
      <c r="DI91" s="371"/>
      <c r="DJ91" s="371"/>
      <c r="DK91" s="371"/>
      <c r="DL91" s="371"/>
      <c r="DM91" s="371"/>
      <c r="DN91" s="371"/>
      <c r="DO91" s="371"/>
      <c r="DP91" s="371"/>
      <c r="DQ91" s="371"/>
      <c r="DR91" s="371"/>
      <c r="DS91" s="371"/>
      <c r="DT91" s="371"/>
      <c r="DU91" s="371"/>
      <c r="DV91" s="371"/>
      <c r="DW91" s="371"/>
      <c r="DX91" s="371"/>
      <c r="DY91" s="371"/>
      <c r="DZ91" s="371"/>
      <c r="EA91" s="371"/>
      <c r="EB91" s="371"/>
      <c r="EC91" s="371"/>
      <c r="ED91" s="371"/>
      <c r="EE91" s="371"/>
      <c r="EF91" s="371"/>
      <c r="EG91" s="371"/>
      <c r="EH91" s="371"/>
      <c r="EI91" s="371"/>
      <c r="EJ91" s="371"/>
      <c r="EK91" s="371"/>
      <c r="EL91" s="371"/>
      <c r="EM91" s="371"/>
      <c r="EN91" s="371"/>
      <c r="EO91" s="371"/>
      <c r="EP91" s="371"/>
      <c r="EQ91" s="371"/>
      <c r="ER91" s="371"/>
      <c r="ES91" s="371"/>
      <c r="ET91" s="371"/>
      <c r="EU91" s="371"/>
      <c r="EV91" s="371"/>
      <c r="EW91" s="371"/>
      <c r="EX91" s="371"/>
      <c r="EY91" s="371"/>
      <c r="EZ91" s="371"/>
      <c r="FA91" s="371"/>
      <c r="FB91" s="371"/>
      <c r="FC91" s="371"/>
      <c r="FD91" s="371"/>
      <c r="FE91" s="371"/>
      <c r="FF91" s="371"/>
      <c r="FG91" s="371"/>
      <c r="FH91" s="371"/>
      <c r="FI91" s="371"/>
      <c r="FJ91" s="371"/>
      <c r="FK91" s="371"/>
      <c r="FL91" s="371"/>
      <c r="FM91" s="371"/>
      <c r="FN91" s="371"/>
      <c r="FO91" s="371"/>
      <c r="FP91" s="371"/>
      <c r="FQ91" s="371"/>
      <c r="FR91" s="371"/>
      <c r="FS91" s="371"/>
      <c r="FT91" s="371"/>
      <c r="FU91" s="371"/>
      <c r="FV91" s="371"/>
      <c r="FW91" s="371"/>
      <c r="FX91" s="371"/>
      <c r="FY91" s="371"/>
      <c r="FZ91" s="371"/>
      <c r="GA91" s="371"/>
      <c r="GB91" s="371"/>
      <c r="GC91" s="371"/>
      <c r="GD91" s="371"/>
      <c r="GE91" s="371"/>
      <c r="GF91" s="371"/>
      <c r="GG91" s="371"/>
      <c r="GH91" s="371"/>
      <c r="GI91" s="371"/>
      <c r="GJ91" s="371"/>
      <c r="GK91" s="371"/>
      <c r="GL91" s="371"/>
      <c r="GM91" s="371"/>
      <c r="GN91" s="371"/>
      <c r="GO91" s="371"/>
      <c r="GP91" s="371"/>
      <c r="GQ91" s="371"/>
      <c r="GR91" s="371"/>
      <c r="GS91" s="371"/>
      <c r="GT91" s="371"/>
      <c r="GU91" s="371"/>
      <c r="GV91" s="371"/>
      <c r="GW91" s="371"/>
      <c r="GX91" s="371"/>
      <c r="GY91" s="371"/>
      <c r="GZ91" s="371"/>
      <c r="HA91" s="371"/>
      <c r="HB91" s="371"/>
      <c r="HC91" s="371"/>
      <c r="HD91" s="371"/>
      <c r="HE91" s="371"/>
      <c r="HF91" s="371"/>
      <c r="HG91" s="371"/>
      <c r="HH91" s="371"/>
      <c r="HI91" s="371"/>
      <c r="HJ91" s="371"/>
      <c r="HK91" s="371"/>
      <c r="HL91" s="371"/>
      <c r="HM91" s="371"/>
      <c r="HN91" s="371"/>
      <c r="HO91" s="371"/>
      <c r="HP91" s="371"/>
      <c r="HQ91" s="371"/>
      <c r="HR91" s="371"/>
      <c r="HS91" s="371"/>
      <c r="HT91" s="371"/>
      <c r="HU91" s="371"/>
      <c r="HV91" s="371"/>
      <c r="HW91" s="371"/>
      <c r="HX91" s="371"/>
      <c r="HY91" s="371"/>
      <c r="HZ91" s="371"/>
      <c r="IA91" s="371"/>
      <c r="IB91" s="371"/>
      <c r="IC91" s="371"/>
      <c r="ID91" s="371"/>
      <c r="IE91" s="371"/>
      <c r="IF91" s="371"/>
      <c r="IG91" s="371"/>
      <c r="IH91" s="371"/>
      <c r="II91" s="371"/>
      <c r="IJ91" s="371"/>
      <c r="IK91" s="371"/>
      <c r="IL91" s="371"/>
      <c r="IM91" s="371"/>
      <c r="IN91" s="371"/>
      <c r="IO91" s="371"/>
      <c r="IP91" s="371"/>
      <c r="IQ91" s="371"/>
      <c r="IR91" s="371"/>
      <c r="IS91" s="371"/>
      <c r="IT91" s="371"/>
      <c r="IU91" s="371"/>
      <c r="IV91" s="371"/>
    </row>
    <row r="92" spans="1:256" ht="15" x14ac:dyDescent="0.25">
      <c r="A92" s="239"/>
      <c r="B92" s="239"/>
      <c r="C92" s="239"/>
      <c r="D92" s="623" t="s">
        <v>192</v>
      </c>
      <c r="E92" s="623"/>
      <c r="F92" s="623"/>
      <c r="G92" s="623"/>
      <c r="H92" s="623"/>
      <c r="I92" s="368"/>
      <c r="J92" s="369">
        <v>0</v>
      </c>
      <c r="K92" s="372"/>
      <c r="L92" s="369">
        <v>0</v>
      </c>
      <c r="M92" s="370"/>
      <c r="N92" s="373"/>
      <c r="O92" s="373"/>
      <c r="P92" s="373"/>
      <c r="Q92" s="373"/>
      <c r="R92" s="373"/>
      <c r="S92" s="373"/>
      <c r="T92" s="373"/>
      <c r="U92" s="373"/>
      <c r="V92" s="373"/>
      <c r="W92" s="373"/>
      <c r="X92" s="373"/>
      <c r="Y92" s="373"/>
      <c r="Z92" s="373"/>
      <c r="AA92" s="373"/>
      <c r="AB92" s="373"/>
      <c r="AC92" s="373"/>
      <c r="AD92" s="373"/>
      <c r="AE92" s="373"/>
      <c r="AF92" s="373"/>
      <c r="AG92" s="373"/>
      <c r="AH92" s="373"/>
      <c r="AI92" s="373"/>
      <c r="AJ92" s="373"/>
      <c r="AK92" s="373"/>
      <c r="AL92" s="373"/>
      <c r="AM92" s="373"/>
      <c r="AN92" s="373"/>
      <c r="AO92" s="373"/>
      <c r="AP92" s="373"/>
      <c r="AQ92" s="373"/>
      <c r="AR92" s="373"/>
      <c r="AS92" s="373"/>
      <c r="AT92" s="373"/>
      <c r="AU92" s="373"/>
      <c r="AV92" s="373"/>
      <c r="AW92" s="373"/>
      <c r="AX92" s="373"/>
      <c r="AY92" s="373"/>
      <c r="AZ92" s="373"/>
      <c r="BA92" s="373"/>
      <c r="BB92" s="373"/>
      <c r="BC92" s="373"/>
      <c r="BD92" s="373"/>
      <c r="BE92" s="373"/>
      <c r="BF92" s="373"/>
      <c r="BG92" s="373"/>
      <c r="BH92" s="373"/>
      <c r="BI92" s="373"/>
      <c r="BJ92" s="373"/>
      <c r="BK92" s="373"/>
      <c r="BL92" s="373"/>
      <c r="BM92" s="373"/>
      <c r="BN92" s="373"/>
      <c r="BO92" s="373"/>
      <c r="BP92" s="373"/>
      <c r="BQ92" s="373"/>
      <c r="BR92" s="373"/>
      <c r="BS92" s="373"/>
      <c r="BT92" s="373"/>
      <c r="BU92" s="373"/>
      <c r="BV92" s="373"/>
      <c r="BW92" s="373"/>
      <c r="BX92" s="373"/>
      <c r="BY92" s="373"/>
      <c r="BZ92" s="373"/>
      <c r="CA92" s="373"/>
      <c r="CB92" s="373"/>
      <c r="CC92" s="373"/>
      <c r="CD92" s="373"/>
      <c r="CE92" s="373"/>
      <c r="CF92" s="373"/>
      <c r="CG92" s="373"/>
      <c r="CH92" s="373"/>
      <c r="CI92" s="373"/>
      <c r="CJ92" s="373"/>
      <c r="CK92" s="373"/>
      <c r="CL92" s="373"/>
      <c r="CM92" s="373"/>
      <c r="CN92" s="373"/>
      <c r="CO92" s="373"/>
      <c r="CP92" s="373"/>
      <c r="CQ92" s="373"/>
      <c r="CR92" s="373"/>
      <c r="CS92" s="373"/>
      <c r="CT92" s="373"/>
      <c r="CU92" s="373"/>
      <c r="CV92" s="373"/>
      <c r="CW92" s="373"/>
      <c r="CX92" s="373"/>
      <c r="CY92" s="373"/>
      <c r="CZ92" s="373"/>
      <c r="DA92" s="373"/>
      <c r="DB92" s="373"/>
      <c r="DC92" s="373"/>
      <c r="DD92" s="373"/>
      <c r="DE92" s="373"/>
      <c r="DF92" s="373"/>
      <c r="DG92" s="373"/>
      <c r="DH92" s="373"/>
      <c r="DI92" s="373"/>
      <c r="DJ92" s="373"/>
      <c r="DK92" s="373"/>
      <c r="DL92" s="373"/>
      <c r="DM92" s="373"/>
      <c r="DN92" s="373"/>
      <c r="DO92" s="373"/>
      <c r="DP92" s="373"/>
      <c r="DQ92" s="373"/>
      <c r="DR92" s="373"/>
      <c r="DS92" s="373"/>
      <c r="DT92" s="373"/>
      <c r="DU92" s="373"/>
      <c r="DV92" s="373"/>
      <c r="DW92" s="373"/>
      <c r="DX92" s="373"/>
      <c r="DY92" s="373"/>
      <c r="DZ92" s="373"/>
      <c r="EA92" s="373"/>
      <c r="EB92" s="373"/>
      <c r="EC92" s="373"/>
      <c r="ED92" s="373"/>
      <c r="EE92" s="373"/>
      <c r="EF92" s="373"/>
      <c r="EG92" s="373"/>
      <c r="EH92" s="373"/>
      <c r="EI92" s="373"/>
      <c r="EJ92" s="373"/>
      <c r="EK92" s="373"/>
      <c r="EL92" s="373"/>
      <c r="EM92" s="373"/>
      <c r="EN92" s="373"/>
      <c r="EO92" s="373"/>
      <c r="EP92" s="373"/>
      <c r="EQ92" s="373"/>
      <c r="ER92" s="373"/>
      <c r="ES92" s="373"/>
      <c r="ET92" s="373"/>
      <c r="EU92" s="373"/>
      <c r="EV92" s="373"/>
      <c r="EW92" s="373"/>
      <c r="EX92" s="373"/>
      <c r="EY92" s="373"/>
      <c r="EZ92" s="373"/>
      <c r="FA92" s="373"/>
      <c r="FB92" s="373"/>
      <c r="FC92" s="373"/>
      <c r="FD92" s="373"/>
      <c r="FE92" s="373"/>
      <c r="FF92" s="373"/>
      <c r="FG92" s="373"/>
      <c r="FH92" s="373"/>
      <c r="FI92" s="373"/>
      <c r="FJ92" s="373"/>
      <c r="FK92" s="373"/>
      <c r="FL92" s="373"/>
      <c r="FM92" s="373"/>
      <c r="FN92" s="373"/>
      <c r="FO92" s="373"/>
      <c r="FP92" s="373"/>
      <c r="FQ92" s="373"/>
      <c r="FR92" s="373"/>
      <c r="FS92" s="373"/>
      <c r="FT92" s="373"/>
      <c r="FU92" s="373"/>
      <c r="FV92" s="373"/>
      <c r="FW92" s="373"/>
      <c r="FX92" s="373"/>
      <c r="FY92" s="373"/>
      <c r="FZ92" s="373"/>
      <c r="GA92" s="373"/>
      <c r="GB92" s="373"/>
      <c r="GC92" s="373"/>
      <c r="GD92" s="373"/>
      <c r="GE92" s="373"/>
      <c r="GF92" s="373"/>
      <c r="GG92" s="373"/>
      <c r="GH92" s="373"/>
      <c r="GI92" s="373"/>
      <c r="GJ92" s="373"/>
      <c r="GK92" s="373"/>
      <c r="GL92" s="373"/>
      <c r="GM92" s="373"/>
      <c r="GN92" s="373"/>
      <c r="GO92" s="373"/>
      <c r="GP92" s="373"/>
      <c r="GQ92" s="373"/>
      <c r="GR92" s="373"/>
      <c r="GS92" s="373"/>
      <c r="GT92" s="373"/>
      <c r="GU92" s="373"/>
      <c r="GV92" s="373"/>
      <c r="GW92" s="373"/>
      <c r="GX92" s="373"/>
      <c r="GY92" s="373"/>
      <c r="GZ92" s="373"/>
      <c r="HA92" s="373"/>
      <c r="HB92" s="373"/>
      <c r="HC92" s="373"/>
      <c r="HD92" s="373"/>
      <c r="HE92" s="373"/>
      <c r="HF92" s="373"/>
      <c r="HG92" s="373"/>
      <c r="HH92" s="373"/>
      <c r="HI92" s="373"/>
      <c r="HJ92" s="373"/>
      <c r="HK92" s="373"/>
      <c r="HL92" s="373"/>
      <c r="HM92" s="373"/>
      <c r="HN92" s="373"/>
      <c r="HO92" s="373"/>
      <c r="HP92" s="373"/>
      <c r="HQ92" s="373"/>
      <c r="HR92" s="373"/>
      <c r="HS92" s="373"/>
      <c r="HT92" s="373"/>
      <c r="HU92" s="373"/>
      <c r="HV92" s="373"/>
      <c r="HW92" s="373"/>
      <c r="HX92" s="373"/>
      <c r="HY92" s="373"/>
      <c r="HZ92" s="373"/>
      <c r="IA92" s="373"/>
      <c r="IB92" s="373"/>
      <c r="IC92" s="373"/>
      <c r="ID92" s="373"/>
      <c r="IE92" s="373"/>
      <c r="IF92" s="373"/>
      <c r="IG92" s="373"/>
      <c r="IH92" s="373"/>
      <c r="II92" s="373"/>
      <c r="IJ92" s="373"/>
      <c r="IK92" s="373"/>
      <c r="IL92" s="373"/>
      <c r="IM92" s="373"/>
      <c r="IN92" s="373"/>
      <c r="IO92" s="373"/>
      <c r="IP92" s="373"/>
      <c r="IQ92" s="373"/>
      <c r="IR92" s="373"/>
      <c r="IS92" s="373"/>
      <c r="IT92" s="373"/>
      <c r="IU92" s="373"/>
      <c r="IV92" s="373"/>
    </row>
    <row r="93" spans="1:256" ht="15" x14ac:dyDescent="0.25">
      <c r="A93" s="239"/>
      <c r="B93" s="239"/>
      <c r="C93" s="239"/>
      <c r="D93" s="372" t="s">
        <v>193</v>
      </c>
      <c r="E93" s="372"/>
      <c r="F93" s="372"/>
      <c r="G93" s="372"/>
      <c r="H93" s="372"/>
      <c r="I93" s="372"/>
      <c r="J93" s="369">
        <v>0</v>
      </c>
      <c r="K93" s="372"/>
      <c r="L93" s="369">
        <v>0</v>
      </c>
      <c r="M93" s="370"/>
      <c r="N93" s="373"/>
      <c r="O93" s="373"/>
      <c r="P93" s="373"/>
      <c r="Q93" s="373"/>
      <c r="R93" s="373"/>
      <c r="S93" s="373"/>
      <c r="T93" s="373"/>
      <c r="U93" s="373"/>
      <c r="V93" s="373"/>
      <c r="W93" s="373"/>
      <c r="X93" s="373"/>
      <c r="Y93" s="373"/>
      <c r="Z93" s="373"/>
      <c r="AA93" s="373"/>
      <c r="AB93" s="373"/>
      <c r="AC93" s="373"/>
      <c r="AD93" s="373"/>
      <c r="AE93" s="373"/>
      <c r="AF93" s="373"/>
      <c r="AG93" s="373"/>
      <c r="AH93" s="373"/>
      <c r="AI93" s="373"/>
      <c r="AJ93" s="373"/>
      <c r="AK93" s="373"/>
      <c r="AL93" s="373"/>
      <c r="AM93" s="373"/>
      <c r="AN93" s="373"/>
      <c r="AO93" s="373"/>
      <c r="AP93" s="373"/>
      <c r="AQ93" s="373"/>
      <c r="AR93" s="373"/>
      <c r="AS93" s="373"/>
      <c r="AT93" s="373"/>
      <c r="AU93" s="373"/>
      <c r="AV93" s="373"/>
      <c r="AW93" s="373"/>
      <c r="AX93" s="373"/>
      <c r="AY93" s="373"/>
      <c r="AZ93" s="373"/>
      <c r="BA93" s="373"/>
      <c r="BB93" s="373"/>
      <c r="BC93" s="373"/>
      <c r="BD93" s="373"/>
      <c r="BE93" s="373"/>
      <c r="BF93" s="373"/>
      <c r="BG93" s="373"/>
      <c r="BH93" s="373"/>
      <c r="BI93" s="373"/>
      <c r="BJ93" s="373"/>
      <c r="BK93" s="373"/>
      <c r="BL93" s="373"/>
      <c r="BM93" s="373"/>
      <c r="BN93" s="373"/>
      <c r="BO93" s="373"/>
      <c r="BP93" s="373"/>
      <c r="BQ93" s="373"/>
      <c r="BR93" s="373"/>
      <c r="BS93" s="373"/>
      <c r="BT93" s="373"/>
      <c r="BU93" s="373"/>
      <c r="BV93" s="373"/>
      <c r="BW93" s="373"/>
      <c r="BX93" s="373"/>
      <c r="BY93" s="373"/>
      <c r="BZ93" s="373"/>
      <c r="CA93" s="373"/>
      <c r="CB93" s="373"/>
      <c r="CC93" s="373"/>
      <c r="CD93" s="373"/>
      <c r="CE93" s="373"/>
      <c r="CF93" s="373"/>
      <c r="CG93" s="373"/>
      <c r="CH93" s="373"/>
      <c r="CI93" s="373"/>
      <c r="CJ93" s="373"/>
      <c r="CK93" s="373"/>
      <c r="CL93" s="373"/>
      <c r="CM93" s="373"/>
      <c r="CN93" s="373"/>
      <c r="CO93" s="373"/>
      <c r="CP93" s="373"/>
      <c r="CQ93" s="373"/>
      <c r="CR93" s="373"/>
      <c r="CS93" s="373"/>
      <c r="CT93" s="373"/>
      <c r="CU93" s="373"/>
      <c r="CV93" s="373"/>
      <c r="CW93" s="373"/>
      <c r="CX93" s="373"/>
      <c r="CY93" s="373"/>
      <c r="CZ93" s="373"/>
      <c r="DA93" s="373"/>
      <c r="DB93" s="373"/>
      <c r="DC93" s="373"/>
      <c r="DD93" s="373"/>
      <c r="DE93" s="373"/>
      <c r="DF93" s="373"/>
      <c r="DG93" s="373"/>
      <c r="DH93" s="373"/>
      <c r="DI93" s="373"/>
      <c r="DJ93" s="373"/>
      <c r="DK93" s="373"/>
      <c r="DL93" s="373"/>
      <c r="DM93" s="373"/>
      <c r="DN93" s="373"/>
      <c r="DO93" s="373"/>
      <c r="DP93" s="373"/>
      <c r="DQ93" s="373"/>
      <c r="DR93" s="373"/>
      <c r="DS93" s="373"/>
      <c r="DT93" s="373"/>
      <c r="DU93" s="373"/>
      <c r="DV93" s="373"/>
      <c r="DW93" s="373"/>
      <c r="DX93" s="373"/>
      <c r="DY93" s="373"/>
      <c r="DZ93" s="373"/>
      <c r="EA93" s="373"/>
      <c r="EB93" s="373"/>
      <c r="EC93" s="373"/>
      <c r="ED93" s="373"/>
      <c r="EE93" s="373"/>
      <c r="EF93" s="373"/>
      <c r="EG93" s="373"/>
      <c r="EH93" s="373"/>
      <c r="EI93" s="373"/>
      <c r="EJ93" s="373"/>
      <c r="EK93" s="373"/>
      <c r="EL93" s="373"/>
      <c r="EM93" s="373"/>
      <c r="EN93" s="373"/>
      <c r="EO93" s="373"/>
      <c r="EP93" s="373"/>
      <c r="EQ93" s="373"/>
      <c r="ER93" s="373"/>
      <c r="ES93" s="373"/>
      <c r="ET93" s="373"/>
      <c r="EU93" s="373"/>
      <c r="EV93" s="373"/>
      <c r="EW93" s="373"/>
      <c r="EX93" s="373"/>
      <c r="EY93" s="373"/>
      <c r="EZ93" s="373"/>
      <c r="FA93" s="373"/>
      <c r="FB93" s="373"/>
      <c r="FC93" s="373"/>
      <c r="FD93" s="373"/>
      <c r="FE93" s="373"/>
      <c r="FF93" s="373"/>
      <c r="FG93" s="373"/>
      <c r="FH93" s="373"/>
      <c r="FI93" s="373"/>
      <c r="FJ93" s="373"/>
      <c r="FK93" s="373"/>
      <c r="FL93" s="373"/>
      <c r="FM93" s="373"/>
      <c r="FN93" s="373"/>
      <c r="FO93" s="373"/>
      <c r="FP93" s="373"/>
      <c r="FQ93" s="373"/>
      <c r="FR93" s="373"/>
      <c r="FS93" s="373"/>
      <c r="FT93" s="373"/>
      <c r="FU93" s="373"/>
      <c r="FV93" s="373"/>
      <c r="FW93" s="373"/>
      <c r="FX93" s="373"/>
      <c r="FY93" s="373"/>
      <c r="FZ93" s="373"/>
      <c r="GA93" s="373"/>
      <c r="GB93" s="373"/>
      <c r="GC93" s="373"/>
      <c r="GD93" s="373"/>
      <c r="GE93" s="373"/>
      <c r="GF93" s="373"/>
      <c r="GG93" s="373"/>
      <c r="GH93" s="373"/>
      <c r="GI93" s="373"/>
      <c r="GJ93" s="373"/>
      <c r="GK93" s="373"/>
      <c r="GL93" s="373"/>
      <c r="GM93" s="373"/>
      <c r="GN93" s="373"/>
      <c r="GO93" s="373"/>
      <c r="GP93" s="373"/>
      <c r="GQ93" s="373"/>
      <c r="GR93" s="373"/>
      <c r="GS93" s="373"/>
      <c r="GT93" s="373"/>
      <c r="GU93" s="373"/>
      <c r="GV93" s="373"/>
      <c r="GW93" s="373"/>
      <c r="GX93" s="373"/>
      <c r="GY93" s="373"/>
      <c r="GZ93" s="373"/>
      <c r="HA93" s="373"/>
      <c r="HB93" s="373"/>
      <c r="HC93" s="373"/>
      <c r="HD93" s="373"/>
      <c r="HE93" s="373"/>
      <c r="HF93" s="373"/>
      <c r="HG93" s="373"/>
      <c r="HH93" s="373"/>
      <c r="HI93" s="373"/>
      <c r="HJ93" s="373"/>
      <c r="HK93" s="373"/>
      <c r="HL93" s="373"/>
      <c r="HM93" s="373"/>
      <c r="HN93" s="373"/>
      <c r="HO93" s="373"/>
      <c r="HP93" s="373"/>
      <c r="HQ93" s="373"/>
      <c r="HR93" s="373"/>
      <c r="HS93" s="373"/>
      <c r="HT93" s="373"/>
      <c r="HU93" s="373"/>
      <c r="HV93" s="373"/>
      <c r="HW93" s="373"/>
      <c r="HX93" s="373"/>
      <c r="HY93" s="373"/>
      <c r="HZ93" s="373"/>
      <c r="IA93" s="373"/>
      <c r="IB93" s="373"/>
      <c r="IC93" s="373"/>
      <c r="ID93" s="373"/>
      <c r="IE93" s="373"/>
      <c r="IF93" s="373"/>
      <c r="IG93" s="373"/>
      <c r="IH93" s="373"/>
      <c r="II93" s="373"/>
      <c r="IJ93" s="373"/>
      <c r="IK93" s="373"/>
      <c r="IL93" s="373"/>
      <c r="IM93" s="373"/>
      <c r="IN93" s="373"/>
      <c r="IO93" s="373"/>
      <c r="IP93" s="373"/>
      <c r="IQ93" s="373"/>
      <c r="IR93" s="373"/>
      <c r="IS93" s="373"/>
      <c r="IT93" s="373"/>
      <c r="IU93" s="373"/>
      <c r="IV93" s="373"/>
    </row>
    <row r="94" spans="1:256" ht="14.25" x14ac:dyDescent="0.2">
      <c r="A94" s="241"/>
      <c r="B94" s="241"/>
      <c r="C94" s="241"/>
      <c r="D94" s="241"/>
      <c r="E94" s="241"/>
      <c r="F94" s="241"/>
      <c r="G94" s="241"/>
      <c r="H94" s="241"/>
      <c r="I94" s="241"/>
      <c r="J94" s="241"/>
      <c r="K94" s="241"/>
      <c r="L94" s="241"/>
      <c r="M94" s="374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75"/>
      <c r="AA94" s="375"/>
      <c r="AB94" s="375"/>
      <c r="AC94" s="375"/>
      <c r="AD94" s="375"/>
      <c r="AE94" s="375"/>
      <c r="AF94" s="375"/>
      <c r="AG94" s="375"/>
      <c r="AH94" s="375"/>
      <c r="AI94" s="375"/>
      <c r="AJ94" s="375"/>
      <c r="AK94" s="375"/>
      <c r="AL94" s="375"/>
      <c r="AM94" s="375"/>
      <c r="AN94" s="375"/>
      <c r="AO94" s="375"/>
      <c r="AP94" s="375"/>
      <c r="AQ94" s="375"/>
      <c r="AR94" s="375"/>
      <c r="AS94" s="375"/>
      <c r="AT94" s="375"/>
      <c r="AU94" s="375"/>
      <c r="AV94" s="375"/>
      <c r="AW94" s="375"/>
      <c r="AX94" s="375"/>
      <c r="AY94" s="375"/>
      <c r="AZ94" s="375"/>
      <c r="BA94" s="375"/>
      <c r="BB94" s="375"/>
      <c r="BC94" s="375"/>
      <c r="BD94" s="375"/>
      <c r="BE94" s="375"/>
      <c r="BF94" s="375"/>
      <c r="BG94" s="375"/>
      <c r="BH94" s="375"/>
      <c r="BI94" s="375"/>
      <c r="BJ94" s="375"/>
      <c r="BK94" s="375"/>
      <c r="BL94" s="375"/>
      <c r="BM94" s="375"/>
      <c r="BN94" s="375"/>
      <c r="BO94" s="375"/>
      <c r="BP94" s="375"/>
      <c r="BQ94" s="375"/>
      <c r="BR94" s="375"/>
      <c r="BS94" s="375"/>
      <c r="BT94" s="375"/>
      <c r="BU94" s="375"/>
      <c r="BV94" s="375"/>
      <c r="BW94" s="375"/>
      <c r="BX94" s="375"/>
      <c r="BY94" s="375"/>
      <c r="BZ94" s="375"/>
      <c r="CA94" s="375"/>
      <c r="CB94" s="375"/>
      <c r="CC94" s="375"/>
      <c r="CD94" s="375"/>
      <c r="CE94" s="375"/>
      <c r="CF94" s="375"/>
      <c r="CG94" s="375"/>
      <c r="CH94" s="375"/>
      <c r="CI94" s="375"/>
      <c r="CJ94" s="375"/>
      <c r="CK94" s="375"/>
      <c r="CL94" s="375"/>
      <c r="CM94" s="375"/>
      <c r="CN94" s="375"/>
      <c r="CO94" s="375"/>
      <c r="CP94" s="375"/>
      <c r="CQ94" s="375"/>
      <c r="CR94" s="375"/>
      <c r="CS94" s="375"/>
      <c r="CT94" s="375"/>
      <c r="CU94" s="375"/>
      <c r="CV94" s="375"/>
      <c r="CW94" s="375"/>
      <c r="CX94" s="375"/>
      <c r="CY94" s="375"/>
      <c r="CZ94" s="375"/>
      <c r="DA94" s="375"/>
      <c r="DB94" s="375"/>
      <c r="DC94" s="375"/>
      <c r="DD94" s="375"/>
      <c r="DE94" s="375"/>
      <c r="DF94" s="375"/>
      <c r="DG94" s="375"/>
      <c r="DH94" s="375"/>
      <c r="DI94" s="375"/>
      <c r="DJ94" s="375"/>
      <c r="DK94" s="375"/>
      <c r="DL94" s="375"/>
      <c r="DM94" s="375"/>
      <c r="DN94" s="375"/>
      <c r="DO94" s="375"/>
      <c r="DP94" s="375"/>
      <c r="DQ94" s="375"/>
      <c r="DR94" s="375"/>
      <c r="DS94" s="375"/>
      <c r="DT94" s="375"/>
      <c r="DU94" s="375"/>
      <c r="DV94" s="375"/>
      <c r="DW94" s="375"/>
      <c r="DX94" s="375"/>
      <c r="DY94" s="375"/>
      <c r="DZ94" s="375"/>
      <c r="EA94" s="375"/>
      <c r="EB94" s="375"/>
      <c r="EC94" s="375"/>
      <c r="ED94" s="375"/>
      <c r="EE94" s="375"/>
      <c r="EF94" s="375"/>
      <c r="EG94" s="375"/>
      <c r="EH94" s="375"/>
      <c r="EI94" s="375"/>
      <c r="EJ94" s="375"/>
      <c r="EK94" s="375"/>
      <c r="EL94" s="375"/>
      <c r="EM94" s="375"/>
      <c r="EN94" s="375"/>
      <c r="EO94" s="375"/>
      <c r="EP94" s="375"/>
      <c r="EQ94" s="375"/>
      <c r="ER94" s="375"/>
      <c r="ES94" s="375"/>
      <c r="ET94" s="375"/>
      <c r="EU94" s="375"/>
      <c r="EV94" s="375"/>
      <c r="EW94" s="375"/>
      <c r="EX94" s="375"/>
      <c r="EY94" s="375"/>
      <c r="EZ94" s="375"/>
      <c r="FA94" s="375"/>
      <c r="FB94" s="375"/>
      <c r="FC94" s="375"/>
      <c r="FD94" s="375"/>
      <c r="FE94" s="375"/>
      <c r="FF94" s="375"/>
      <c r="FG94" s="375"/>
      <c r="FH94" s="375"/>
      <c r="FI94" s="375"/>
      <c r="FJ94" s="375"/>
      <c r="FK94" s="375"/>
      <c r="FL94" s="375"/>
      <c r="FM94" s="375"/>
      <c r="FN94" s="375"/>
      <c r="FO94" s="375"/>
      <c r="FP94" s="375"/>
      <c r="FQ94" s="375"/>
      <c r="FR94" s="375"/>
      <c r="FS94" s="375"/>
      <c r="FT94" s="375"/>
      <c r="FU94" s="375"/>
      <c r="FV94" s="375"/>
      <c r="FW94" s="375"/>
      <c r="FX94" s="375"/>
      <c r="FY94" s="375"/>
      <c r="FZ94" s="375"/>
      <c r="GA94" s="375"/>
      <c r="GB94" s="375"/>
      <c r="GC94" s="375"/>
      <c r="GD94" s="375"/>
      <c r="GE94" s="375"/>
      <c r="GF94" s="375"/>
      <c r="GG94" s="375"/>
      <c r="GH94" s="375"/>
      <c r="GI94" s="375"/>
      <c r="GJ94" s="375"/>
      <c r="GK94" s="375"/>
      <c r="GL94" s="375"/>
      <c r="GM94" s="375"/>
      <c r="GN94" s="375"/>
      <c r="GO94" s="375"/>
      <c r="GP94" s="375"/>
      <c r="GQ94" s="375"/>
      <c r="GR94" s="375"/>
      <c r="GS94" s="375"/>
      <c r="GT94" s="375"/>
      <c r="GU94" s="375"/>
      <c r="GV94" s="375"/>
      <c r="GW94" s="375"/>
      <c r="GX94" s="375"/>
      <c r="GY94" s="375"/>
      <c r="GZ94" s="375"/>
      <c r="HA94" s="375"/>
      <c r="HB94" s="375"/>
      <c r="HC94" s="375"/>
      <c r="HD94" s="375"/>
      <c r="HE94" s="375"/>
      <c r="HF94" s="375"/>
      <c r="HG94" s="375"/>
      <c r="HH94" s="375"/>
      <c r="HI94" s="375"/>
      <c r="HJ94" s="375"/>
      <c r="HK94" s="375"/>
      <c r="HL94" s="375"/>
      <c r="HM94" s="375"/>
      <c r="HN94" s="375"/>
      <c r="HO94" s="375"/>
      <c r="HP94" s="375"/>
      <c r="HQ94" s="375"/>
      <c r="HR94" s="375"/>
      <c r="HS94" s="375"/>
      <c r="HT94" s="375"/>
      <c r="HU94" s="375"/>
      <c r="HV94" s="375"/>
      <c r="HW94" s="375"/>
      <c r="HX94" s="375"/>
      <c r="HY94" s="375"/>
      <c r="HZ94" s="375"/>
      <c r="IA94" s="375"/>
      <c r="IB94" s="375"/>
      <c r="IC94" s="375"/>
      <c r="ID94" s="375"/>
      <c r="IE94" s="375"/>
      <c r="IF94" s="375"/>
      <c r="IG94" s="375"/>
      <c r="IH94" s="375"/>
      <c r="II94" s="375"/>
      <c r="IJ94" s="375"/>
      <c r="IK94" s="375"/>
      <c r="IL94" s="375"/>
      <c r="IM94" s="375"/>
      <c r="IN94" s="375"/>
      <c r="IO94" s="375"/>
      <c r="IP94" s="375"/>
      <c r="IQ94" s="375"/>
      <c r="IR94" s="375"/>
      <c r="IS94" s="375"/>
      <c r="IT94" s="375"/>
      <c r="IU94" s="375"/>
      <c r="IV94" s="375"/>
    </row>
    <row r="95" spans="1:256" ht="30" x14ac:dyDescent="0.25">
      <c r="A95" s="239"/>
      <c r="B95" s="239"/>
      <c r="C95" s="239"/>
      <c r="D95" s="242" t="s">
        <v>194</v>
      </c>
      <c r="E95" s="242"/>
      <c r="F95" s="242"/>
      <c r="G95" s="242"/>
      <c r="H95" s="242"/>
      <c r="I95" s="243"/>
      <c r="J95" s="244">
        <f>I82-J93</f>
        <v>13773.55</v>
      </c>
      <c r="K95" s="245"/>
      <c r="L95" s="244">
        <f>K82-L93</f>
        <v>86939.49</v>
      </c>
      <c r="M95" s="374" t="e">
        <v>#REF!</v>
      </c>
      <c r="N95" s="373"/>
      <c r="O95" s="373"/>
      <c r="P95" s="373"/>
      <c r="Q95" s="373"/>
      <c r="R95" s="373"/>
      <c r="S95" s="373"/>
      <c r="T95" s="373"/>
      <c r="U95" s="373"/>
      <c r="V95" s="373"/>
      <c r="W95" s="373"/>
      <c r="X95" s="373"/>
      <c r="Y95" s="373"/>
      <c r="Z95" s="373"/>
      <c r="AA95" s="373"/>
      <c r="AB95" s="373"/>
      <c r="AC95" s="373"/>
      <c r="AD95" s="373"/>
      <c r="AE95" s="373"/>
      <c r="AF95" s="373"/>
      <c r="AG95" s="373"/>
      <c r="AH95" s="373"/>
      <c r="AI95" s="373"/>
      <c r="AJ95" s="373"/>
      <c r="AK95" s="373"/>
      <c r="AL95" s="373"/>
      <c r="AM95" s="373"/>
      <c r="AN95" s="373"/>
      <c r="AO95" s="373"/>
      <c r="AP95" s="373"/>
      <c r="AQ95" s="373"/>
      <c r="AR95" s="373"/>
      <c r="AS95" s="373"/>
      <c r="AT95" s="373"/>
      <c r="AU95" s="373"/>
      <c r="AV95" s="373"/>
      <c r="AW95" s="373"/>
      <c r="AX95" s="373"/>
      <c r="AY95" s="373"/>
      <c r="AZ95" s="373"/>
      <c r="BA95" s="373"/>
      <c r="BB95" s="373"/>
      <c r="BC95" s="373"/>
      <c r="BD95" s="373"/>
      <c r="BE95" s="373"/>
      <c r="BF95" s="373"/>
      <c r="BG95" s="373"/>
      <c r="BH95" s="373"/>
      <c r="BI95" s="373"/>
      <c r="BJ95" s="373"/>
      <c r="BK95" s="373"/>
      <c r="BL95" s="373"/>
      <c r="BM95" s="373"/>
      <c r="BN95" s="373"/>
      <c r="BO95" s="373"/>
      <c r="BP95" s="373"/>
      <c r="BQ95" s="373"/>
      <c r="BR95" s="373"/>
      <c r="BS95" s="373"/>
      <c r="BT95" s="373"/>
      <c r="BU95" s="373"/>
      <c r="BV95" s="373"/>
      <c r="BW95" s="373"/>
      <c r="BX95" s="373"/>
      <c r="BY95" s="373"/>
      <c r="BZ95" s="373"/>
      <c r="CA95" s="373"/>
      <c r="CB95" s="373"/>
      <c r="CC95" s="373"/>
      <c r="CD95" s="373"/>
      <c r="CE95" s="373"/>
      <c r="CF95" s="373"/>
      <c r="CG95" s="373"/>
      <c r="CH95" s="373"/>
      <c r="CI95" s="373"/>
      <c r="CJ95" s="373"/>
      <c r="CK95" s="373"/>
      <c r="CL95" s="373"/>
      <c r="CM95" s="373"/>
      <c r="CN95" s="373"/>
      <c r="CO95" s="373"/>
      <c r="CP95" s="373"/>
      <c r="CQ95" s="373"/>
      <c r="CR95" s="373"/>
      <c r="CS95" s="373"/>
      <c r="CT95" s="373"/>
      <c r="CU95" s="373"/>
      <c r="CV95" s="373"/>
      <c r="CW95" s="373"/>
      <c r="CX95" s="373"/>
      <c r="CY95" s="373"/>
      <c r="CZ95" s="373"/>
      <c r="DA95" s="373"/>
      <c r="DB95" s="373"/>
      <c r="DC95" s="373"/>
      <c r="DD95" s="373"/>
      <c r="DE95" s="373"/>
      <c r="DF95" s="373"/>
      <c r="DG95" s="373"/>
      <c r="DH95" s="373"/>
      <c r="DI95" s="373"/>
      <c r="DJ95" s="373"/>
      <c r="DK95" s="373"/>
      <c r="DL95" s="373"/>
      <c r="DM95" s="373"/>
      <c r="DN95" s="373"/>
      <c r="DO95" s="373"/>
      <c r="DP95" s="373"/>
      <c r="DQ95" s="373"/>
      <c r="DR95" s="373"/>
      <c r="DS95" s="373"/>
      <c r="DT95" s="373"/>
      <c r="DU95" s="373"/>
      <c r="DV95" s="373"/>
      <c r="DW95" s="373"/>
      <c r="DX95" s="373"/>
      <c r="DY95" s="373"/>
      <c r="DZ95" s="373"/>
      <c r="EA95" s="373"/>
      <c r="EB95" s="373"/>
      <c r="EC95" s="373"/>
      <c r="ED95" s="373"/>
      <c r="EE95" s="373"/>
      <c r="EF95" s="373"/>
      <c r="EG95" s="373"/>
      <c r="EH95" s="373"/>
      <c r="EI95" s="373"/>
      <c r="EJ95" s="373"/>
      <c r="EK95" s="373"/>
      <c r="EL95" s="373"/>
      <c r="EM95" s="373"/>
      <c r="EN95" s="373"/>
      <c r="EO95" s="373"/>
      <c r="EP95" s="373"/>
      <c r="EQ95" s="373"/>
      <c r="ER95" s="373"/>
      <c r="ES95" s="373"/>
      <c r="ET95" s="373"/>
      <c r="EU95" s="373"/>
      <c r="EV95" s="373"/>
      <c r="EW95" s="373"/>
      <c r="EX95" s="373"/>
      <c r="EY95" s="373"/>
      <c r="EZ95" s="373"/>
      <c r="FA95" s="373"/>
      <c r="FB95" s="373"/>
      <c r="FC95" s="373"/>
      <c r="FD95" s="373"/>
      <c r="FE95" s="373"/>
      <c r="FF95" s="373"/>
      <c r="FG95" s="373"/>
      <c r="FH95" s="373"/>
      <c r="FI95" s="373"/>
      <c r="FJ95" s="373"/>
      <c r="FK95" s="373"/>
      <c r="FL95" s="373"/>
      <c r="FM95" s="373"/>
      <c r="FN95" s="373"/>
      <c r="FO95" s="373"/>
      <c r="FP95" s="373"/>
      <c r="FQ95" s="373"/>
      <c r="FR95" s="373"/>
      <c r="FS95" s="373"/>
      <c r="FT95" s="373"/>
      <c r="FU95" s="373"/>
      <c r="FV95" s="373"/>
      <c r="FW95" s="373"/>
      <c r="FX95" s="373"/>
      <c r="FY95" s="373"/>
      <c r="FZ95" s="373"/>
      <c r="GA95" s="373"/>
      <c r="GB95" s="373"/>
      <c r="GC95" s="373"/>
      <c r="GD95" s="373"/>
      <c r="GE95" s="373"/>
      <c r="GF95" s="373"/>
      <c r="GG95" s="373"/>
      <c r="GH95" s="373"/>
      <c r="GI95" s="373"/>
      <c r="GJ95" s="373"/>
      <c r="GK95" s="373"/>
      <c r="GL95" s="373"/>
      <c r="GM95" s="373"/>
      <c r="GN95" s="373"/>
      <c r="GO95" s="373"/>
      <c r="GP95" s="373"/>
      <c r="GQ95" s="373"/>
      <c r="GR95" s="373"/>
      <c r="GS95" s="373"/>
      <c r="GT95" s="373"/>
      <c r="GU95" s="373"/>
      <c r="GV95" s="373"/>
      <c r="GW95" s="373"/>
      <c r="GX95" s="373"/>
      <c r="GY95" s="373"/>
      <c r="GZ95" s="373"/>
      <c r="HA95" s="373"/>
      <c r="HB95" s="373"/>
      <c r="HC95" s="373"/>
      <c r="HD95" s="373"/>
      <c r="HE95" s="373"/>
      <c r="HF95" s="373"/>
      <c r="HG95" s="373"/>
      <c r="HH95" s="373"/>
      <c r="HI95" s="373"/>
      <c r="HJ95" s="373"/>
      <c r="HK95" s="373"/>
      <c r="HL95" s="373"/>
      <c r="HM95" s="373"/>
      <c r="HN95" s="373"/>
      <c r="HO95" s="373"/>
      <c r="HP95" s="373"/>
      <c r="HQ95" s="373"/>
      <c r="HR95" s="373"/>
      <c r="HS95" s="373"/>
      <c r="HT95" s="373"/>
      <c r="HU95" s="373"/>
      <c r="HV95" s="373"/>
      <c r="HW95" s="373"/>
      <c r="HX95" s="373"/>
      <c r="HY95" s="373"/>
      <c r="HZ95" s="373"/>
      <c r="IA95" s="373"/>
      <c r="IB95" s="373"/>
      <c r="IC95" s="373"/>
      <c r="ID95" s="373"/>
      <c r="IE95" s="373"/>
      <c r="IF95" s="373"/>
      <c r="IG95" s="373"/>
      <c r="IH95" s="373"/>
      <c r="II95" s="373"/>
      <c r="IJ95" s="373"/>
      <c r="IK95" s="373"/>
      <c r="IL95" s="373"/>
      <c r="IM95" s="373"/>
      <c r="IN95" s="373"/>
      <c r="IO95" s="373"/>
      <c r="IP95" s="373"/>
      <c r="IQ95" s="373"/>
      <c r="IR95" s="373"/>
      <c r="IS95" s="373"/>
      <c r="IT95" s="373"/>
      <c r="IU95" s="373"/>
      <c r="IV95" s="373"/>
    </row>
    <row r="96" spans="1:256" ht="14.25" x14ac:dyDescent="0.2">
      <c r="A96" s="239"/>
      <c r="B96" s="239"/>
      <c r="C96" s="239"/>
      <c r="D96" s="246" t="s">
        <v>69</v>
      </c>
      <c r="E96" s="246"/>
      <c r="F96" s="246"/>
      <c r="G96" s="246"/>
      <c r="H96" s="246"/>
      <c r="I96" s="247"/>
      <c r="J96" s="248">
        <f>J95-J99</f>
        <v>13773.55</v>
      </c>
      <c r="K96" s="249"/>
      <c r="L96" s="248">
        <f>L95-L99</f>
        <v>86939.49</v>
      </c>
      <c r="M96" s="374"/>
      <c r="N96" s="373"/>
      <c r="O96" s="373"/>
      <c r="P96" s="373"/>
      <c r="Q96" s="373"/>
      <c r="R96" s="373"/>
      <c r="S96" s="373"/>
      <c r="T96" s="373"/>
      <c r="U96" s="373"/>
      <c r="V96" s="373"/>
      <c r="W96" s="373"/>
      <c r="X96" s="373"/>
      <c r="Y96" s="373"/>
      <c r="Z96" s="373"/>
      <c r="AA96" s="373"/>
      <c r="AB96" s="373"/>
      <c r="AC96" s="373"/>
      <c r="AD96" s="373"/>
      <c r="AE96" s="373"/>
      <c r="AF96" s="373"/>
      <c r="AG96" s="373"/>
      <c r="AH96" s="373"/>
      <c r="AI96" s="373"/>
      <c r="AJ96" s="373"/>
      <c r="AK96" s="373"/>
      <c r="AL96" s="373"/>
      <c r="AM96" s="373"/>
      <c r="AN96" s="373"/>
      <c r="AO96" s="373"/>
      <c r="AP96" s="373"/>
      <c r="AQ96" s="373"/>
      <c r="AR96" s="373"/>
      <c r="AS96" s="373"/>
      <c r="AT96" s="373"/>
      <c r="AU96" s="373"/>
      <c r="AV96" s="373"/>
      <c r="AW96" s="373"/>
      <c r="AX96" s="373"/>
      <c r="AY96" s="373"/>
      <c r="AZ96" s="373"/>
      <c r="BA96" s="373"/>
      <c r="BB96" s="373"/>
      <c r="BC96" s="373"/>
      <c r="BD96" s="373"/>
      <c r="BE96" s="373"/>
      <c r="BF96" s="373"/>
      <c r="BG96" s="373"/>
      <c r="BH96" s="373"/>
      <c r="BI96" s="373"/>
      <c r="BJ96" s="373"/>
      <c r="BK96" s="373"/>
      <c r="BL96" s="373"/>
      <c r="BM96" s="373"/>
      <c r="BN96" s="373"/>
      <c r="BO96" s="373"/>
      <c r="BP96" s="373"/>
      <c r="BQ96" s="373"/>
      <c r="BR96" s="373"/>
      <c r="BS96" s="373"/>
      <c r="BT96" s="373"/>
      <c r="BU96" s="373"/>
      <c r="BV96" s="373"/>
      <c r="BW96" s="373"/>
      <c r="BX96" s="373"/>
      <c r="BY96" s="373"/>
      <c r="BZ96" s="373"/>
      <c r="CA96" s="373"/>
      <c r="CB96" s="373"/>
      <c r="CC96" s="373"/>
      <c r="CD96" s="373"/>
      <c r="CE96" s="373"/>
      <c r="CF96" s="373"/>
      <c r="CG96" s="373"/>
      <c r="CH96" s="373"/>
      <c r="CI96" s="373"/>
      <c r="CJ96" s="373"/>
      <c r="CK96" s="373"/>
      <c r="CL96" s="373"/>
      <c r="CM96" s="373"/>
      <c r="CN96" s="373"/>
      <c r="CO96" s="373"/>
      <c r="CP96" s="373"/>
      <c r="CQ96" s="373"/>
      <c r="CR96" s="373"/>
      <c r="CS96" s="373"/>
      <c r="CT96" s="373"/>
      <c r="CU96" s="373"/>
      <c r="CV96" s="373"/>
      <c r="CW96" s="373"/>
      <c r="CX96" s="373"/>
      <c r="CY96" s="373"/>
      <c r="CZ96" s="373"/>
      <c r="DA96" s="373"/>
      <c r="DB96" s="373"/>
      <c r="DC96" s="373"/>
      <c r="DD96" s="373"/>
      <c r="DE96" s="373"/>
      <c r="DF96" s="373"/>
      <c r="DG96" s="373"/>
      <c r="DH96" s="373"/>
      <c r="DI96" s="373"/>
      <c r="DJ96" s="373"/>
      <c r="DK96" s="373"/>
      <c r="DL96" s="373"/>
      <c r="DM96" s="373"/>
      <c r="DN96" s="373"/>
      <c r="DO96" s="373"/>
      <c r="DP96" s="373"/>
      <c r="DQ96" s="373"/>
      <c r="DR96" s="373"/>
      <c r="DS96" s="373"/>
      <c r="DT96" s="373"/>
      <c r="DU96" s="373"/>
      <c r="DV96" s="373"/>
      <c r="DW96" s="373"/>
      <c r="DX96" s="373"/>
      <c r="DY96" s="373"/>
      <c r="DZ96" s="373"/>
      <c r="EA96" s="373"/>
      <c r="EB96" s="373"/>
      <c r="EC96" s="373"/>
      <c r="ED96" s="373"/>
      <c r="EE96" s="373"/>
      <c r="EF96" s="373"/>
      <c r="EG96" s="373"/>
      <c r="EH96" s="373"/>
      <c r="EI96" s="373"/>
      <c r="EJ96" s="373"/>
      <c r="EK96" s="373"/>
      <c r="EL96" s="373"/>
      <c r="EM96" s="373"/>
      <c r="EN96" s="373"/>
      <c r="EO96" s="373"/>
      <c r="EP96" s="373"/>
      <c r="EQ96" s="373"/>
      <c r="ER96" s="373"/>
      <c r="ES96" s="373"/>
      <c r="ET96" s="373"/>
      <c r="EU96" s="373"/>
      <c r="EV96" s="373"/>
      <c r="EW96" s="373"/>
      <c r="EX96" s="373"/>
      <c r="EY96" s="373"/>
      <c r="EZ96" s="373"/>
      <c r="FA96" s="373"/>
      <c r="FB96" s="373"/>
      <c r="FC96" s="373"/>
      <c r="FD96" s="373"/>
      <c r="FE96" s="373"/>
      <c r="FF96" s="373"/>
      <c r="FG96" s="373"/>
      <c r="FH96" s="373"/>
      <c r="FI96" s="373"/>
      <c r="FJ96" s="373"/>
      <c r="FK96" s="373"/>
      <c r="FL96" s="373"/>
      <c r="FM96" s="373"/>
      <c r="FN96" s="373"/>
      <c r="FO96" s="373"/>
      <c r="FP96" s="373"/>
      <c r="FQ96" s="373"/>
      <c r="FR96" s="373"/>
      <c r="FS96" s="373"/>
      <c r="FT96" s="373"/>
      <c r="FU96" s="373"/>
      <c r="FV96" s="373"/>
      <c r="FW96" s="373"/>
      <c r="FX96" s="373"/>
      <c r="FY96" s="373"/>
      <c r="FZ96" s="373"/>
      <c r="GA96" s="373"/>
      <c r="GB96" s="373"/>
      <c r="GC96" s="373"/>
      <c r="GD96" s="373"/>
      <c r="GE96" s="373"/>
      <c r="GF96" s="373"/>
      <c r="GG96" s="373"/>
      <c r="GH96" s="373"/>
      <c r="GI96" s="373"/>
      <c r="GJ96" s="373"/>
      <c r="GK96" s="373"/>
      <c r="GL96" s="373"/>
      <c r="GM96" s="373"/>
      <c r="GN96" s="373"/>
      <c r="GO96" s="373"/>
      <c r="GP96" s="373"/>
      <c r="GQ96" s="373"/>
      <c r="GR96" s="373"/>
      <c r="GS96" s="373"/>
      <c r="GT96" s="373"/>
      <c r="GU96" s="373"/>
      <c r="GV96" s="373"/>
      <c r="GW96" s="373"/>
      <c r="GX96" s="373"/>
      <c r="GY96" s="373"/>
      <c r="GZ96" s="373"/>
      <c r="HA96" s="373"/>
      <c r="HB96" s="373"/>
      <c r="HC96" s="373"/>
      <c r="HD96" s="373"/>
      <c r="HE96" s="373"/>
      <c r="HF96" s="373"/>
      <c r="HG96" s="373"/>
      <c r="HH96" s="373"/>
      <c r="HI96" s="373"/>
      <c r="HJ96" s="373"/>
      <c r="HK96" s="373"/>
      <c r="HL96" s="373"/>
      <c r="HM96" s="373"/>
      <c r="HN96" s="373"/>
      <c r="HO96" s="373"/>
      <c r="HP96" s="373"/>
      <c r="HQ96" s="373"/>
      <c r="HR96" s="373"/>
      <c r="HS96" s="373"/>
      <c r="HT96" s="373"/>
      <c r="HU96" s="373"/>
      <c r="HV96" s="373"/>
      <c r="HW96" s="373"/>
      <c r="HX96" s="373"/>
      <c r="HY96" s="373"/>
      <c r="HZ96" s="373"/>
      <c r="IA96" s="373"/>
      <c r="IB96" s="373"/>
      <c r="IC96" s="373"/>
      <c r="ID96" s="373"/>
      <c r="IE96" s="373"/>
      <c r="IF96" s="373"/>
      <c r="IG96" s="373"/>
      <c r="IH96" s="373"/>
      <c r="II96" s="373"/>
      <c r="IJ96" s="373"/>
      <c r="IK96" s="373"/>
      <c r="IL96" s="373"/>
      <c r="IM96" s="373"/>
      <c r="IN96" s="373"/>
      <c r="IO96" s="373"/>
      <c r="IP96" s="373"/>
      <c r="IQ96" s="373"/>
      <c r="IR96" s="373"/>
      <c r="IS96" s="373"/>
      <c r="IT96" s="373"/>
      <c r="IU96" s="373"/>
      <c r="IV96" s="373"/>
    </row>
    <row r="97" spans="1:256" ht="14.25" x14ac:dyDescent="0.2">
      <c r="A97" s="239"/>
      <c r="B97" s="239"/>
      <c r="C97" s="239"/>
      <c r="D97" s="246" t="s">
        <v>70</v>
      </c>
      <c r="E97" s="246"/>
      <c r="F97" s="246"/>
      <c r="G97" s="246"/>
      <c r="H97" s="246"/>
      <c r="I97" s="247"/>
      <c r="J97" s="248">
        <f ca="1">I86+I87</f>
        <v>363.93</v>
      </c>
      <c r="K97" s="249"/>
      <c r="L97" s="248">
        <f>K86+K87</f>
        <v>8818.02</v>
      </c>
      <c r="M97" s="374">
        <v>23353.06</v>
      </c>
      <c r="N97" s="373"/>
      <c r="O97" s="373"/>
      <c r="P97" s="373"/>
      <c r="Q97" s="373"/>
      <c r="R97" s="373"/>
      <c r="S97" s="373"/>
      <c r="T97" s="373"/>
      <c r="U97" s="373"/>
      <c r="V97" s="373"/>
      <c r="W97" s="373"/>
      <c r="X97" s="373"/>
      <c r="Y97" s="373"/>
      <c r="Z97" s="373"/>
      <c r="AA97" s="373"/>
      <c r="AB97" s="373"/>
      <c r="AC97" s="373"/>
      <c r="AD97" s="373"/>
      <c r="AE97" s="373"/>
      <c r="AF97" s="373"/>
      <c r="AG97" s="373"/>
      <c r="AH97" s="373"/>
      <c r="AI97" s="373"/>
      <c r="AJ97" s="373"/>
      <c r="AK97" s="373"/>
      <c r="AL97" s="373"/>
      <c r="AM97" s="373"/>
      <c r="AN97" s="373"/>
      <c r="AO97" s="373"/>
      <c r="AP97" s="373"/>
      <c r="AQ97" s="373"/>
      <c r="AR97" s="373"/>
      <c r="AS97" s="373"/>
      <c r="AT97" s="373"/>
      <c r="AU97" s="373"/>
      <c r="AV97" s="373"/>
      <c r="AW97" s="373"/>
      <c r="AX97" s="373"/>
      <c r="AY97" s="373"/>
      <c r="AZ97" s="373"/>
      <c r="BA97" s="373"/>
      <c r="BB97" s="373"/>
      <c r="BC97" s="373"/>
      <c r="BD97" s="373"/>
      <c r="BE97" s="373"/>
      <c r="BF97" s="373"/>
      <c r="BG97" s="373"/>
      <c r="BH97" s="373"/>
      <c r="BI97" s="373"/>
      <c r="BJ97" s="373"/>
      <c r="BK97" s="373"/>
      <c r="BL97" s="373"/>
      <c r="BM97" s="373"/>
      <c r="BN97" s="373"/>
      <c r="BO97" s="373"/>
      <c r="BP97" s="373"/>
      <c r="BQ97" s="373"/>
      <c r="BR97" s="373"/>
      <c r="BS97" s="373"/>
      <c r="BT97" s="373"/>
      <c r="BU97" s="373"/>
      <c r="BV97" s="373"/>
      <c r="BW97" s="373"/>
      <c r="BX97" s="373"/>
      <c r="BY97" s="373"/>
      <c r="BZ97" s="373"/>
      <c r="CA97" s="373"/>
      <c r="CB97" s="373"/>
      <c r="CC97" s="373"/>
      <c r="CD97" s="373"/>
      <c r="CE97" s="373"/>
      <c r="CF97" s="373"/>
      <c r="CG97" s="373"/>
      <c r="CH97" s="373"/>
      <c r="CI97" s="373"/>
      <c r="CJ97" s="373"/>
      <c r="CK97" s="373"/>
      <c r="CL97" s="373"/>
      <c r="CM97" s="373"/>
      <c r="CN97" s="373"/>
      <c r="CO97" s="373"/>
      <c r="CP97" s="373"/>
      <c r="CQ97" s="373"/>
      <c r="CR97" s="373"/>
      <c r="CS97" s="373"/>
      <c r="CT97" s="373"/>
      <c r="CU97" s="373"/>
      <c r="CV97" s="373"/>
      <c r="CW97" s="373"/>
      <c r="CX97" s="373"/>
      <c r="CY97" s="373"/>
      <c r="CZ97" s="373"/>
      <c r="DA97" s="373"/>
      <c r="DB97" s="373"/>
      <c r="DC97" s="373"/>
      <c r="DD97" s="373"/>
      <c r="DE97" s="373"/>
      <c r="DF97" s="373"/>
      <c r="DG97" s="373"/>
      <c r="DH97" s="373"/>
      <c r="DI97" s="373"/>
      <c r="DJ97" s="373"/>
      <c r="DK97" s="373"/>
      <c r="DL97" s="373"/>
      <c r="DM97" s="373"/>
      <c r="DN97" s="373"/>
      <c r="DO97" s="373"/>
      <c r="DP97" s="373"/>
      <c r="DQ97" s="373"/>
      <c r="DR97" s="373"/>
      <c r="DS97" s="373"/>
      <c r="DT97" s="373"/>
      <c r="DU97" s="373"/>
      <c r="DV97" s="373"/>
      <c r="DW97" s="373"/>
      <c r="DX97" s="373"/>
      <c r="DY97" s="373"/>
      <c r="DZ97" s="373"/>
      <c r="EA97" s="373"/>
      <c r="EB97" s="373"/>
      <c r="EC97" s="373"/>
      <c r="ED97" s="373"/>
      <c r="EE97" s="373"/>
      <c r="EF97" s="373"/>
      <c r="EG97" s="373"/>
      <c r="EH97" s="373"/>
      <c r="EI97" s="373"/>
      <c r="EJ97" s="373"/>
      <c r="EK97" s="373"/>
      <c r="EL97" s="373"/>
      <c r="EM97" s="373"/>
      <c r="EN97" s="373"/>
      <c r="EO97" s="373"/>
      <c r="EP97" s="373"/>
      <c r="EQ97" s="373"/>
      <c r="ER97" s="373"/>
      <c r="ES97" s="373"/>
      <c r="ET97" s="373"/>
      <c r="EU97" s="373"/>
      <c r="EV97" s="373"/>
      <c r="EW97" s="373"/>
      <c r="EX97" s="373"/>
      <c r="EY97" s="373"/>
      <c r="EZ97" s="373"/>
      <c r="FA97" s="373"/>
      <c r="FB97" s="373"/>
      <c r="FC97" s="373"/>
      <c r="FD97" s="373"/>
      <c r="FE97" s="373"/>
      <c r="FF97" s="373"/>
      <c r="FG97" s="373"/>
      <c r="FH97" s="373"/>
      <c r="FI97" s="373"/>
      <c r="FJ97" s="373"/>
      <c r="FK97" s="373"/>
      <c r="FL97" s="373"/>
      <c r="FM97" s="373"/>
      <c r="FN97" s="373"/>
      <c r="FO97" s="373"/>
      <c r="FP97" s="373"/>
      <c r="FQ97" s="373"/>
      <c r="FR97" s="373"/>
      <c r="FS97" s="373"/>
      <c r="FT97" s="373"/>
      <c r="FU97" s="373"/>
      <c r="FV97" s="373"/>
      <c r="FW97" s="373"/>
      <c r="FX97" s="373"/>
      <c r="FY97" s="373"/>
      <c r="FZ97" s="373"/>
      <c r="GA97" s="373"/>
      <c r="GB97" s="373"/>
      <c r="GC97" s="373"/>
      <c r="GD97" s="373"/>
      <c r="GE97" s="373"/>
      <c r="GF97" s="373"/>
      <c r="GG97" s="373"/>
      <c r="GH97" s="373"/>
      <c r="GI97" s="373"/>
      <c r="GJ97" s="373"/>
      <c r="GK97" s="373"/>
      <c r="GL97" s="373"/>
      <c r="GM97" s="373"/>
      <c r="GN97" s="373"/>
      <c r="GO97" s="373"/>
      <c r="GP97" s="373"/>
      <c r="GQ97" s="373"/>
      <c r="GR97" s="373"/>
      <c r="GS97" s="373"/>
      <c r="GT97" s="373"/>
      <c r="GU97" s="373"/>
      <c r="GV97" s="373"/>
      <c r="GW97" s="373"/>
      <c r="GX97" s="373"/>
      <c r="GY97" s="373"/>
      <c r="GZ97" s="373"/>
      <c r="HA97" s="373"/>
      <c r="HB97" s="373"/>
      <c r="HC97" s="373"/>
      <c r="HD97" s="373"/>
      <c r="HE97" s="373"/>
      <c r="HF97" s="373"/>
      <c r="HG97" s="373"/>
      <c r="HH97" s="373"/>
      <c r="HI97" s="373"/>
      <c r="HJ97" s="373"/>
      <c r="HK97" s="373"/>
      <c r="HL97" s="373"/>
      <c r="HM97" s="373"/>
      <c r="HN97" s="373"/>
      <c r="HO97" s="373"/>
      <c r="HP97" s="373"/>
      <c r="HQ97" s="373"/>
      <c r="HR97" s="373"/>
      <c r="HS97" s="373"/>
      <c r="HT97" s="373"/>
      <c r="HU97" s="373"/>
      <c r="HV97" s="373"/>
      <c r="HW97" s="373"/>
      <c r="HX97" s="373"/>
      <c r="HY97" s="373"/>
      <c r="HZ97" s="373"/>
      <c r="IA97" s="373"/>
      <c r="IB97" s="373"/>
      <c r="IC97" s="373"/>
      <c r="ID97" s="373"/>
      <c r="IE97" s="373"/>
      <c r="IF97" s="373"/>
      <c r="IG97" s="373"/>
      <c r="IH97" s="373"/>
      <c r="II97" s="373"/>
      <c r="IJ97" s="373"/>
      <c r="IK97" s="373"/>
      <c r="IL97" s="373"/>
      <c r="IM97" s="373"/>
      <c r="IN97" s="373"/>
      <c r="IO97" s="373"/>
      <c r="IP97" s="373"/>
      <c r="IQ97" s="373"/>
      <c r="IR97" s="373"/>
      <c r="IS97" s="373"/>
      <c r="IT97" s="373"/>
      <c r="IU97" s="373"/>
      <c r="IV97" s="373"/>
    </row>
    <row r="98" spans="1:256" ht="14.25" x14ac:dyDescent="0.2">
      <c r="A98" s="239"/>
      <c r="B98" s="239"/>
      <c r="C98" s="239"/>
      <c r="D98" s="246" t="s">
        <v>195</v>
      </c>
      <c r="E98" s="246"/>
      <c r="F98" s="246"/>
      <c r="G98" s="246"/>
      <c r="H98" s="246"/>
      <c r="I98" s="247"/>
      <c r="J98" s="248">
        <f ca="1">I85</f>
        <v>12587.75</v>
      </c>
      <c r="K98" s="249"/>
      <c r="L98" s="248">
        <f>K85</f>
        <v>65100.1</v>
      </c>
      <c r="M98" s="374" t="e">
        <v>#REF!</v>
      </c>
      <c r="N98" s="373"/>
      <c r="O98" s="373"/>
      <c r="P98" s="373"/>
      <c r="Q98" s="373"/>
      <c r="R98" s="373"/>
      <c r="S98" s="373"/>
      <c r="T98" s="373"/>
      <c r="U98" s="373"/>
      <c r="V98" s="373"/>
      <c r="W98" s="373"/>
      <c r="X98" s="373"/>
      <c r="Y98" s="373"/>
      <c r="Z98" s="373"/>
      <c r="AA98" s="373"/>
      <c r="AB98" s="373"/>
      <c r="AC98" s="373"/>
      <c r="AD98" s="373"/>
      <c r="AE98" s="373"/>
      <c r="AF98" s="373"/>
      <c r="AG98" s="373"/>
      <c r="AH98" s="373"/>
      <c r="AI98" s="373"/>
      <c r="AJ98" s="373"/>
      <c r="AK98" s="373"/>
      <c r="AL98" s="373"/>
      <c r="AM98" s="373"/>
      <c r="AN98" s="373"/>
      <c r="AO98" s="373"/>
      <c r="AP98" s="373"/>
      <c r="AQ98" s="373"/>
      <c r="AR98" s="373"/>
      <c r="AS98" s="373"/>
      <c r="AT98" s="373"/>
      <c r="AU98" s="373"/>
      <c r="AV98" s="373"/>
      <c r="AW98" s="373"/>
      <c r="AX98" s="373"/>
      <c r="AY98" s="373"/>
      <c r="AZ98" s="373"/>
      <c r="BA98" s="373"/>
      <c r="BB98" s="373"/>
      <c r="BC98" s="373"/>
      <c r="BD98" s="373"/>
      <c r="BE98" s="373"/>
      <c r="BF98" s="373"/>
      <c r="BG98" s="373"/>
      <c r="BH98" s="373"/>
      <c r="BI98" s="373"/>
      <c r="BJ98" s="373"/>
      <c r="BK98" s="373"/>
      <c r="BL98" s="373"/>
      <c r="BM98" s="373"/>
      <c r="BN98" s="373"/>
      <c r="BO98" s="373"/>
      <c r="BP98" s="373"/>
      <c r="BQ98" s="373"/>
      <c r="BR98" s="373"/>
      <c r="BS98" s="373"/>
      <c r="BT98" s="373"/>
      <c r="BU98" s="373"/>
      <c r="BV98" s="373"/>
      <c r="BW98" s="373"/>
      <c r="BX98" s="373"/>
      <c r="BY98" s="373"/>
      <c r="BZ98" s="373"/>
      <c r="CA98" s="373"/>
      <c r="CB98" s="373"/>
      <c r="CC98" s="373"/>
      <c r="CD98" s="373"/>
      <c r="CE98" s="373"/>
      <c r="CF98" s="373"/>
      <c r="CG98" s="373"/>
      <c r="CH98" s="373"/>
      <c r="CI98" s="373"/>
      <c r="CJ98" s="373"/>
      <c r="CK98" s="373"/>
      <c r="CL98" s="373"/>
      <c r="CM98" s="373"/>
      <c r="CN98" s="373"/>
      <c r="CO98" s="373"/>
      <c r="CP98" s="373"/>
      <c r="CQ98" s="373"/>
      <c r="CR98" s="373"/>
      <c r="CS98" s="373"/>
      <c r="CT98" s="373"/>
      <c r="CU98" s="373"/>
      <c r="CV98" s="373"/>
      <c r="CW98" s="373"/>
      <c r="CX98" s="373"/>
      <c r="CY98" s="373"/>
      <c r="CZ98" s="373"/>
      <c r="DA98" s="373"/>
      <c r="DB98" s="373"/>
      <c r="DC98" s="373"/>
      <c r="DD98" s="373"/>
      <c r="DE98" s="373"/>
      <c r="DF98" s="373"/>
      <c r="DG98" s="373"/>
      <c r="DH98" s="373"/>
      <c r="DI98" s="373"/>
      <c r="DJ98" s="373"/>
      <c r="DK98" s="373"/>
      <c r="DL98" s="373"/>
      <c r="DM98" s="373"/>
      <c r="DN98" s="373"/>
      <c r="DO98" s="373"/>
      <c r="DP98" s="373"/>
      <c r="DQ98" s="373"/>
      <c r="DR98" s="373"/>
      <c r="DS98" s="373"/>
      <c r="DT98" s="373"/>
      <c r="DU98" s="373"/>
      <c r="DV98" s="373"/>
      <c r="DW98" s="373"/>
      <c r="DX98" s="373"/>
      <c r="DY98" s="373"/>
      <c r="DZ98" s="373"/>
      <c r="EA98" s="373"/>
      <c r="EB98" s="373"/>
      <c r="EC98" s="373"/>
      <c r="ED98" s="373"/>
      <c r="EE98" s="373"/>
      <c r="EF98" s="373"/>
      <c r="EG98" s="373"/>
      <c r="EH98" s="373"/>
      <c r="EI98" s="373"/>
      <c r="EJ98" s="373"/>
      <c r="EK98" s="373"/>
      <c r="EL98" s="373"/>
      <c r="EM98" s="373"/>
      <c r="EN98" s="373"/>
      <c r="EO98" s="373"/>
      <c r="EP98" s="373"/>
      <c r="EQ98" s="373"/>
      <c r="ER98" s="373"/>
      <c r="ES98" s="373"/>
      <c r="ET98" s="373"/>
      <c r="EU98" s="373"/>
      <c r="EV98" s="373"/>
      <c r="EW98" s="373"/>
      <c r="EX98" s="373"/>
      <c r="EY98" s="373"/>
      <c r="EZ98" s="373"/>
      <c r="FA98" s="373"/>
      <c r="FB98" s="373"/>
      <c r="FC98" s="373"/>
      <c r="FD98" s="373"/>
      <c r="FE98" s="373"/>
      <c r="FF98" s="373"/>
      <c r="FG98" s="373"/>
      <c r="FH98" s="373"/>
      <c r="FI98" s="373"/>
      <c r="FJ98" s="373"/>
      <c r="FK98" s="373"/>
      <c r="FL98" s="373"/>
      <c r="FM98" s="373"/>
      <c r="FN98" s="373"/>
      <c r="FO98" s="373"/>
      <c r="FP98" s="373"/>
      <c r="FQ98" s="373"/>
      <c r="FR98" s="373"/>
      <c r="FS98" s="373"/>
      <c r="FT98" s="373"/>
      <c r="FU98" s="373"/>
      <c r="FV98" s="373"/>
      <c r="FW98" s="373"/>
      <c r="FX98" s="373"/>
      <c r="FY98" s="373"/>
      <c r="FZ98" s="373"/>
      <c r="GA98" s="373"/>
      <c r="GB98" s="373"/>
      <c r="GC98" s="373"/>
      <c r="GD98" s="373"/>
      <c r="GE98" s="373"/>
      <c r="GF98" s="373"/>
      <c r="GG98" s="373"/>
      <c r="GH98" s="373"/>
      <c r="GI98" s="373"/>
      <c r="GJ98" s="373"/>
      <c r="GK98" s="373"/>
      <c r="GL98" s="373"/>
      <c r="GM98" s="373"/>
      <c r="GN98" s="373"/>
      <c r="GO98" s="373"/>
      <c r="GP98" s="373"/>
      <c r="GQ98" s="373"/>
      <c r="GR98" s="373"/>
      <c r="GS98" s="373"/>
      <c r="GT98" s="373"/>
      <c r="GU98" s="373"/>
      <c r="GV98" s="373"/>
      <c r="GW98" s="373"/>
      <c r="GX98" s="373"/>
      <c r="GY98" s="373"/>
      <c r="GZ98" s="373"/>
      <c r="HA98" s="373"/>
      <c r="HB98" s="373"/>
      <c r="HC98" s="373"/>
      <c r="HD98" s="373"/>
      <c r="HE98" s="373"/>
      <c r="HF98" s="373"/>
      <c r="HG98" s="373"/>
      <c r="HH98" s="373"/>
      <c r="HI98" s="373"/>
      <c r="HJ98" s="373"/>
      <c r="HK98" s="373"/>
      <c r="HL98" s="373"/>
      <c r="HM98" s="373"/>
      <c r="HN98" s="373"/>
      <c r="HO98" s="373"/>
      <c r="HP98" s="373"/>
      <c r="HQ98" s="373"/>
      <c r="HR98" s="373"/>
      <c r="HS98" s="373"/>
      <c r="HT98" s="373"/>
      <c r="HU98" s="373"/>
      <c r="HV98" s="373"/>
      <c r="HW98" s="373"/>
      <c r="HX98" s="373"/>
      <c r="HY98" s="373"/>
      <c r="HZ98" s="373"/>
      <c r="IA98" s="373"/>
      <c r="IB98" s="373"/>
      <c r="IC98" s="373"/>
      <c r="ID98" s="373"/>
      <c r="IE98" s="373"/>
      <c r="IF98" s="373"/>
      <c r="IG98" s="373"/>
      <c r="IH98" s="373"/>
      <c r="II98" s="373"/>
      <c r="IJ98" s="373"/>
      <c r="IK98" s="373"/>
      <c r="IL98" s="373"/>
      <c r="IM98" s="373"/>
      <c r="IN98" s="373"/>
      <c r="IO98" s="373"/>
      <c r="IP98" s="373"/>
      <c r="IQ98" s="373"/>
      <c r="IR98" s="373"/>
      <c r="IS98" s="373"/>
      <c r="IT98" s="373"/>
      <c r="IU98" s="373"/>
      <c r="IV98" s="373"/>
    </row>
    <row r="99" spans="1:256" ht="14.25" x14ac:dyDescent="0.2">
      <c r="A99" s="250"/>
      <c r="B99" s="250"/>
      <c r="C99" s="250"/>
      <c r="D99" s="251" t="s">
        <v>157</v>
      </c>
      <c r="E99" s="251"/>
      <c r="F99" s="251"/>
      <c r="G99" s="251"/>
      <c r="H99" s="251"/>
      <c r="I99" s="252"/>
      <c r="J99" s="253">
        <v>0</v>
      </c>
      <c r="K99" s="254"/>
      <c r="L99" s="253">
        <v>0</v>
      </c>
      <c r="M99" s="374"/>
      <c r="N99" s="376"/>
      <c r="O99" s="376"/>
      <c r="P99" s="376"/>
      <c r="Q99" s="376"/>
      <c r="R99" s="376"/>
      <c r="S99" s="376"/>
      <c r="T99" s="376"/>
      <c r="U99" s="376"/>
      <c r="V99" s="376"/>
      <c r="W99" s="376"/>
      <c r="X99" s="376"/>
      <c r="Y99" s="376"/>
      <c r="Z99" s="376"/>
      <c r="AA99" s="376"/>
      <c r="AB99" s="376"/>
      <c r="AC99" s="376"/>
      <c r="AD99" s="376"/>
      <c r="AE99" s="376"/>
      <c r="AF99" s="376"/>
      <c r="AG99" s="376"/>
      <c r="AH99" s="376"/>
      <c r="AI99" s="376"/>
      <c r="AJ99" s="376"/>
      <c r="AK99" s="376"/>
      <c r="AL99" s="376"/>
      <c r="AM99" s="376"/>
      <c r="AN99" s="376"/>
      <c r="AO99" s="376"/>
      <c r="AP99" s="376"/>
      <c r="AQ99" s="376"/>
      <c r="AR99" s="376"/>
      <c r="AS99" s="376"/>
      <c r="AT99" s="376"/>
      <c r="AU99" s="376"/>
      <c r="AV99" s="376"/>
      <c r="AW99" s="376"/>
      <c r="AX99" s="376"/>
      <c r="AY99" s="376"/>
      <c r="AZ99" s="376"/>
      <c r="BA99" s="376"/>
      <c r="BB99" s="376"/>
      <c r="BC99" s="376"/>
      <c r="BD99" s="376"/>
      <c r="BE99" s="376"/>
      <c r="BF99" s="376"/>
      <c r="BG99" s="376"/>
      <c r="BH99" s="376"/>
      <c r="BI99" s="376"/>
      <c r="BJ99" s="376"/>
      <c r="BK99" s="376"/>
      <c r="BL99" s="376"/>
      <c r="BM99" s="376"/>
      <c r="BN99" s="376"/>
      <c r="BO99" s="376"/>
      <c r="BP99" s="376"/>
      <c r="BQ99" s="376"/>
      <c r="BR99" s="376"/>
      <c r="BS99" s="376"/>
      <c r="BT99" s="376"/>
      <c r="BU99" s="376"/>
      <c r="BV99" s="376"/>
      <c r="BW99" s="376"/>
      <c r="BX99" s="376"/>
      <c r="BY99" s="376"/>
      <c r="BZ99" s="376"/>
      <c r="CA99" s="376"/>
      <c r="CB99" s="376"/>
      <c r="CC99" s="376"/>
      <c r="CD99" s="376"/>
      <c r="CE99" s="376"/>
      <c r="CF99" s="376"/>
      <c r="CG99" s="376"/>
      <c r="CH99" s="376"/>
      <c r="CI99" s="376"/>
      <c r="CJ99" s="376"/>
      <c r="CK99" s="376"/>
      <c r="CL99" s="376"/>
      <c r="CM99" s="376"/>
      <c r="CN99" s="376"/>
      <c r="CO99" s="376"/>
      <c r="CP99" s="376"/>
      <c r="CQ99" s="376"/>
      <c r="CR99" s="376"/>
      <c r="CS99" s="376"/>
      <c r="CT99" s="376"/>
      <c r="CU99" s="376"/>
      <c r="CV99" s="376"/>
      <c r="CW99" s="376"/>
      <c r="CX99" s="376"/>
      <c r="CY99" s="376"/>
      <c r="CZ99" s="376"/>
      <c r="DA99" s="376"/>
      <c r="DB99" s="376"/>
      <c r="DC99" s="376"/>
      <c r="DD99" s="376"/>
      <c r="DE99" s="376"/>
      <c r="DF99" s="376"/>
      <c r="DG99" s="376"/>
      <c r="DH99" s="376"/>
      <c r="DI99" s="376"/>
      <c r="DJ99" s="376"/>
      <c r="DK99" s="376"/>
      <c r="DL99" s="376"/>
      <c r="DM99" s="376"/>
      <c r="DN99" s="376"/>
      <c r="DO99" s="376"/>
      <c r="DP99" s="376"/>
      <c r="DQ99" s="376"/>
      <c r="DR99" s="376"/>
      <c r="DS99" s="376"/>
      <c r="DT99" s="376"/>
      <c r="DU99" s="376"/>
      <c r="DV99" s="376"/>
      <c r="DW99" s="376"/>
      <c r="DX99" s="376"/>
      <c r="DY99" s="376"/>
      <c r="DZ99" s="376"/>
      <c r="EA99" s="376"/>
      <c r="EB99" s="376"/>
      <c r="EC99" s="376"/>
      <c r="ED99" s="376"/>
      <c r="EE99" s="376"/>
      <c r="EF99" s="376"/>
      <c r="EG99" s="376"/>
      <c r="EH99" s="376"/>
      <c r="EI99" s="376"/>
      <c r="EJ99" s="376"/>
      <c r="EK99" s="376"/>
      <c r="EL99" s="376"/>
      <c r="EM99" s="376"/>
      <c r="EN99" s="376"/>
      <c r="EO99" s="376"/>
      <c r="EP99" s="376"/>
      <c r="EQ99" s="376"/>
      <c r="ER99" s="376"/>
      <c r="ES99" s="376"/>
      <c r="ET99" s="376"/>
      <c r="EU99" s="376"/>
      <c r="EV99" s="376"/>
      <c r="EW99" s="376"/>
      <c r="EX99" s="376"/>
      <c r="EY99" s="376"/>
      <c r="EZ99" s="376"/>
      <c r="FA99" s="376"/>
      <c r="FB99" s="376"/>
      <c r="FC99" s="376"/>
      <c r="FD99" s="376"/>
      <c r="FE99" s="376"/>
      <c r="FF99" s="376"/>
      <c r="FG99" s="376"/>
      <c r="FH99" s="376"/>
      <c r="FI99" s="376"/>
      <c r="FJ99" s="376"/>
      <c r="FK99" s="376"/>
      <c r="FL99" s="376"/>
      <c r="FM99" s="376"/>
      <c r="FN99" s="376"/>
      <c r="FO99" s="376"/>
      <c r="FP99" s="376"/>
      <c r="FQ99" s="376"/>
      <c r="FR99" s="376"/>
      <c r="FS99" s="376"/>
      <c r="FT99" s="376"/>
      <c r="FU99" s="376"/>
      <c r="FV99" s="376"/>
      <c r="FW99" s="376"/>
      <c r="FX99" s="376"/>
      <c r="FY99" s="376"/>
      <c r="FZ99" s="376"/>
      <c r="GA99" s="376"/>
      <c r="GB99" s="376"/>
      <c r="GC99" s="376"/>
      <c r="GD99" s="376"/>
      <c r="GE99" s="376"/>
      <c r="GF99" s="376"/>
      <c r="GG99" s="376"/>
      <c r="GH99" s="376"/>
      <c r="GI99" s="376"/>
      <c r="GJ99" s="376"/>
      <c r="GK99" s="376"/>
      <c r="GL99" s="376"/>
      <c r="GM99" s="376"/>
      <c r="GN99" s="376"/>
      <c r="GO99" s="376"/>
      <c r="GP99" s="376"/>
      <c r="GQ99" s="376"/>
      <c r="GR99" s="376"/>
      <c r="GS99" s="376"/>
      <c r="GT99" s="376"/>
      <c r="GU99" s="376"/>
      <c r="GV99" s="376"/>
      <c r="GW99" s="376"/>
      <c r="GX99" s="376"/>
      <c r="GY99" s="376"/>
      <c r="GZ99" s="376"/>
      <c r="HA99" s="376"/>
      <c r="HB99" s="376"/>
      <c r="HC99" s="376"/>
      <c r="HD99" s="376"/>
      <c r="HE99" s="376"/>
      <c r="HF99" s="376"/>
      <c r="HG99" s="376"/>
      <c r="HH99" s="376"/>
      <c r="HI99" s="376"/>
      <c r="HJ99" s="376"/>
      <c r="HK99" s="376"/>
      <c r="HL99" s="376"/>
      <c r="HM99" s="376"/>
      <c r="HN99" s="376"/>
      <c r="HO99" s="376"/>
      <c r="HP99" s="376"/>
      <c r="HQ99" s="376"/>
      <c r="HR99" s="376"/>
      <c r="HS99" s="376"/>
      <c r="HT99" s="376"/>
      <c r="HU99" s="376"/>
      <c r="HV99" s="376"/>
      <c r="HW99" s="376"/>
      <c r="HX99" s="376"/>
      <c r="HY99" s="376"/>
      <c r="HZ99" s="376"/>
      <c r="IA99" s="376"/>
      <c r="IB99" s="376"/>
      <c r="IC99" s="376"/>
      <c r="ID99" s="376"/>
      <c r="IE99" s="376"/>
      <c r="IF99" s="376"/>
      <c r="IG99" s="376"/>
      <c r="IH99" s="376"/>
      <c r="II99" s="376"/>
      <c r="IJ99" s="376"/>
      <c r="IK99" s="376"/>
      <c r="IL99" s="376"/>
      <c r="IM99" s="376"/>
      <c r="IN99" s="376"/>
      <c r="IO99" s="376"/>
      <c r="IP99" s="376"/>
      <c r="IQ99" s="376"/>
      <c r="IR99" s="376"/>
      <c r="IS99" s="376"/>
      <c r="IT99" s="376"/>
      <c r="IU99" s="376"/>
      <c r="IV99" s="376"/>
    </row>
    <row r="100" spans="1:256" ht="15" x14ac:dyDescent="0.25">
      <c r="A100" s="237"/>
      <c r="B100" s="237"/>
      <c r="C100" s="237"/>
      <c r="D100" s="377" t="s">
        <v>196</v>
      </c>
      <c r="E100" s="377"/>
      <c r="F100" s="377"/>
      <c r="G100" s="377"/>
      <c r="H100" s="377"/>
      <c r="I100" s="377"/>
      <c r="J100" s="378">
        <f ca="1">J97*15%</f>
        <v>54.59</v>
      </c>
      <c r="K100" s="378"/>
      <c r="L100" s="378">
        <f>L97*15%</f>
        <v>1322.7</v>
      </c>
      <c r="M100" s="370">
        <v>3502.96</v>
      </c>
      <c r="N100" s="371"/>
      <c r="O100" s="371"/>
      <c r="P100" s="371"/>
      <c r="Q100" s="371"/>
      <c r="R100" s="371"/>
      <c r="S100" s="371"/>
      <c r="T100" s="371"/>
      <c r="U100" s="371"/>
      <c r="V100" s="371"/>
      <c r="W100" s="371"/>
      <c r="X100" s="371"/>
      <c r="Y100" s="371"/>
      <c r="Z100" s="371"/>
      <c r="AA100" s="371"/>
      <c r="AB100" s="371"/>
      <c r="AC100" s="371"/>
      <c r="AD100" s="371"/>
      <c r="AE100" s="371"/>
      <c r="AF100" s="371"/>
      <c r="AG100" s="371"/>
      <c r="AH100" s="371"/>
      <c r="AI100" s="371"/>
      <c r="AJ100" s="371"/>
      <c r="AK100" s="371"/>
      <c r="AL100" s="371"/>
      <c r="AM100" s="371"/>
      <c r="AN100" s="371"/>
      <c r="AO100" s="371"/>
      <c r="AP100" s="371"/>
      <c r="AQ100" s="371"/>
      <c r="AR100" s="371"/>
      <c r="AS100" s="371"/>
      <c r="AT100" s="371"/>
      <c r="AU100" s="371"/>
      <c r="AV100" s="371"/>
      <c r="AW100" s="371"/>
      <c r="AX100" s="371"/>
      <c r="AY100" s="371"/>
      <c r="AZ100" s="371"/>
      <c r="BA100" s="371"/>
      <c r="BB100" s="371"/>
      <c r="BC100" s="371"/>
      <c r="BD100" s="371"/>
      <c r="BE100" s="371"/>
      <c r="BF100" s="371"/>
      <c r="BG100" s="371"/>
      <c r="BH100" s="371"/>
      <c r="BI100" s="371"/>
      <c r="BJ100" s="371"/>
      <c r="BK100" s="371"/>
      <c r="BL100" s="371"/>
      <c r="BM100" s="371"/>
      <c r="BN100" s="371"/>
      <c r="BO100" s="371"/>
      <c r="BP100" s="371"/>
      <c r="BQ100" s="371"/>
      <c r="BR100" s="371"/>
      <c r="BS100" s="371"/>
      <c r="BT100" s="371"/>
      <c r="BU100" s="371"/>
      <c r="BV100" s="371"/>
      <c r="BW100" s="371"/>
      <c r="BX100" s="371"/>
      <c r="BY100" s="371"/>
      <c r="BZ100" s="371"/>
      <c r="CA100" s="371"/>
      <c r="CB100" s="371"/>
      <c r="CC100" s="371"/>
      <c r="CD100" s="371"/>
      <c r="CE100" s="371"/>
      <c r="CF100" s="371"/>
      <c r="CG100" s="371"/>
      <c r="CH100" s="371"/>
      <c r="CI100" s="371"/>
      <c r="CJ100" s="371"/>
      <c r="CK100" s="371"/>
      <c r="CL100" s="371"/>
      <c r="CM100" s="371"/>
      <c r="CN100" s="371"/>
      <c r="CO100" s="371"/>
      <c r="CP100" s="371"/>
      <c r="CQ100" s="371"/>
      <c r="CR100" s="371"/>
      <c r="CS100" s="371"/>
      <c r="CT100" s="371"/>
      <c r="CU100" s="371"/>
      <c r="CV100" s="371"/>
      <c r="CW100" s="371"/>
      <c r="CX100" s="371"/>
      <c r="CY100" s="371"/>
      <c r="CZ100" s="371"/>
      <c r="DA100" s="371"/>
      <c r="DB100" s="371"/>
      <c r="DC100" s="371"/>
      <c r="DD100" s="371"/>
      <c r="DE100" s="371"/>
      <c r="DF100" s="371"/>
      <c r="DG100" s="371"/>
      <c r="DH100" s="371"/>
      <c r="DI100" s="371"/>
      <c r="DJ100" s="371"/>
      <c r="DK100" s="371"/>
      <c r="DL100" s="371"/>
      <c r="DM100" s="371"/>
      <c r="DN100" s="371"/>
      <c r="DO100" s="371"/>
      <c r="DP100" s="371"/>
      <c r="DQ100" s="371"/>
      <c r="DR100" s="371"/>
      <c r="DS100" s="371"/>
      <c r="DT100" s="371"/>
      <c r="DU100" s="371"/>
      <c r="DV100" s="371"/>
      <c r="DW100" s="371"/>
      <c r="DX100" s="371"/>
      <c r="DY100" s="371"/>
      <c r="DZ100" s="371"/>
      <c r="EA100" s="371"/>
      <c r="EB100" s="371"/>
      <c r="EC100" s="371"/>
      <c r="ED100" s="371"/>
      <c r="EE100" s="371"/>
      <c r="EF100" s="371"/>
      <c r="EG100" s="371"/>
      <c r="EH100" s="371"/>
      <c r="EI100" s="371"/>
      <c r="EJ100" s="371"/>
      <c r="EK100" s="371"/>
      <c r="EL100" s="371"/>
      <c r="EM100" s="371"/>
      <c r="EN100" s="371"/>
      <c r="EO100" s="371"/>
      <c r="EP100" s="371"/>
      <c r="EQ100" s="371"/>
      <c r="ER100" s="371"/>
      <c r="ES100" s="371"/>
      <c r="ET100" s="371"/>
      <c r="EU100" s="371"/>
      <c r="EV100" s="371"/>
      <c r="EW100" s="371"/>
      <c r="EX100" s="371"/>
      <c r="EY100" s="371"/>
      <c r="EZ100" s="371"/>
      <c r="FA100" s="371"/>
      <c r="FB100" s="371"/>
      <c r="FC100" s="371"/>
      <c r="FD100" s="371"/>
      <c r="FE100" s="371"/>
      <c r="FF100" s="371"/>
      <c r="FG100" s="371"/>
      <c r="FH100" s="371"/>
      <c r="FI100" s="371"/>
      <c r="FJ100" s="371"/>
      <c r="FK100" s="371"/>
      <c r="FL100" s="371"/>
      <c r="FM100" s="371"/>
      <c r="FN100" s="371"/>
      <c r="FO100" s="371"/>
      <c r="FP100" s="371"/>
      <c r="FQ100" s="371"/>
      <c r="FR100" s="371"/>
      <c r="FS100" s="371"/>
      <c r="FT100" s="371"/>
      <c r="FU100" s="371"/>
      <c r="FV100" s="371"/>
      <c r="FW100" s="371"/>
      <c r="FX100" s="371"/>
      <c r="FY100" s="371"/>
      <c r="FZ100" s="371"/>
      <c r="GA100" s="371"/>
      <c r="GB100" s="371"/>
      <c r="GC100" s="371"/>
      <c r="GD100" s="371"/>
      <c r="GE100" s="371"/>
      <c r="GF100" s="371"/>
      <c r="GG100" s="371"/>
      <c r="GH100" s="371"/>
      <c r="GI100" s="371"/>
      <c r="GJ100" s="371"/>
      <c r="GK100" s="371"/>
      <c r="GL100" s="371"/>
      <c r="GM100" s="371"/>
      <c r="GN100" s="371"/>
      <c r="GO100" s="371"/>
      <c r="GP100" s="371"/>
      <c r="GQ100" s="371"/>
      <c r="GR100" s="371"/>
      <c r="GS100" s="371"/>
      <c r="GT100" s="371"/>
      <c r="GU100" s="371"/>
      <c r="GV100" s="371"/>
      <c r="GW100" s="371"/>
      <c r="GX100" s="371"/>
      <c r="GY100" s="371"/>
      <c r="GZ100" s="371"/>
      <c r="HA100" s="371"/>
      <c r="HB100" s="371"/>
      <c r="HC100" s="371"/>
      <c r="HD100" s="371"/>
      <c r="HE100" s="371"/>
      <c r="HF100" s="371"/>
      <c r="HG100" s="371"/>
      <c r="HH100" s="371"/>
      <c r="HI100" s="371"/>
      <c r="HJ100" s="371"/>
      <c r="HK100" s="371"/>
      <c r="HL100" s="371"/>
      <c r="HM100" s="371"/>
      <c r="HN100" s="371"/>
      <c r="HO100" s="371"/>
      <c r="HP100" s="371"/>
      <c r="HQ100" s="371"/>
      <c r="HR100" s="371"/>
      <c r="HS100" s="371"/>
      <c r="HT100" s="371"/>
      <c r="HU100" s="371"/>
      <c r="HV100" s="371"/>
      <c r="HW100" s="371"/>
      <c r="HX100" s="371"/>
      <c r="HY100" s="371"/>
      <c r="HZ100" s="371"/>
      <c r="IA100" s="371"/>
      <c r="IB100" s="371"/>
      <c r="IC100" s="371"/>
      <c r="ID100" s="371"/>
      <c r="IE100" s="371"/>
      <c r="IF100" s="371"/>
      <c r="IG100" s="371"/>
      <c r="IH100" s="371"/>
      <c r="II100" s="371"/>
      <c r="IJ100" s="371"/>
      <c r="IK100" s="371"/>
      <c r="IL100" s="371"/>
      <c r="IM100" s="371"/>
      <c r="IN100" s="371"/>
      <c r="IO100" s="371"/>
      <c r="IP100" s="371"/>
      <c r="IQ100" s="371"/>
      <c r="IR100" s="371"/>
      <c r="IS100" s="371"/>
      <c r="IT100" s="371"/>
      <c r="IU100" s="371"/>
      <c r="IV100" s="371"/>
    </row>
    <row r="101" spans="1:256" ht="14.25" x14ac:dyDescent="0.2">
      <c r="A101" s="237"/>
      <c r="B101" s="237"/>
      <c r="C101" s="237"/>
      <c r="D101" s="379" t="s">
        <v>197</v>
      </c>
      <c r="E101" s="380"/>
      <c r="F101" s="380"/>
      <c r="G101" s="380"/>
      <c r="H101" s="380"/>
      <c r="I101" s="380"/>
      <c r="J101" s="381">
        <f ca="1">J95+J100</f>
        <v>13828.14</v>
      </c>
      <c r="K101" s="381"/>
      <c r="L101" s="381">
        <f>L95+L100</f>
        <v>88262.19</v>
      </c>
      <c r="M101" s="370" t="e">
        <v>#REF!</v>
      </c>
      <c r="N101" s="371"/>
      <c r="O101" s="371"/>
      <c r="P101" s="371"/>
      <c r="Q101" s="371"/>
      <c r="R101" s="371"/>
      <c r="S101" s="371"/>
      <c r="T101" s="371"/>
      <c r="U101" s="371"/>
      <c r="V101" s="371"/>
      <c r="W101" s="371"/>
      <c r="X101" s="371"/>
      <c r="Y101" s="371"/>
      <c r="Z101" s="371"/>
      <c r="AA101" s="371"/>
      <c r="AB101" s="371"/>
      <c r="AC101" s="371"/>
      <c r="AD101" s="371"/>
      <c r="AE101" s="371"/>
      <c r="AF101" s="371"/>
      <c r="AG101" s="371"/>
      <c r="AH101" s="371"/>
      <c r="AI101" s="371"/>
      <c r="AJ101" s="371"/>
      <c r="AK101" s="371"/>
      <c r="AL101" s="371"/>
      <c r="AM101" s="371"/>
      <c r="AN101" s="371"/>
      <c r="AO101" s="371"/>
      <c r="AP101" s="371"/>
      <c r="AQ101" s="371"/>
      <c r="AR101" s="371"/>
      <c r="AS101" s="371"/>
      <c r="AT101" s="371"/>
      <c r="AU101" s="371"/>
      <c r="AV101" s="371"/>
      <c r="AW101" s="371"/>
      <c r="AX101" s="371"/>
      <c r="AY101" s="371"/>
      <c r="AZ101" s="371"/>
      <c r="BA101" s="371"/>
      <c r="BB101" s="371"/>
      <c r="BC101" s="371"/>
      <c r="BD101" s="371"/>
      <c r="BE101" s="371"/>
      <c r="BF101" s="371"/>
      <c r="BG101" s="371"/>
      <c r="BH101" s="371"/>
      <c r="BI101" s="371"/>
      <c r="BJ101" s="371"/>
      <c r="BK101" s="371"/>
      <c r="BL101" s="371"/>
      <c r="BM101" s="371"/>
      <c r="BN101" s="371"/>
      <c r="BO101" s="371"/>
      <c r="BP101" s="371"/>
      <c r="BQ101" s="371"/>
      <c r="BR101" s="371"/>
      <c r="BS101" s="371"/>
      <c r="BT101" s="371"/>
      <c r="BU101" s="371"/>
      <c r="BV101" s="371"/>
      <c r="BW101" s="371"/>
      <c r="BX101" s="371"/>
      <c r="BY101" s="371"/>
      <c r="BZ101" s="371"/>
      <c r="CA101" s="371"/>
      <c r="CB101" s="371"/>
      <c r="CC101" s="371"/>
      <c r="CD101" s="371"/>
      <c r="CE101" s="371"/>
      <c r="CF101" s="371"/>
      <c r="CG101" s="371"/>
      <c r="CH101" s="371"/>
      <c r="CI101" s="371"/>
      <c r="CJ101" s="371"/>
      <c r="CK101" s="371"/>
      <c r="CL101" s="371"/>
      <c r="CM101" s="371"/>
      <c r="CN101" s="371"/>
      <c r="CO101" s="371"/>
      <c r="CP101" s="371"/>
      <c r="CQ101" s="371"/>
      <c r="CR101" s="371"/>
      <c r="CS101" s="371"/>
      <c r="CT101" s="371"/>
      <c r="CU101" s="371"/>
      <c r="CV101" s="371"/>
      <c r="CW101" s="371"/>
      <c r="CX101" s="371"/>
      <c r="CY101" s="371"/>
      <c r="CZ101" s="371"/>
      <c r="DA101" s="371"/>
      <c r="DB101" s="371"/>
      <c r="DC101" s="371"/>
      <c r="DD101" s="371"/>
      <c r="DE101" s="371"/>
      <c r="DF101" s="371"/>
      <c r="DG101" s="371"/>
      <c r="DH101" s="371"/>
      <c r="DI101" s="371"/>
      <c r="DJ101" s="371"/>
      <c r="DK101" s="371"/>
      <c r="DL101" s="371"/>
      <c r="DM101" s="371"/>
      <c r="DN101" s="371"/>
      <c r="DO101" s="371"/>
      <c r="DP101" s="371"/>
      <c r="DQ101" s="371"/>
      <c r="DR101" s="371"/>
      <c r="DS101" s="371"/>
      <c r="DT101" s="371"/>
      <c r="DU101" s="371"/>
      <c r="DV101" s="371"/>
      <c r="DW101" s="371"/>
      <c r="DX101" s="371"/>
      <c r="DY101" s="371"/>
      <c r="DZ101" s="371"/>
      <c r="EA101" s="371"/>
      <c r="EB101" s="371"/>
      <c r="EC101" s="371"/>
      <c r="ED101" s="371"/>
      <c r="EE101" s="371"/>
      <c r="EF101" s="371"/>
      <c r="EG101" s="371"/>
      <c r="EH101" s="371"/>
      <c r="EI101" s="371"/>
      <c r="EJ101" s="371"/>
      <c r="EK101" s="371"/>
      <c r="EL101" s="371"/>
      <c r="EM101" s="371"/>
      <c r="EN101" s="371"/>
      <c r="EO101" s="371"/>
      <c r="EP101" s="371"/>
      <c r="EQ101" s="371"/>
      <c r="ER101" s="371"/>
      <c r="ES101" s="371"/>
      <c r="ET101" s="371"/>
      <c r="EU101" s="371"/>
      <c r="EV101" s="371"/>
      <c r="EW101" s="371"/>
      <c r="EX101" s="371"/>
      <c r="EY101" s="371"/>
      <c r="EZ101" s="371"/>
      <c r="FA101" s="371"/>
      <c r="FB101" s="371"/>
      <c r="FC101" s="371"/>
      <c r="FD101" s="371"/>
      <c r="FE101" s="371"/>
      <c r="FF101" s="371"/>
      <c r="FG101" s="371"/>
      <c r="FH101" s="371"/>
      <c r="FI101" s="371"/>
      <c r="FJ101" s="371"/>
      <c r="FK101" s="371"/>
      <c r="FL101" s="371"/>
      <c r="FM101" s="371"/>
      <c r="FN101" s="371"/>
      <c r="FO101" s="371"/>
      <c r="FP101" s="371"/>
      <c r="FQ101" s="371"/>
      <c r="FR101" s="371"/>
      <c r="FS101" s="371"/>
      <c r="FT101" s="371"/>
      <c r="FU101" s="371"/>
      <c r="FV101" s="371"/>
      <c r="FW101" s="371"/>
      <c r="FX101" s="371"/>
      <c r="FY101" s="371"/>
      <c r="FZ101" s="371"/>
      <c r="GA101" s="371"/>
      <c r="GB101" s="371"/>
      <c r="GC101" s="371"/>
      <c r="GD101" s="371"/>
      <c r="GE101" s="371"/>
      <c r="GF101" s="371"/>
      <c r="GG101" s="371"/>
      <c r="GH101" s="371"/>
      <c r="GI101" s="371"/>
      <c r="GJ101" s="371"/>
      <c r="GK101" s="371"/>
      <c r="GL101" s="371"/>
      <c r="GM101" s="371"/>
      <c r="GN101" s="371"/>
      <c r="GO101" s="371"/>
      <c r="GP101" s="371"/>
      <c r="GQ101" s="371"/>
      <c r="GR101" s="371"/>
      <c r="GS101" s="371"/>
      <c r="GT101" s="371"/>
      <c r="GU101" s="371"/>
      <c r="GV101" s="371"/>
      <c r="GW101" s="371"/>
      <c r="GX101" s="371"/>
      <c r="GY101" s="371"/>
      <c r="GZ101" s="371"/>
      <c r="HA101" s="371"/>
      <c r="HB101" s="371"/>
      <c r="HC101" s="371"/>
      <c r="HD101" s="371"/>
      <c r="HE101" s="371"/>
      <c r="HF101" s="371"/>
      <c r="HG101" s="371"/>
      <c r="HH101" s="371"/>
      <c r="HI101" s="371"/>
      <c r="HJ101" s="371"/>
      <c r="HK101" s="371"/>
      <c r="HL101" s="371"/>
      <c r="HM101" s="371"/>
      <c r="HN101" s="371"/>
      <c r="HO101" s="371"/>
      <c r="HP101" s="371"/>
      <c r="HQ101" s="371"/>
      <c r="HR101" s="371"/>
      <c r="HS101" s="371"/>
      <c r="HT101" s="371"/>
      <c r="HU101" s="371"/>
      <c r="HV101" s="371"/>
      <c r="HW101" s="371"/>
      <c r="HX101" s="371"/>
      <c r="HY101" s="371"/>
      <c r="HZ101" s="371"/>
      <c r="IA101" s="371"/>
      <c r="IB101" s="371"/>
      <c r="IC101" s="371"/>
      <c r="ID101" s="371"/>
      <c r="IE101" s="371"/>
      <c r="IF101" s="371"/>
      <c r="IG101" s="371"/>
      <c r="IH101" s="371"/>
      <c r="II101" s="371"/>
      <c r="IJ101" s="371"/>
      <c r="IK101" s="371"/>
      <c r="IL101" s="371"/>
      <c r="IM101" s="371"/>
      <c r="IN101" s="371"/>
      <c r="IO101" s="371"/>
      <c r="IP101" s="371"/>
      <c r="IQ101" s="371"/>
      <c r="IR101" s="371"/>
      <c r="IS101" s="371"/>
      <c r="IT101" s="371"/>
      <c r="IU101" s="371"/>
      <c r="IV101" s="371"/>
    </row>
    <row r="102" spans="1:256" ht="14.25" x14ac:dyDescent="0.2">
      <c r="A102" s="241"/>
      <c r="B102" s="241"/>
      <c r="C102" s="241"/>
      <c r="D102" s="241"/>
      <c r="E102" s="241"/>
      <c r="F102" s="241"/>
      <c r="G102" s="241"/>
      <c r="H102" s="241"/>
      <c r="I102" s="241"/>
      <c r="J102" s="241"/>
      <c r="K102" s="241"/>
      <c r="L102" s="241"/>
      <c r="M102" s="374"/>
      <c r="N102" s="375"/>
      <c r="O102" s="375"/>
      <c r="P102" s="375"/>
      <c r="Q102" s="375"/>
      <c r="R102" s="375"/>
      <c r="S102" s="375"/>
      <c r="T102" s="375"/>
      <c r="U102" s="375"/>
      <c r="V102" s="375"/>
      <c r="W102" s="375"/>
      <c r="X102" s="375"/>
      <c r="Y102" s="375"/>
      <c r="Z102" s="375"/>
      <c r="AA102" s="375"/>
      <c r="AB102" s="375"/>
      <c r="AC102" s="375"/>
      <c r="AD102" s="375"/>
      <c r="AE102" s="375"/>
      <c r="AF102" s="375"/>
      <c r="AG102" s="375"/>
      <c r="AH102" s="375"/>
      <c r="AI102" s="375"/>
      <c r="AJ102" s="375"/>
      <c r="AK102" s="375"/>
      <c r="AL102" s="375"/>
      <c r="AM102" s="375"/>
      <c r="AN102" s="375"/>
      <c r="AO102" s="375"/>
      <c r="AP102" s="375"/>
      <c r="AQ102" s="375"/>
      <c r="AR102" s="375"/>
      <c r="AS102" s="375"/>
      <c r="AT102" s="375"/>
      <c r="AU102" s="375"/>
      <c r="AV102" s="375"/>
      <c r="AW102" s="375"/>
      <c r="AX102" s="375"/>
      <c r="AY102" s="375"/>
      <c r="AZ102" s="375"/>
      <c r="BA102" s="375"/>
      <c r="BB102" s="375"/>
      <c r="BC102" s="375"/>
      <c r="BD102" s="375"/>
      <c r="BE102" s="375"/>
      <c r="BF102" s="375"/>
      <c r="BG102" s="375"/>
      <c r="BH102" s="375"/>
      <c r="BI102" s="375"/>
      <c r="BJ102" s="375"/>
      <c r="BK102" s="375"/>
      <c r="BL102" s="375"/>
      <c r="BM102" s="375"/>
      <c r="BN102" s="375"/>
      <c r="BO102" s="375"/>
      <c r="BP102" s="375"/>
      <c r="BQ102" s="375"/>
      <c r="BR102" s="375"/>
      <c r="BS102" s="375"/>
      <c r="BT102" s="375"/>
      <c r="BU102" s="375"/>
      <c r="BV102" s="375"/>
      <c r="BW102" s="375"/>
      <c r="BX102" s="375"/>
      <c r="BY102" s="375"/>
      <c r="BZ102" s="375"/>
      <c r="CA102" s="375"/>
      <c r="CB102" s="375"/>
      <c r="CC102" s="375"/>
      <c r="CD102" s="375"/>
      <c r="CE102" s="375"/>
      <c r="CF102" s="375"/>
      <c r="CG102" s="375"/>
      <c r="CH102" s="375"/>
      <c r="CI102" s="375"/>
      <c r="CJ102" s="375"/>
      <c r="CK102" s="375"/>
      <c r="CL102" s="375"/>
      <c r="CM102" s="375"/>
      <c r="CN102" s="375"/>
      <c r="CO102" s="375"/>
      <c r="CP102" s="375"/>
      <c r="CQ102" s="375"/>
      <c r="CR102" s="375"/>
      <c r="CS102" s="375"/>
      <c r="CT102" s="375"/>
      <c r="CU102" s="375"/>
      <c r="CV102" s="375"/>
      <c r="CW102" s="375"/>
      <c r="CX102" s="375"/>
      <c r="CY102" s="375"/>
      <c r="CZ102" s="375"/>
      <c r="DA102" s="375"/>
      <c r="DB102" s="375"/>
      <c r="DC102" s="375"/>
      <c r="DD102" s="375"/>
      <c r="DE102" s="375"/>
      <c r="DF102" s="375"/>
      <c r="DG102" s="375"/>
      <c r="DH102" s="375"/>
      <c r="DI102" s="375"/>
      <c r="DJ102" s="375"/>
      <c r="DK102" s="375"/>
      <c r="DL102" s="375"/>
      <c r="DM102" s="375"/>
      <c r="DN102" s="375"/>
      <c r="DO102" s="375"/>
      <c r="DP102" s="375"/>
      <c r="DQ102" s="375"/>
      <c r="DR102" s="375"/>
      <c r="DS102" s="375"/>
      <c r="DT102" s="375"/>
      <c r="DU102" s="375"/>
      <c r="DV102" s="375"/>
      <c r="DW102" s="375"/>
      <c r="DX102" s="375"/>
      <c r="DY102" s="375"/>
      <c r="DZ102" s="375"/>
      <c r="EA102" s="375"/>
      <c r="EB102" s="375"/>
      <c r="EC102" s="375"/>
      <c r="ED102" s="375"/>
      <c r="EE102" s="375"/>
      <c r="EF102" s="375"/>
      <c r="EG102" s="375"/>
      <c r="EH102" s="375"/>
      <c r="EI102" s="375"/>
      <c r="EJ102" s="375"/>
      <c r="EK102" s="375"/>
      <c r="EL102" s="375"/>
      <c r="EM102" s="375"/>
      <c r="EN102" s="375"/>
      <c r="EO102" s="375"/>
      <c r="EP102" s="375"/>
      <c r="EQ102" s="375"/>
      <c r="ER102" s="375"/>
      <c r="ES102" s="375"/>
      <c r="ET102" s="375"/>
      <c r="EU102" s="375"/>
      <c r="EV102" s="375"/>
      <c r="EW102" s="375"/>
      <c r="EX102" s="375"/>
      <c r="EY102" s="375"/>
      <c r="EZ102" s="375"/>
      <c r="FA102" s="375"/>
      <c r="FB102" s="375"/>
      <c r="FC102" s="375"/>
      <c r="FD102" s="375"/>
      <c r="FE102" s="375"/>
      <c r="FF102" s="375"/>
      <c r="FG102" s="375"/>
      <c r="FH102" s="375"/>
      <c r="FI102" s="375"/>
      <c r="FJ102" s="375"/>
      <c r="FK102" s="375"/>
      <c r="FL102" s="375"/>
      <c r="FM102" s="375"/>
      <c r="FN102" s="375"/>
      <c r="FO102" s="375"/>
      <c r="FP102" s="375"/>
      <c r="FQ102" s="375"/>
      <c r="FR102" s="375"/>
      <c r="FS102" s="375"/>
      <c r="FT102" s="375"/>
      <c r="FU102" s="375"/>
      <c r="FV102" s="375"/>
      <c r="FW102" s="375"/>
      <c r="FX102" s="375"/>
      <c r="FY102" s="375"/>
      <c r="FZ102" s="375"/>
      <c r="GA102" s="375"/>
      <c r="GB102" s="375"/>
      <c r="GC102" s="375"/>
      <c r="GD102" s="375"/>
      <c r="GE102" s="375"/>
      <c r="GF102" s="375"/>
      <c r="GG102" s="375"/>
      <c r="GH102" s="375"/>
      <c r="GI102" s="375"/>
      <c r="GJ102" s="375"/>
      <c r="GK102" s="375"/>
      <c r="GL102" s="375"/>
      <c r="GM102" s="375"/>
      <c r="GN102" s="375"/>
      <c r="GO102" s="375"/>
      <c r="GP102" s="375"/>
      <c r="GQ102" s="375"/>
      <c r="GR102" s="375"/>
      <c r="GS102" s="375"/>
      <c r="GT102" s="375"/>
      <c r="GU102" s="375"/>
      <c r="GV102" s="375"/>
      <c r="GW102" s="375"/>
      <c r="GX102" s="375"/>
      <c r="GY102" s="375"/>
      <c r="GZ102" s="375"/>
      <c r="HA102" s="375"/>
      <c r="HB102" s="375"/>
      <c r="HC102" s="375"/>
      <c r="HD102" s="375"/>
      <c r="HE102" s="375"/>
      <c r="HF102" s="375"/>
      <c r="HG102" s="375"/>
      <c r="HH102" s="375"/>
      <c r="HI102" s="375"/>
      <c r="HJ102" s="375"/>
      <c r="HK102" s="375"/>
      <c r="HL102" s="375"/>
      <c r="HM102" s="375"/>
      <c r="HN102" s="375"/>
      <c r="HO102" s="375"/>
      <c r="HP102" s="375"/>
      <c r="HQ102" s="375"/>
      <c r="HR102" s="375"/>
      <c r="HS102" s="375"/>
      <c r="HT102" s="375"/>
      <c r="HU102" s="375"/>
      <c r="HV102" s="375"/>
      <c r="HW102" s="375"/>
      <c r="HX102" s="375"/>
      <c r="HY102" s="375"/>
      <c r="HZ102" s="375"/>
      <c r="IA102" s="375"/>
      <c r="IB102" s="375"/>
      <c r="IC102" s="375"/>
      <c r="ID102" s="375"/>
      <c r="IE102" s="375"/>
      <c r="IF102" s="375"/>
      <c r="IG102" s="375"/>
      <c r="IH102" s="375"/>
      <c r="II102" s="375"/>
      <c r="IJ102" s="375"/>
      <c r="IK102" s="375"/>
      <c r="IL102" s="375"/>
      <c r="IM102" s="375"/>
      <c r="IN102" s="375"/>
      <c r="IO102" s="375"/>
      <c r="IP102" s="375"/>
      <c r="IQ102" s="375"/>
      <c r="IR102" s="375"/>
      <c r="IS102" s="375"/>
      <c r="IT102" s="375"/>
      <c r="IU102" s="375"/>
      <c r="IV102" s="375"/>
    </row>
    <row r="103" spans="1:256" ht="14.25" x14ac:dyDescent="0.2">
      <c r="A103" s="241"/>
      <c r="B103" s="241"/>
      <c r="C103" s="241"/>
      <c r="D103" s="241"/>
      <c r="E103" s="241"/>
      <c r="F103" s="241"/>
      <c r="G103" s="241"/>
      <c r="H103" s="241"/>
      <c r="I103" s="241"/>
      <c r="J103" s="241"/>
      <c r="K103" s="241"/>
      <c r="L103" s="241"/>
      <c r="M103" s="374"/>
      <c r="N103" s="375"/>
      <c r="O103" s="375"/>
      <c r="P103" s="375"/>
      <c r="Q103" s="375"/>
      <c r="R103" s="375"/>
      <c r="S103" s="375"/>
      <c r="T103" s="375"/>
      <c r="U103" s="375"/>
      <c r="V103" s="375"/>
      <c r="W103" s="375"/>
      <c r="X103" s="375"/>
      <c r="Y103" s="375"/>
      <c r="Z103" s="375"/>
      <c r="AA103" s="375"/>
      <c r="AB103" s="375"/>
      <c r="AC103" s="375"/>
      <c r="AD103" s="375"/>
      <c r="AE103" s="375"/>
      <c r="AF103" s="375"/>
      <c r="AG103" s="375"/>
      <c r="AH103" s="375"/>
      <c r="AI103" s="375"/>
      <c r="AJ103" s="375"/>
      <c r="AK103" s="375"/>
      <c r="AL103" s="375"/>
      <c r="AM103" s="375"/>
      <c r="AN103" s="375"/>
      <c r="AO103" s="375"/>
      <c r="AP103" s="375"/>
      <c r="AQ103" s="375"/>
      <c r="AR103" s="375"/>
      <c r="AS103" s="375"/>
      <c r="AT103" s="375"/>
      <c r="AU103" s="375"/>
      <c r="AV103" s="375"/>
      <c r="AW103" s="375"/>
      <c r="AX103" s="375"/>
      <c r="AY103" s="375"/>
      <c r="AZ103" s="375"/>
      <c r="BA103" s="375"/>
      <c r="BB103" s="375"/>
      <c r="BC103" s="375"/>
      <c r="BD103" s="375"/>
      <c r="BE103" s="375"/>
      <c r="BF103" s="375"/>
      <c r="BG103" s="375"/>
      <c r="BH103" s="375"/>
      <c r="BI103" s="375"/>
      <c r="BJ103" s="375"/>
      <c r="BK103" s="375"/>
      <c r="BL103" s="375"/>
      <c r="BM103" s="375"/>
      <c r="BN103" s="375"/>
      <c r="BO103" s="375"/>
      <c r="BP103" s="375"/>
      <c r="BQ103" s="375"/>
      <c r="BR103" s="375"/>
      <c r="BS103" s="375"/>
      <c r="BT103" s="375"/>
      <c r="BU103" s="375"/>
      <c r="BV103" s="375"/>
      <c r="BW103" s="375"/>
      <c r="BX103" s="375"/>
      <c r="BY103" s="375"/>
      <c r="BZ103" s="375"/>
      <c r="CA103" s="375"/>
      <c r="CB103" s="375"/>
      <c r="CC103" s="375"/>
      <c r="CD103" s="375"/>
      <c r="CE103" s="375"/>
      <c r="CF103" s="375"/>
      <c r="CG103" s="375"/>
      <c r="CH103" s="375"/>
      <c r="CI103" s="375"/>
      <c r="CJ103" s="375"/>
      <c r="CK103" s="375"/>
      <c r="CL103" s="375"/>
      <c r="CM103" s="375"/>
      <c r="CN103" s="375"/>
      <c r="CO103" s="375"/>
      <c r="CP103" s="375"/>
      <c r="CQ103" s="375"/>
      <c r="CR103" s="375"/>
      <c r="CS103" s="375"/>
      <c r="CT103" s="375"/>
      <c r="CU103" s="375"/>
      <c r="CV103" s="375"/>
      <c r="CW103" s="375"/>
      <c r="CX103" s="375"/>
      <c r="CY103" s="375"/>
      <c r="CZ103" s="375"/>
      <c r="DA103" s="375"/>
      <c r="DB103" s="375"/>
      <c r="DC103" s="375"/>
      <c r="DD103" s="375"/>
      <c r="DE103" s="375"/>
      <c r="DF103" s="375"/>
      <c r="DG103" s="375"/>
      <c r="DH103" s="375"/>
      <c r="DI103" s="375"/>
      <c r="DJ103" s="375"/>
      <c r="DK103" s="375"/>
      <c r="DL103" s="375"/>
      <c r="DM103" s="375"/>
      <c r="DN103" s="375"/>
      <c r="DO103" s="375"/>
      <c r="DP103" s="375"/>
      <c r="DQ103" s="375"/>
      <c r="DR103" s="375"/>
      <c r="DS103" s="375"/>
      <c r="DT103" s="375"/>
      <c r="DU103" s="375"/>
      <c r="DV103" s="375"/>
      <c r="DW103" s="375"/>
      <c r="DX103" s="375"/>
      <c r="DY103" s="375"/>
      <c r="DZ103" s="375"/>
      <c r="EA103" s="375"/>
      <c r="EB103" s="375"/>
      <c r="EC103" s="375"/>
      <c r="ED103" s="375"/>
      <c r="EE103" s="375"/>
      <c r="EF103" s="375"/>
      <c r="EG103" s="375"/>
      <c r="EH103" s="375"/>
      <c r="EI103" s="375"/>
      <c r="EJ103" s="375"/>
      <c r="EK103" s="375"/>
      <c r="EL103" s="375"/>
      <c r="EM103" s="375"/>
      <c r="EN103" s="375"/>
      <c r="EO103" s="375"/>
      <c r="EP103" s="375"/>
      <c r="EQ103" s="375"/>
      <c r="ER103" s="375"/>
      <c r="ES103" s="375"/>
      <c r="ET103" s="375"/>
      <c r="EU103" s="375"/>
      <c r="EV103" s="375"/>
      <c r="EW103" s="375"/>
      <c r="EX103" s="375"/>
      <c r="EY103" s="375"/>
      <c r="EZ103" s="375"/>
      <c r="FA103" s="375"/>
      <c r="FB103" s="375"/>
      <c r="FC103" s="375"/>
      <c r="FD103" s="375"/>
      <c r="FE103" s="375"/>
      <c r="FF103" s="375"/>
      <c r="FG103" s="375"/>
      <c r="FH103" s="375"/>
      <c r="FI103" s="375"/>
      <c r="FJ103" s="375"/>
      <c r="FK103" s="375"/>
      <c r="FL103" s="375"/>
      <c r="FM103" s="375"/>
      <c r="FN103" s="375"/>
      <c r="FO103" s="375"/>
      <c r="FP103" s="375"/>
      <c r="FQ103" s="375"/>
      <c r="FR103" s="375"/>
      <c r="FS103" s="375"/>
      <c r="FT103" s="375"/>
      <c r="FU103" s="375"/>
      <c r="FV103" s="375"/>
      <c r="FW103" s="375"/>
      <c r="FX103" s="375"/>
      <c r="FY103" s="375"/>
      <c r="FZ103" s="375"/>
      <c r="GA103" s="375"/>
      <c r="GB103" s="375"/>
      <c r="GC103" s="375"/>
      <c r="GD103" s="375"/>
      <c r="GE103" s="375"/>
      <c r="GF103" s="375"/>
      <c r="GG103" s="375"/>
      <c r="GH103" s="375"/>
      <c r="GI103" s="375"/>
      <c r="GJ103" s="375"/>
      <c r="GK103" s="375"/>
      <c r="GL103" s="375"/>
      <c r="GM103" s="375"/>
      <c r="GN103" s="375"/>
      <c r="GO103" s="375"/>
      <c r="GP103" s="375"/>
      <c r="GQ103" s="375"/>
      <c r="GR103" s="375"/>
      <c r="GS103" s="375"/>
      <c r="GT103" s="375"/>
      <c r="GU103" s="375"/>
      <c r="GV103" s="375"/>
      <c r="GW103" s="375"/>
      <c r="GX103" s="375"/>
      <c r="GY103" s="375"/>
      <c r="GZ103" s="375"/>
      <c r="HA103" s="375"/>
      <c r="HB103" s="375"/>
      <c r="HC103" s="375"/>
      <c r="HD103" s="375"/>
      <c r="HE103" s="375"/>
      <c r="HF103" s="375"/>
      <c r="HG103" s="375"/>
      <c r="HH103" s="375"/>
      <c r="HI103" s="375"/>
      <c r="HJ103" s="375"/>
      <c r="HK103" s="375"/>
      <c r="HL103" s="375"/>
      <c r="HM103" s="375"/>
      <c r="HN103" s="375"/>
      <c r="HO103" s="375"/>
      <c r="HP103" s="375"/>
      <c r="HQ103" s="375"/>
      <c r="HR103" s="375"/>
      <c r="HS103" s="375"/>
      <c r="HT103" s="375"/>
      <c r="HU103" s="375"/>
      <c r="HV103" s="375"/>
      <c r="HW103" s="375"/>
      <c r="HX103" s="375"/>
      <c r="HY103" s="375"/>
      <c r="HZ103" s="375"/>
      <c r="IA103" s="375"/>
      <c r="IB103" s="375"/>
      <c r="IC103" s="375"/>
      <c r="ID103" s="375"/>
      <c r="IE103" s="375"/>
      <c r="IF103" s="375"/>
      <c r="IG103" s="375"/>
      <c r="IH103" s="375"/>
      <c r="II103" s="375"/>
      <c r="IJ103" s="375"/>
      <c r="IK103" s="375"/>
      <c r="IL103" s="375"/>
      <c r="IM103" s="375"/>
      <c r="IN103" s="375"/>
      <c r="IO103" s="375"/>
      <c r="IP103" s="375"/>
      <c r="IQ103" s="375"/>
      <c r="IR103" s="375"/>
      <c r="IS103" s="375"/>
      <c r="IT103" s="375"/>
      <c r="IU103" s="375"/>
      <c r="IV103" s="375"/>
    </row>
    <row r="104" spans="1:256" ht="15" x14ac:dyDescent="0.25">
      <c r="A104" s="368"/>
      <c r="B104" s="368"/>
      <c r="C104" s="368"/>
      <c r="D104" s="379" t="s">
        <v>198</v>
      </c>
      <c r="E104" s="377"/>
      <c r="F104" s="377"/>
      <c r="G104" s="377"/>
      <c r="H104" s="377"/>
      <c r="I104" s="377"/>
      <c r="J104" s="382">
        <f ca="1">(J95-J98)*0.925+J98</f>
        <v>13684.62</v>
      </c>
      <c r="K104" s="382"/>
      <c r="L104" s="382">
        <f>L95*0.925</f>
        <v>80419.03</v>
      </c>
      <c r="M104" s="287" t="e">
        <v>#REF!</v>
      </c>
      <c r="N104" s="275"/>
      <c r="O104" s="275"/>
      <c r="P104" s="275"/>
      <c r="Q104" s="275"/>
      <c r="R104" s="275"/>
      <c r="S104" s="275"/>
      <c r="T104" s="275"/>
      <c r="U104" s="275"/>
      <c r="V104" s="275"/>
      <c r="W104" s="275"/>
      <c r="X104" s="275"/>
      <c r="Y104" s="275"/>
      <c r="Z104" s="275"/>
      <c r="AA104" s="275"/>
      <c r="AB104" s="275"/>
      <c r="AC104" s="275"/>
      <c r="AD104" s="275"/>
      <c r="AE104" s="275"/>
      <c r="AF104" s="275"/>
      <c r="AG104" s="275"/>
      <c r="AH104" s="275"/>
      <c r="AI104" s="275"/>
      <c r="AJ104" s="275"/>
      <c r="AK104" s="275"/>
      <c r="AL104" s="275"/>
      <c r="AM104" s="275"/>
      <c r="AN104" s="275"/>
      <c r="AO104" s="275"/>
      <c r="AP104" s="275"/>
      <c r="AQ104" s="275"/>
      <c r="AR104" s="275"/>
      <c r="AS104" s="275"/>
      <c r="AT104" s="275"/>
      <c r="AU104" s="275"/>
      <c r="AV104" s="275"/>
      <c r="AW104" s="275"/>
      <c r="AX104" s="275"/>
      <c r="AY104" s="275"/>
      <c r="AZ104" s="275"/>
      <c r="BA104" s="275"/>
      <c r="BB104" s="275"/>
      <c r="BC104" s="275"/>
      <c r="BD104" s="275"/>
      <c r="BE104" s="275"/>
      <c r="BF104" s="275"/>
      <c r="BG104" s="275"/>
      <c r="BH104" s="275"/>
      <c r="BI104" s="275"/>
      <c r="BJ104" s="275"/>
      <c r="BK104" s="275"/>
      <c r="BL104" s="275"/>
      <c r="BM104" s="275"/>
      <c r="BN104" s="275"/>
      <c r="BO104" s="275"/>
      <c r="BP104" s="275"/>
      <c r="BQ104" s="275"/>
      <c r="BR104" s="275"/>
      <c r="BS104" s="275"/>
      <c r="BT104" s="275"/>
      <c r="BU104" s="275"/>
      <c r="BV104" s="275"/>
      <c r="BW104" s="275"/>
      <c r="BX104" s="275"/>
      <c r="BY104" s="275"/>
      <c r="BZ104" s="275"/>
      <c r="CA104" s="275"/>
      <c r="CB104" s="275"/>
      <c r="CC104" s="275"/>
      <c r="CD104" s="275"/>
      <c r="CE104" s="275"/>
      <c r="CF104" s="275"/>
      <c r="CG104" s="275"/>
      <c r="CH104" s="275"/>
      <c r="CI104" s="275"/>
      <c r="CJ104" s="275"/>
      <c r="CK104" s="275"/>
      <c r="CL104" s="275"/>
      <c r="CM104" s="275"/>
      <c r="CN104" s="275"/>
      <c r="CO104" s="275"/>
      <c r="CP104" s="275"/>
      <c r="CQ104" s="275"/>
      <c r="CR104" s="275"/>
      <c r="CS104" s="275"/>
      <c r="CT104" s="275"/>
      <c r="CU104" s="275"/>
      <c r="CV104" s="275"/>
      <c r="CW104" s="275"/>
      <c r="CX104" s="275"/>
      <c r="CY104" s="275"/>
      <c r="CZ104" s="275"/>
      <c r="DA104" s="275"/>
      <c r="DB104" s="275"/>
      <c r="DC104" s="275"/>
      <c r="DD104" s="275"/>
      <c r="DE104" s="275"/>
      <c r="DF104" s="275"/>
      <c r="DG104" s="275"/>
      <c r="DH104" s="275"/>
      <c r="DI104" s="275"/>
      <c r="DJ104" s="275"/>
      <c r="DK104" s="275"/>
      <c r="DL104" s="275"/>
      <c r="DM104" s="275"/>
      <c r="DN104" s="275"/>
      <c r="DO104" s="275"/>
      <c r="DP104" s="275"/>
      <c r="DQ104" s="275"/>
      <c r="DR104" s="275"/>
      <c r="DS104" s="275"/>
      <c r="DT104" s="275"/>
      <c r="DU104" s="275"/>
      <c r="DV104" s="275"/>
      <c r="DW104" s="275"/>
      <c r="DX104" s="275"/>
      <c r="DY104" s="275"/>
      <c r="DZ104" s="275"/>
      <c r="EA104" s="275"/>
      <c r="EB104" s="275"/>
      <c r="EC104" s="275"/>
      <c r="ED104" s="275"/>
      <c r="EE104" s="275"/>
      <c r="EF104" s="275"/>
      <c r="EG104" s="275"/>
      <c r="EH104" s="275"/>
      <c r="EI104" s="275"/>
      <c r="EJ104" s="275"/>
      <c r="EK104" s="275"/>
      <c r="EL104" s="275"/>
      <c r="EM104" s="275"/>
      <c r="EN104" s="275"/>
      <c r="EO104" s="275"/>
      <c r="EP104" s="275"/>
      <c r="EQ104" s="275"/>
      <c r="ER104" s="275"/>
      <c r="ES104" s="275"/>
      <c r="ET104" s="275"/>
      <c r="EU104" s="275"/>
      <c r="EV104" s="275"/>
      <c r="EW104" s="275"/>
      <c r="EX104" s="275"/>
      <c r="EY104" s="275"/>
      <c r="EZ104" s="275"/>
      <c r="FA104" s="275"/>
      <c r="FB104" s="275"/>
      <c r="FC104" s="275"/>
      <c r="FD104" s="275"/>
      <c r="FE104" s="275"/>
      <c r="FF104" s="275"/>
      <c r="FG104" s="275"/>
      <c r="FH104" s="275"/>
      <c r="FI104" s="275"/>
      <c r="FJ104" s="275"/>
      <c r="FK104" s="275"/>
      <c r="FL104" s="275"/>
      <c r="FM104" s="275"/>
      <c r="FN104" s="275"/>
      <c r="FO104" s="275"/>
      <c r="FP104" s="275"/>
      <c r="FQ104" s="275"/>
      <c r="FR104" s="275"/>
      <c r="FS104" s="275"/>
      <c r="FT104" s="275"/>
      <c r="FU104" s="275"/>
      <c r="FV104" s="275"/>
      <c r="FW104" s="275"/>
      <c r="FX104" s="275"/>
      <c r="FY104" s="275"/>
      <c r="FZ104" s="275"/>
      <c r="GA104" s="275"/>
      <c r="GB104" s="275"/>
      <c r="GC104" s="275"/>
      <c r="GD104" s="275"/>
      <c r="GE104" s="275"/>
      <c r="GF104" s="275"/>
      <c r="GG104" s="275"/>
      <c r="GH104" s="275"/>
      <c r="GI104" s="275"/>
      <c r="GJ104" s="275"/>
      <c r="GK104" s="275"/>
      <c r="GL104" s="275"/>
      <c r="GM104" s="275"/>
      <c r="GN104" s="275"/>
      <c r="GO104" s="275"/>
      <c r="GP104" s="275"/>
      <c r="GQ104" s="275"/>
      <c r="GR104" s="275"/>
      <c r="GS104" s="275"/>
      <c r="GT104" s="275"/>
      <c r="GU104" s="275"/>
      <c r="GV104" s="275"/>
      <c r="GW104" s="275"/>
      <c r="GX104" s="275"/>
      <c r="GY104" s="275"/>
      <c r="GZ104" s="275"/>
      <c r="HA104" s="275"/>
      <c r="HB104" s="275"/>
      <c r="HC104" s="275"/>
      <c r="HD104" s="275"/>
      <c r="HE104" s="275"/>
      <c r="HF104" s="275"/>
      <c r="HG104" s="275"/>
      <c r="HH104" s="275"/>
      <c r="HI104" s="275"/>
      <c r="HJ104" s="275"/>
      <c r="HK104" s="275"/>
      <c r="HL104" s="275"/>
      <c r="HM104" s="275"/>
      <c r="HN104" s="275"/>
      <c r="HO104" s="275"/>
      <c r="HP104" s="275"/>
      <c r="HQ104" s="275"/>
      <c r="HR104" s="275"/>
      <c r="HS104" s="275"/>
      <c r="HT104" s="275"/>
      <c r="HU104" s="275"/>
      <c r="HV104" s="275"/>
      <c r="HW104" s="275"/>
      <c r="HX104" s="275"/>
      <c r="HY104" s="275"/>
      <c r="HZ104" s="275"/>
      <c r="IA104" s="275"/>
      <c r="IB104" s="275"/>
      <c r="IC104" s="275"/>
      <c r="ID104" s="275"/>
      <c r="IE104" s="275"/>
      <c r="IF104" s="275"/>
      <c r="IG104" s="275"/>
      <c r="IH104" s="275"/>
      <c r="II104" s="275"/>
      <c r="IJ104" s="275"/>
      <c r="IK104" s="275"/>
      <c r="IL104" s="275"/>
      <c r="IM104" s="275"/>
      <c r="IN104" s="275"/>
      <c r="IO104" s="275"/>
      <c r="IP104" s="275"/>
      <c r="IQ104" s="275"/>
      <c r="IR104" s="275"/>
      <c r="IS104" s="275"/>
      <c r="IT104" s="275"/>
      <c r="IU104" s="275"/>
      <c r="IV104" s="275"/>
    </row>
    <row r="105" spans="1:256" ht="15" x14ac:dyDescent="0.25">
      <c r="A105" s="368"/>
      <c r="B105" s="368"/>
      <c r="C105" s="368"/>
      <c r="D105" s="377" t="s">
        <v>69</v>
      </c>
      <c r="E105" s="377"/>
      <c r="F105" s="377"/>
      <c r="G105" s="377"/>
      <c r="H105" s="377"/>
      <c r="I105" s="377"/>
      <c r="J105" s="378">
        <f ca="1">J104</f>
        <v>13684.62</v>
      </c>
      <c r="K105" s="378"/>
      <c r="L105" s="378">
        <f>L104</f>
        <v>80419.03</v>
      </c>
      <c r="M105" s="287"/>
      <c r="N105" s="275"/>
      <c r="O105" s="275"/>
      <c r="P105" s="275"/>
      <c r="Q105" s="275"/>
      <c r="R105" s="275"/>
      <c r="S105" s="275"/>
      <c r="T105" s="275"/>
      <c r="U105" s="275"/>
      <c r="V105" s="275"/>
      <c r="W105" s="275"/>
      <c r="X105" s="275"/>
      <c r="Y105" s="275"/>
      <c r="Z105" s="275"/>
      <c r="AA105" s="275"/>
      <c r="AB105" s="275"/>
      <c r="AC105" s="275"/>
      <c r="AD105" s="275"/>
      <c r="AE105" s="275"/>
      <c r="AF105" s="275"/>
      <c r="AG105" s="275"/>
      <c r="AH105" s="275"/>
      <c r="AI105" s="275"/>
      <c r="AJ105" s="275"/>
      <c r="AK105" s="275"/>
      <c r="AL105" s="275"/>
      <c r="AM105" s="275"/>
      <c r="AN105" s="275"/>
      <c r="AO105" s="275"/>
      <c r="AP105" s="275"/>
      <c r="AQ105" s="275"/>
      <c r="AR105" s="275"/>
      <c r="AS105" s="275"/>
      <c r="AT105" s="275"/>
      <c r="AU105" s="275"/>
      <c r="AV105" s="275"/>
      <c r="AW105" s="275"/>
      <c r="AX105" s="275"/>
      <c r="AY105" s="275"/>
      <c r="AZ105" s="275"/>
      <c r="BA105" s="275"/>
      <c r="BB105" s="275"/>
      <c r="BC105" s="275"/>
      <c r="BD105" s="275"/>
      <c r="BE105" s="275"/>
      <c r="BF105" s="275"/>
      <c r="BG105" s="275"/>
      <c r="BH105" s="275"/>
      <c r="BI105" s="275"/>
      <c r="BJ105" s="275"/>
      <c r="BK105" s="275"/>
      <c r="BL105" s="275"/>
      <c r="BM105" s="275"/>
      <c r="BN105" s="275"/>
      <c r="BO105" s="275"/>
      <c r="BP105" s="275"/>
      <c r="BQ105" s="275"/>
      <c r="BR105" s="275"/>
      <c r="BS105" s="275"/>
      <c r="BT105" s="275"/>
      <c r="BU105" s="275"/>
      <c r="BV105" s="275"/>
      <c r="BW105" s="275"/>
      <c r="BX105" s="275"/>
      <c r="BY105" s="275"/>
      <c r="BZ105" s="275"/>
      <c r="CA105" s="275"/>
      <c r="CB105" s="275"/>
      <c r="CC105" s="275"/>
      <c r="CD105" s="275"/>
      <c r="CE105" s="275"/>
      <c r="CF105" s="275"/>
      <c r="CG105" s="275"/>
      <c r="CH105" s="275"/>
      <c r="CI105" s="275"/>
      <c r="CJ105" s="275"/>
      <c r="CK105" s="275"/>
      <c r="CL105" s="275"/>
      <c r="CM105" s="275"/>
      <c r="CN105" s="275"/>
      <c r="CO105" s="275"/>
      <c r="CP105" s="275"/>
      <c r="CQ105" s="275"/>
      <c r="CR105" s="275"/>
      <c r="CS105" s="275"/>
      <c r="CT105" s="275"/>
      <c r="CU105" s="275"/>
      <c r="CV105" s="275"/>
      <c r="CW105" s="275"/>
      <c r="CX105" s="275"/>
      <c r="CY105" s="275"/>
      <c r="CZ105" s="275"/>
      <c r="DA105" s="275"/>
      <c r="DB105" s="275"/>
      <c r="DC105" s="275"/>
      <c r="DD105" s="275"/>
      <c r="DE105" s="275"/>
      <c r="DF105" s="275"/>
      <c r="DG105" s="275"/>
      <c r="DH105" s="275"/>
      <c r="DI105" s="275"/>
      <c r="DJ105" s="275"/>
      <c r="DK105" s="275"/>
      <c r="DL105" s="275"/>
      <c r="DM105" s="275"/>
      <c r="DN105" s="275"/>
      <c r="DO105" s="275"/>
      <c r="DP105" s="275"/>
      <c r="DQ105" s="275"/>
      <c r="DR105" s="275"/>
      <c r="DS105" s="275"/>
      <c r="DT105" s="275"/>
      <c r="DU105" s="275"/>
      <c r="DV105" s="275"/>
      <c r="DW105" s="275"/>
      <c r="DX105" s="275"/>
      <c r="DY105" s="275"/>
      <c r="DZ105" s="275"/>
      <c r="EA105" s="275"/>
      <c r="EB105" s="275"/>
      <c r="EC105" s="275"/>
      <c r="ED105" s="275"/>
      <c r="EE105" s="275"/>
      <c r="EF105" s="275"/>
      <c r="EG105" s="275"/>
      <c r="EH105" s="275"/>
      <c r="EI105" s="275"/>
      <c r="EJ105" s="275"/>
      <c r="EK105" s="275"/>
      <c r="EL105" s="275"/>
      <c r="EM105" s="275"/>
      <c r="EN105" s="275"/>
      <c r="EO105" s="275"/>
      <c r="EP105" s="275"/>
      <c r="EQ105" s="275"/>
      <c r="ER105" s="275"/>
      <c r="ES105" s="275"/>
      <c r="ET105" s="275"/>
      <c r="EU105" s="275"/>
      <c r="EV105" s="275"/>
      <c r="EW105" s="275"/>
      <c r="EX105" s="275"/>
      <c r="EY105" s="275"/>
      <c r="EZ105" s="275"/>
      <c r="FA105" s="275"/>
      <c r="FB105" s="275"/>
      <c r="FC105" s="275"/>
      <c r="FD105" s="275"/>
      <c r="FE105" s="275"/>
      <c r="FF105" s="275"/>
      <c r="FG105" s="275"/>
      <c r="FH105" s="275"/>
      <c r="FI105" s="275"/>
      <c r="FJ105" s="275"/>
      <c r="FK105" s="275"/>
      <c r="FL105" s="275"/>
      <c r="FM105" s="275"/>
      <c r="FN105" s="275"/>
      <c r="FO105" s="275"/>
      <c r="FP105" s="275"/>
      <c r="FQ105" s="275"/>
      <c r="FR105" s="275"/>
      <c r="FS105" s="275"/>
      <c r="FT105" s="275"/>
      <c r="FU105" s="275"/>
      <c r="FV105" s="275"/>
      <c r="FW105" s="275"/>
      <c r="FX105" s="275"/>
      <c r="FY105" s="275"/>
      <c r="FZ105" s="275"/>
      <c r="GA105" s="275"/>
      <c r="GB105" s="275"/>
      <c r="GC105" s="275"/>
      <c r="GD105" s="275"/>
      <c r="GE105" s="275"/>
      <c r="GF105" s="275"/>
      <c r="GG105" s="275"/>
      <c r="GH105" s="275"/>
      <c r="GI105" s="275"/>
      <c r="GJ105" s="275"/>
      <c r="GK105" s="275"/>
      <c r="GL105" s="275"/>
      <c r="GM105" s="275"/>
      <c r="GN105" s="275"/>
      <c r="GO105" s="275"/>
      <c r="GP105" s="275"/>
      <c r="GQ105" s="275"/>
      <c r="GR105" s="275"/>
      <c r="GS105" s="275"/>
      <c r="GT105" s="275"/>
      <c r="GU105" s="275"/>
      <c r="GV105" s="275"/>
      <c r="GW105" s="275"/>
      <c r="GX105" s="275"/>
      <c r="GY105" s="275"/>
      <c r="GZ105" s="275"/>
      <c r="HA105" s="275"/>
      <c r="HB105" s="275"/>
      <c r="HC105" s="275"/>
      <c r="HD105" s="275"/>
      <c r="HE105" s="275"/>
      <c r="HF105" s="275"/>
      <c r="HG105" s="275"/>
      <c r="HH105" s="275"/>
      <c r="HI105" s="275"/>
      <c r="HJ105" s="275"/>
      <c r="HK105" s="275"/>
      <c r="HL105" s="275"/>
      <c r="HM105" s="275"/>
      <c r="HN105" s="275"/>
      <c r="HO105" s="275"/>
      <c r="HP105" s="275"/>
      <c r="HQ105" s="275"/>
      <c r="HR105" s="275"/>
      <c r="HS105" s="275"/>
      <c r="HT105" s="275"/>
      <c r="HU105" s="275"/>
      <c r="HV105" s="275"/>
      <c r="HW105" s="275"/>
      <c r="HX105" s="275"/>
      <c r="HY105" s="275"/>
      <c r="HZ105" s="275"/>
      <c r="IA105" s="275"/>
      <c r="IB105" s="275"/>
      <c r="IC105" s="275"/>
      <c r="ID105" s="275"/>
      <c r="IE105" s="275"/>
      <c r="IF105" s="275"/>
      <c r="IG105" s="275"/>
      <c r="IH105" s="275"/>
      <c r="II105" s="275"/>
      <c r="IJ105" s="275"/>
      <c r="IK105" s="275"/>
      <c r="IL105" s="275"/>
      <c r="IM105" s="275"/>
      <c r="IN105" s="275"/>
      <c r="IO105" s="275"/>
      <c r="IP105" s="275"/>
      <c r="IQ105" s="275"/>
      <c r="IR105" s="275"/>
      <c r="IS105" s="275"/>
      <c r="IT105" s="275"/>
      <c r="IU105" s="275"/>
      <c r="IV105" s="275"/>
    </row>
    <row r="106" spans="1:256" ht="15" x14ac:dyDescent="0.25">
      <c r="A106" s="368"/>
      <c r="B106" s="368"/>
      <c r="C106" s="368"/>
      <c r="D106" s="377" t="s">
        <v>70</v>
      </c>
      <c r="E106" s="377"/>
      <c r="F106" s="377"/>
      <c r="G106" s="377"/>
      <c r="H106" s="377"/>
      <c r="I106" s="377"/>
      <c r="J106" s="378">
        <f ca="1">J97*0.925</f>
        <v>336.64</v>
      </c>
      <c r="K106" s="378"/>
      <c r="L106" s="378">
        <f>L97*0.925</f>
        <v>8156.67</v>
      </c>
      <c r="M106" s="287">
        <v>21718.35</v>
      </c>
      <c r="N106" s="275"/>
      <c r="O106" s="275"/>
      <c r="P106" s="275"/>
      <c r="Q106" s="275"/>
      <c r="R106" s="275"/>
      <c r="S106" s="275"/>
      <c r="T106" s="275"/>
      <c r="U106" s="275"/>
      <c r="V106" s="275"/>
      <c r="W106" s="275"/>
      <c r="X106" s="275"/>
      <c r="Y106" s="275"/>
      <c r="Z106" s="275"/>
      <c r="AA106" s="275"/>
      <c r="AB106" s="275"/>
      <c r="AC106" s="275"/>
      <c r="AD106" s="275"/>
      <c r="AE106" s="275"/>
      <c r="AF106" s="275"/>
      <c r="AG106" s="275"/>
      <c r="AH106" s="275"/>
      <c r="AI106" s="275"/>
      <c r="AJ106" s="275"/>
      <c r="AK106" s="275"/>
      <c r="AL106" s="275"/>
      <c r="AM106" s="275"/>
      <c r="AN106" s="275"/>
      <c r="AO106" s="275"/>
      <c r="AP106" s="275"/>
      <c r="AQ106" s="275"/>
      <c r="AR106" s="275"/>
      <c r="AS106" s="275"/>
      <c r="AT106" s="275"/>
      <c r="AU106" s="275"/>
      <c r="AV106" s="275"/>
      <c r="AW106" s="275"/>
      <c r="AX106" s="275"/>
      <c r="AY106" s="275"/>
      <c r="AZ106" s="275"/>
      <c r="BA106" s="275"/>
      <c r="BB106" s="275"/>
      <c r="BC106" s="275"/>
      <c r="BD106" s="275"/>
      <c r="BE106" s="275"/>
      <c r="BF106" s="275"/>
      <c r="BG106" s="275"/>
      <c r="BH106" s="275"/>
      <c r="BI106" s="275"/>
      <c r="BJ106" s="275"/>
      <c r="BK106" s="275"/>
      <c r="BL106" s="275"/>
      <c r="BM106" s="275"/>
      <c r="BN106" s="275"/>
      <c r="BO106" s="275"/>
      <c r="BP106" s="275"/>
      <c r="BQ106" s="275"/>
      <c r="BR106" s="275"/>
      <c r="BS106" s="275"/>
      <c r="BT106" s="275"/>
      <c r="BU106" s="275"/>
      <c r="BV106" s="275"/>
      <c r="BW106" s="275"/>
      <c r="BX106" s="275"/>
      <c r="BY106" s="275"/>
      <c r="BZ106" s="275"/>
      <c r="CA106" s="275"/>
      <c r="CB106" s="275"/>
      <c r="CC106" s="275"/>
      <c r="CD106" s="275"/>
      <c r="CE106" s="275"/>
      <c r="CF106" s="275"/>
      <c r="CG106" s="275"/>
      <c r="CH106" s="275"/>
      <c r="CI106" s="275"/>
      <c r="CJ106" s="275"/>
      <c r="CK106" s="275"/>
      <c r="CL106" s="275"/>
      <c r="CM106" s="275"/>
      <c r="CN106" s="275"/>
      <c r="CO106" s="275"/>
      <c r="CP106" s="275"/>
      <c r="CQ106" s="275"/>
      <c r="CR106" s="275"/>
      <c r="CS106" s="275"/>
      <c r="CT106" s="275"/>
      <c r="CU106" s="275"/>
      <c r="CV106" s="275"/>
      <c r="CW106" s="275"/>
      <c r="CX106" s="275"/>
      <c r="CY106" s="275"/>
      <c r="CZ106" s="275"/>
      <c r="DA106" s="275"/>
      <c r="DB106" s="275"/>
      <c r="DC106" s="275"/>
      <c r="DD106" s="275"/>
      <c r="DE106" s="275"/>
      <c r="DF106" s="275"/>
      <c r="DG106" s="275"/>
      <c r="DH106" s="275"/>
      <c r="DI106" s="275"/>
      <c r="DJ106" s="275"/>
      <c r="DK106" s="275"/>
      <c r="DL106" s="275"/>
      <c r="DM106" s="275"/>
      <c r="DN106" s="275"/>
      <c r="DO106" s="275"/>
      <c r="DP106" s="275"/>
      <c r="DQ106" s="275"/>
      <c r="DR106" s="275"/>
      <c r="DS106" s="275"/>
      <c r="DT106" s="275"/>
      <c r="DU106" s="275"/>
      <c r="DV106" s="275"/>
      <c r="DW106" s="275"/>
      <c r="DX106" s="275"/>
      <c r="DY106" s="275"/>
      <c r="DZ106" s="275"/>
      <c r="EA106" s="275"/>
      <c r="EB106" s="275"/>
      <c r="EC106" s="275"/>
      <c r="ED106" s="275"/>
      <c r="EE106" s="275"/>
      <c r="EF106" s="275"/>
      <c r="EG106" s="275"/>
      <c r="EH106" s="275"/>
      <c r="EI106" s="275"/>
      <c r="EJ106" s="275"/>
      <c r="EK106" s="275"/>
      <c r="EL106" s="275"/>
      <c r="EM106" s="275"/>
      <c r="EN106" s="275"/>
      <c r="EO106" s="275"/>
      <c r="EP106" s="275"/>
      <c r="EQ106" s="275"/>
      <c r="ER106" s="275"/>
      <c r="ES106" s="275"/>
      <c r="ET106" s="275"/>
      <c r="EU106" s="275"/>
      <c r="EV106" s="275"/>
      <c r="EW106" s="275"/>
      <c r="EX106" s="275"/>
      <c r="EY106" s="275"/>
      <c r="EZ106" s="275"/>
      <c r="FA106" s="275"/>
      <c r="FB106" s="275"/>
      <c r="FC106" s="275"/>
      <c r="FD106" s="275"/>
      <c r="FE106" s="275"/>
      <c r="FF106" s="275"/>
      <c r="FG106" s="275"/>
      <c r="FH106" s="275"/>
      <c r="FI106" s="275"/>
      <c r="FJ106" s="275"/>
      <c r="FK106" s="275"/>
      <c r="FL106" s="275"/>
      <c r="FM106" s="275"/>
      <c r="FN106" s="275"/>
      <c r="FO106" s="275"/>
      <c r="FP106" s="275"/>
      <c r="FQ106" s="275"/>
      <c r="FR106" s="275"/>
      <c r="FS106" s="275"/>
      <c r="FT106" s="275"/>
      <c r="FU106" s="275"/>
      <c r="FV106" s="275"/>
      <c r="FW106" s="275"/>
      <c r="FX106" s="275"/>
      <c r="FY106" s="275"/>
      <c r="FZ106" s="275"/>
      <c r="GA106" s="275"/>
      <c r="GB106" s="275"/>
      <c r="GC106" s="275"/>
      <c r="GD106" s="275"/>
      <c r="GE106" s="275"/>
      <c r="GF106" s="275"/>
      <c r="GG106" s="275"/>
      <c r="GH106" s="275"/>
      <c r="GI106" s="275"/>
      <c r="GJ106" s="275"/>
      <c r="GK106" s="275"/>
      <c r="GL106" s="275"/>
      <c r="GM106" s="275"/>
      <c r="GN106" s="275"/>
      <c r="GO106" s="275"/>
      <c r="GP106" s="275"/>
      <c r="GQ106" s="275"/>
      <c r="GR106" s="275"/>
      <c r="GS106" s="275"/>
      <c r="GT106" s="275"/>
      <c r="GU106" s="275"/>
      <c r="GV106" s="275"/>
      <c r="GW106" s="275"/>
      <c r="GX106" s="275"/>
      <c r="GY106" s="275"/>
      <c r="GZ106" s="275"/>
      <c r="HA106" s="275"/>
      <c r="HB106" s="275"/>
      <c r="HC106" s="275"/>
      <c r="HD106" s="275"/>
      <c r="HE106" s="275"/>
      <c r="HF106" s="275"/>
      <c r="HG106" s="275"/>
      <c r="HH106" s="275"/>
      <c r="HI106" s="275"/>
      <c r="HJ106" s="275"/>
      <c r="HK106" s="275"/>
      <c r="HL106" s="275"/>
      <c r="HM106" s="275"/>
      <c r="HN106" s="275"/>
      <c r="HO106" s="275"/>
      <c r="HP106" s="275"/>
      <c r="HQ106" s="275"/>
      <c r="HR106" s="275"/>
      <c r="HS106" s="275"/>
      <c r="HT106" s="275"/>
      <c r="HU106" s="275"/>
      <c r="HV106" s="275"/>
      <c r="HW106" s="275"/>
      <c r="HX106" s="275"/>
      <c r="HY106" s="275"/>
      <c r="HZ106" s="275"/>
      <c r="IA106" s="275"/>
      <c r="IB106" s="275"/>
      <c r="IC106" s="275"/>
      <c r="ID106" s="275"/>
      <c r="IE106" s="275"/>
      <c r="IF106" s="275"/>
      <c r="IG106" s="275"/>
      <c r="IH106" s="275"/>
      <c r="II106" s="275"/>
      <c r="IJ106" s="275"/>
      <c r="IK106" s="275"/>
      <c r="IL106" s="275"/>
      <c r="IM106" s="275"/>
      <c r="IN106" s="275"/>
      <c r="IO106" s="275"/>
      <c r="IP106" s="275"/>
      <c r="IQ106" s="275"/>
      <c r="IR106" s="275"/>
      <c r="IS106" s="275"/>
      <c r="IT106" s="275"/>
      <c r="IU106" s="275"/>
      <c r="IV106" s="275"/>
    </row>
    <row r="107" spans="1:256" ht="15" x14ac:dyDescent="0.25">
      <c r="A107" s="368"/>
      <c r="B107" s="368"/>
      <c r="C107" s="368"/>
      <c r="D107" s="377" t="s">
        <v>195</v>
      </c>
      <c r="E107" s="377"/>
      <c r="F107" s="377"/>
      <c r="G107" s="377"/>
      <c r="H107" s="377"/>
      <c r="I107" s="377"/>
      <c r="J107" s="378">
        <f ca="1">J98</f>
        <v>12587.75</v>
      </c>
      <c r="K107" s="378"/>
      <c r="L107" s="378">
        <f>L98*0.925</f>
        <v>60217.59</v>
      </c>
      <c r="M107" s="287"/>
    </row>
    <row r="108" spans="1:256" ht="15" x14ac:dyDescent="0.25">
      <c r="A108" s="368"/>
      <c r="B108" s="368"/>
      <c r="C108" s="368"/>
      <c r="D108" s="383" t="s">
        <v>157</v>
      </c>
      <c r="E108" s="377"/>
      <c r="F108" s="377"/>
      <c r="G108" s="377"/>
      <c r="H108" s="377"/>
      <c r="I108" s="377"/>
      <c r="J108" s="384">
        <v>0</v>
      </c>
      <c r="K108" s="378"/>
      <c r="L108" s="384">
        <v>0</v>
      </c>
      <c r="M108" s="287"/>
    </row>
    <row r="109" spans="1:256" ht="15" x14ac:dyDescent="0.25">
      <c r="A109" s="368"/>
      <c r="B109" s="368"/>
      <c r="C109" s="368"/>
      <c r="D109" s="377" t="s">
        <v>196</v>
      </c>
      <c r="E109" s="377"/>
      <c r="F109" s="377"/>
      <c r="G109" s="377"/>
      <c r="H109" s="377"/>
      <c r="I109" s="377"/>
      <c r="J109" s="378">
        <f ca="1">J106*0.15</f>
        <v>50.5</v>
      </c>
      <c r="K109" s="378"/>
      <c r="L109" s="378">
        <f>L106*0.15</f>
        <v>1223.5</v>
      </c>
      <c r="M109" s="287">
        <v>3257.75</v>
      </c>
    </row>
    <row r="110" spans="1:256" ht="15" x14ac:dyDescent="0.25">
      <c r="A110" s="368"/>
      <c r="B110" s="368"/>
      <c r="C110" s="368"/>
      <c r="D110" s="379" t="s">
        <v>199</v>
      </c>
      <c r="E110" s="380"/>
      <c r="F110" s="380"/>
      <c r="G110" s="380"/>
      <c r="H110" s="380"/>
      <c r="I110" s="380"/>
      <c r="J110" s="382">
        <f ca="1">J109+J104</f>
        <v>13735.12</v>
      </c>
      <c r="K110" s="380"/>
      <c r="L110" s="382">
        <f>L109+L104</f>
        <v>81642.53</v>
      </c>
      <c r="M110" s="287" t="e">
        <v>#REF!</v>
      </c>
    </row>
    <row r="111" spans="1:256" ht="15" x14ac:dyDescent="0.25">
      <c r="A111" s="368"/>
      <c r="B111" s="368"/>
      <c r="C111" s="368"/>
      <c r="D111" s="385"/>
      <c r="E111" s="385"/>
      <c r="F111" s="385"/>
      <c r="G111" s="385"/>
      <c r="H111" s="385"/>
      <c r="I111" s="385"/>
      <c r="J111" s="385"/>
      <c r="K111" s="385"/>
      <c r="L111" s="385"/>
      <c r="M111" s="287"/>
    </row>
    <row r="112" spans="1:256" ht="15" x14ac:dyDescent="0.25">
      <c r="A112" s="368"/>
      <c r="B112" s="368"/>
      <c r="C112" s="368"/>
      <c r="D112" s="385"/>
      <c r="E112" s="385"/>
      <c r="F112" s="385"/>
      <c r="G112" s="385"/>
      <c r="H112" s="385"/>
      <c r="I112" s="385"/>
      <c r="J112" s="385"/>
      <c r="K112" s="385"/>
      <c r="L112" s="385"/>
      <c r="M112" s="287"/>
    </row>
    <row r="113" spans="1:13" ht="15" x14ac:dyDescent="0.25">
      <c r="A113" s="368"/>
      <c r="B113" s="368"/>
      <c r="C113" s="368"/>
      <c r="D113" s="386" t="s">
        <v>200</v>
      </c>
      <c r="E113" s="387"/>
      <c r="F113" s="387"/>
      <c r="G113" s="387"/>
      <c r="H113" s="387"/>
      <c r="I113" s="388"/>
      <c r="J113" s="389">
        <f ca="1">J110</f>
        <v>13735.12</v>
      </c>
      <c r="K113" s="390"/>
      <c r="L113" s="389">
        <f>L110</f>
        <v>81642.53</v>
      </c>
      <c r="M113" s="287"/>
    </row>
    <row r="114" spans="1:13" ht="15" x14ac:dyDescent="0.25">
      <c r="A114" s="368"/>
      <c r="B114" s="368"/>
      <c r="C114" s="368"/>
      <c r="D114" s="391" t="s">
        <v>201</v>
      </c>
      <c r="E114" s="392"/>
      <c r="F114" s="392"/>
      <c r="G114" s="392"/>
      <c r="H114" s="392"/>
      <c r="I114" s="393"/>
      <c r="J114" s="394">
        <f ca="1">J105</f>
        <v>13684.62</v>
      </c>
      <c r="K114" s="395"/>
      <c r="L114" s="394">
        <f>L105</f>
        <v>80419.03</v>
      </c>
      <c r="M114" s="287"/>
    </row>
    <row r="115" spans="1:13" ht="15" x14ac:dyDescent="0.25">
      <c r="A115" s="368"/>
      <c r="B115" s="368"/>
      <c r="C115" s="368"/>
      <c r="D115" s="391" t="s">
        <v>202</v>
      </c>
      <c r="E115" s="392"/>
      <c r="F115" s="392"/>
      <c r="G115" s="392"/>
      <c r="H115" s="392"/>
      <c r="I115" s="393"/>
      <c r="J115" s="394">
        <f ca="1">J109</f>
        <v>50.5</v>
      </c>
      <c r="K115" s="396"/>
      <c r="L115" s="394">
        <f>L109</f>
        <v>1223.5</v>
      </c>
      <c r="M115" s="287"/>
    </row>
    <row r="116" spans="1:13" ht="15" x14ac:dyDescent="0.25">
      <c r="A116" s="368"/>
      <c r="B116" s="368"/>
      <c r="C116" s="368"/>
      <c r="D116" s="391" t="s">
        <v>203</v>
      </c>
      <c r="E116" s="392"/>
      <c r="F116" s="392"/>
      <c r="G116" s="392"/>
      <c r="H116" s="392"/>
      <c r="I116" s="393"/>
      <c r="J116" s="394">
        <v>0</v>
      </c>
      <c r="K116" s="394"/>
      <c r="L116" s="394">
        <v>0</v>
      </c>
      <c r="M116" s="287"/>
    </row>
    <row r="117" spans="1:13" ht="15" x14ac:dyDescent="0.25">
      <c r="A117" s="368"/>
      <c r="B117" s="368"/>
      <c r="C117" s="368"/>
      <c r="D117" s="391" t="s">
        <v>204</v>
      </c>
      <c r="E117" s="392"/>
      <c r="F117" s="392"/>
      <c r="G117" s="392"/>
      <c r="H117" s="392"/>
      <c r="I117" s="393"/>
      <c r="J117" s="397">
        <v>0</v>
      </c>
      <c r="K117" s="397"/>
      <c r="L117" s="397">
        <v>0</v>
      </c>
      <c r="M117" s="287"/>
    </row>
    <row r="118" spans="1:13" ht="14.25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</row>
    <row r="119" spans="1:13" ht="14.25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</row>
    <row r="120" spans="1:13" ht="14.25" x14ac:dyDescent="0.2">
      <c r="A120" s="327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</row>
  </sheetData>
  <mergeCells count="88">
    <mergeCell ref="I2:L2"/>
    <mergeCell ref="I3:L3"/>
    <mergeCell ref="I4:L4"/>
    <mergeCell ref="J6:L6"/>
    <mergeCell ref="J7:L7"/>
    <mergeCell ref="C18:H18"/>
    <mergeCell ref="J18:L19"/>
    <mergeCell ref="C19:H19"/>
    <mergeCell ref="C9:H9"/>
    <mergeCell ref="C10:H10"/>
    <mergeCell ref="J10:L11"/>
    <mergeCell ref="C11:H11"/>
    <mergeCell ref="C12:H12"/>
    <mergeCell ref="J12:L13"/>
    <mergeCell ref="C13:H13"/>
    <mergeCell ref="J8:L9"/>
    <mergeCell ref="C14:H14"/>
    <mergeCell ref="J14:L15"/>
    <mergeCell ref="C15:H15"/>
    <mergeCell ref="C16:H16"/>
    <mergeCell ref="C17:H17"/>
    <mergeCell ref="A31:L31"/>
    <mergeCell ref="C20:H20"/>
    <mergeCell ref="G21:I21"/>
    <mergeCell ref="J21:L21"/>
    <mergeCell ref="G22:H22"/>
    <mergeCell ref="J22:L22"/>
    <mergeCell ref="J23:L23"/>
    <mergeCell ref="J24:L24"/>
    <mergeCell ref="G26:G27"/>
    <mergeCell ref="H26:H27"/>
    <mergeCell ref="I26:J26"/>
    <mergeCell ref="A30:L30"/>
    <mergeCell ref="A34:L34"/>
    <mergeCell ref="A35:B35"/>
    <mergeCell ref="C35:C39"/>
    <mergeCell ref="D35:D39"/>
    <mergeCell ref="E35:E39"/>
    <mergeCell ref="F35:F39"/>
    <mergeCell ref="G35:G39"/>
    <mergeCell ref="H35:H39"/>
    <mergeCell ref="I35:I39"/>
    <mergeCell ref="J35:J39"/>
    <mergeCell ref="K35:K39"/>
    <mergeCell ref="L35:L39"/>
    <mergeCell ref="A36:A39"/>
    <mergeCell ref="B36:B39"/>
    <mergeCell ref="I72:J72"/>
    <mergeCell ref="K72:L72"/>
    <mergeCell ref="A49:L49"/>
    <mergeCell ref="I59:J59"/>
    <mergeCell ref="K59:L59"/>
    <mergeCell ref="I64:J64"/>
    <mergeCell ref="K64:L64"/>
    <mergeCell ref="I66:J66"/>
    <mergeCell ref="K66:L66"/>
    <mergeCell ref="I68:J68"/>
    <mergeCell ref="K68:L68"/>
    <mergeCell ref="A70:L70"/>
    <mergeCell ref="I86:J86"/>
    <mergeCell ref="K86:L86"/>
    <mergeCell ref="A74:H74"/>
    <mergeCell ref="I74:J74"/>
    <mergeCell ref="K74:L74"/>
    <mergeCell ref="A78:H78"/>
    <mergeCell ref="I78:J78"/>
    <mergeCell ref="K78:L78"/>
    <mergeCell ref="A82:H82"/>
    <mergeCell ref="I82:J82"/>
    <mergeCell ref="K82:L82"/>
    <mergeCell ref="I85:J85"/>
    <mergeCell ref="K85:L85"/>
    <mergeCell ref="D91:H91"/>
    <mergeCell ref="D92:H92"/>
    <mergeCell ref="A32:L32"/>
    <mergeCell ref="A33:L33"/>
    <mergeCell ref="A42:L42"/>
    <mergeCell ref="A43:L43"/>
    <mergeCell ref="A44:L44"/>
    <mergeCell ref="A45:L45"/>
    <mergeCell ref="A46:L46"/>
    <mergeCell ref="A47:L47"/>
    <mergeCell ref="I87:J87"/>
    <mergeCell ref="K87:L87"/>
    <mergeCell ref="I88:J88"/>
    <mergeCell ref="K88:L88"/>
    <mergeCell ref="I89:J89"/>
    <mergeCell ref="K89:L89"/>
  </mergeCells>
  <pageMargins left="0.4" right="0.2" top="0.2" bottom="0.4" header="0.2" footer="0.2"/>
  <pageSetup paperSize="9" scale="60" fitToHeight="0" orientation="portrait" r:id="rId1"/>
  <headerFooter>
    <oddHeader>&amp;L&amp;8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V187"/>
  <sheetViews>
    <sheetView view="pageBreakPreview" topLeftCell="A123" zoomScale="85" zoomScaleNormal="70" zoomScaleSheetLayoutView="85" workbookViewId="0">
      <selection activeCell="I134" sqref="I134:J134"/>
    </sheetView>
  </sheetViews>
  <sheetFormatPr defaultRowHeight="12.75" x14ac:dyDescent="0.2"/>
  <cols>
    <col min="1" max="2" width="5.7109375" style="326" customWidth="1"/>
    <col min="3" max="3" width="11.7109375" style="326" customWidth="1"/>
    <col min="4" max="4" width="40.7109375" style="326" customWidth="1"/>
    <col min="5" max="6" width="11.7109375" style="326" customWidth="1"/>
    <col min="7" max="7" width="14.42578125" style="326" customWidth="1"/>
    <col min="8" max="8" width="12.7109375" style="326" customWidth="1"/>
    <col min="9" max="9" width="12.5703125" style="326" customWidth="1"/>
    <col min="10" max="12" width="12.7109375" style="326" customWidth="1"/>
    <col min="13" max="14" width="9.140625" style="326"/>
    <col min="15" max="35" width="0" style="326" hidden="1" customWidth="1"/>
    <col min="36" max="36" width="99.7109375" style="326" hidden="1" customWidth="1"/>
    <col min="37" max="37" width="155.7109375" style="326" hidden="1" customWidth="1"/>
    <col min="38" max="38" width="109.7109375" style="326" hidden="1" customWidth="1"/>
    <col min="39" max="42" width="0" style="326" hidden="1" customWidth="1"/>
    <col min="43" max="16384" width="9.140625" style="326"/>
  </cols>
  <sheetData>
    <row r="1" spans="1:12" hidden="1" x14ac:dyDescent="0.2">
      <c r="A1" s="325" t="str">
        <f>[84]Source!B1</f>
        <v>Smeta.RU  (495) 974-1589</v>
      </c>
    </row>
    <row r="2" spans="1:12" ht="15" hidden="1" x14ac:dyDescent="0.25">
      <c r="A2" s="327"/>
      <c r="B2" s="327"/>
      <c r="C2" s="328"/>
      <c r="D2" s="328"/>
      <c r="E2" s="328"/>
      <c r="F2" s="327"/>
      <c r="G2" s="327"/>
      <c r="H2" s="327"/>
      <c r="I2" s="667" t="s">
        <v>0</v>
      </c>
      <c r="J2" s="667"/>
      <c r="K2" s="667"/>
      <c r="L2" s="667"/>
    </row>
    <row r="3" spans="1:12" ht="14.25" hidden="1" x14ac:dyDescent="0.2">
      <c r="A3" s="327"/>
      <c r="B3" s="327"/>
      <c r="C3" s="327"/>
      <c r="D3" s="327"/>
      <c r="E3" s="327"/>
      <c r="F3" s="327"/>
      <c r="G3" s="327"/>
      <c r="H3" s="327"/>
      <c r="I3" s="667" t="s">
        <v>1</v>
      </c>
      <c r="J3" s="667"/>
      <c r="K3" s="667"/>
      <c r="L3" s="667"/>
    </row>
    <row r="4" spans="1:12" ht="14.25" hidden="1" x14ac:dyDescent="0.2">
      <c r="A4" s="327"/>
      <c r="B4" s="327"/>
      <c r="C4" s="327"/>
      <c r="D4" s="327"/>
      <c r="E4" s="327"/>
      <c r="F4" s="327"/>
      <c r="G4" s="327"/>
      <c r="H4" s="327"/>
      <c r="I4" s="667" t="s">
        <v>2</v>
      </c>
      <c r="J4" s="667"/>
      <c r="K4" s="667"/>
      <c r="L4" s="667"/>
    </row>
    <row r="5" spans="1:12" ht="14.25" hidden="1" x14ac:dyDescent="0.2">
      <c r="A5" s="327"/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</row>
    <row r="6" spans="1:12" ht="14.25" hidden="1" x14ac:dyDescent="0.2">
      <c r="A6" s="327"/>
      <c r="B6" s="327"/>
      <c r="C6" s="327"/>
      <c r="D6" s="327"/>
      <c r="E6" s="327"/>
      <c r="F6" s="327"/>
      <c r="G6" s="327"/>
      <c r="H6" s="327"/>
      <c r="I6" s="327"/>
      <c r="J6" s="651" t="s">
        <v>3</v>
      </c>
      <c r="K6" s="651"/>
      <c r="L6" s="651"/>
    </row>
    <row r="7" spans="1:12" ht="14.25" hidden="1" x14ac:dyDescent="0.2">
      <c r="A7" s="327"/>
      <c r="B7" s="327"/>
      <c r="C7" s="327"/>
      <c r="D7" s="327"/>
      <c r="E7" s="327"/>
      <c r="F7" s="327"/>
      <c r="G7" s="327"/>
      <c r="H7" s="327"/>
      <c r="I7" s="329" t="s">
        <v>4</v>
      </c>
      <c r="J7" s="668" t="s">
        <v>5</v>
      </c>
      <c r="K7" s="668"/>
      <c r="L7" s="668"/>
    </row>
    <row r="8" spans="1:12" ht="14.25" hidden="1" x14ac:dyDescent="0.2">
      <c r="A8" s="327"/>
      <c r="B8" s="327"/>
      <c r="C8" s="327"/>
      <c r="D8" s="327"/>
      <c r="E8" s="327"/>
      <c r="F8" s="327"/>
      <c r="G8" s="327"/>
      <c r="H8" s="327"/>
      <c r="I8" s="327"/>
      <c r="J8" s="666" t="s">
        <v>6</v>
      </c>
      <c r="K8" s="666"/>
      <c r="L8" s="666"/>
    </row>
    <row r="9" spans="1:12" ht="14.25" hidden="1" x14ac:dyDescent="0.2">
      <c r="A9" s="327" t="s">
        <v>218</v>
      </c>
      <c r="B9" s="327"/>
      <c r="C9" s="611" t="s">
        <v>219</v>
      </c>
      <c r="D9" s="611"/>
      <c r="E9" s="611"/>
      <c r="F9" s="611"/>
      <c r="G9" s="611"/>
      <c r="H9" s="611"/>
      <c r="I9" s="329" t="s">
        <v>9</v>
      </c>
      <c r="J9" s="666"/>
      <c r="K9" s="666"/>
      <c r="L9" s="666"/>
    </row>
    <row r="10" spans="1:12" ht="14.25" hidden="1" x14ac:dyDescent="0.2">
      <c r="A10" s="327"/>
      <c r="B10" s="327"/>
      <c r="C10" s="648" t="s">
        <v>10</v>
      </c>
      <c r="D10" s="648"/>
      <c r="E10" s="648"/>
      <c r="F10" s="648"/>
      <c r="G10" s="648"/>
      <c r="H10" s="648"/>
      <c r="I10" s="327"/>
      <c r="J10" s="660" t="s">
        <v>11</v>
      </c>
      <c r="K10" s="661"/>
      <c r="L10" s="662"/>
    </row>
    <row r="11" spans="1:12" ht="14.25" hidden="1" x14ac:dyDescent="0.2">
      <c r="A11" s="327" t="s">
        <v>220</v>
      </c>
      <c r="B11" s="327"/>
      <c r="C11" s="611" t="s">
        <v>221</v>
      </c>
      <c r="D11" s="611"/>
      <c r="E11" s="611"/>
      <c r="F11" s="611"/>
      <c r="G11" s="611"/>
      <c r="H11" s="611"/>
      <c r="I11" s="329" t="s">
        <v>9</v>
      </c>
      <c r="J11" s="663"/>
      <c r="K11" s="664"/>
      <c r="L11" s="665"/>
    </row>
    <row r="12" spans="1:12" ht="14.25" hidden="1" x14ac:dyDescent="0.2">
      <c r="A12" s="327"/>
      <c r="B12" s="327"/>
      <c r="C12" s="648" t="s">
        <v>10</v>
      </c>
      <c r="D12" s="648"/>
      <c r="E12" s="648"/>
      <c r="F12" s="648"/>
      <c r="G12" s="648"/>
      <c r="H12" s="648"/>
      <c r="I12" s="327"/>
      <c r="J12" s="666">
        <v>29478604</v>
      </c>
      <c r="K12" s="666"/>
      <c r="L12" s="666"/>
    </row>
    <row r="13" spans="1:12" ht="14.25" hidden="1" x14ac:dyDescent="0.2">
      <c r="A13" s="327" t="s">
        <v>15</v>
      </c>
      <c r="B13" s="327"/>
      <c r="C13" s="611" t="s">
        <v>222</v>
      </c>
      <c r="D13" s="611"/>
      <c r="E13" s="611"/>
      <c r="F13" s="611"/>
      <c r="G13" s="611"/>
      <c r="H13" s="611"/>
      <c r="I13" s="329" t="s">
        <v>9</v>
      </c>
      <c r="J13" s="666"/>
      <c r="K13" s="666"/>
      <c r="L13" s="666"/>
    </row>
    <row r="14" spans="1:12" ht="14.25" hidden="1" x14ac:dyDescent="0.2">
      <c r="A14" s="327"/>
      <c r="B14" s="327"/>
      <c r="C14" s="648" t="s">
        <v>10</v>
      </c>
      <c r="D14" s="648"/>
      <c r="E14" s="648"/>
      <c r="F14" s="648"/>
      <c r="G14" s="648"/>
      <c r="H14" s="648"/>
      <c r="I14" s="327"/>
      <c r="J14" s="660" t="s">
        <v>132</v>
      </c>
      <c r="K14" s="661"/>
      <c r="L14" s="662"/>
    </row>
    <row r="15" spans="1:12" ht="30.75" hidden="1" customHeight="1" x14ac:dyDescent="0.2">
      <c r="A15" s="327" t="s">
        <v>185</v>
      </c>
      <c r="B15" s="327"/>
      <c r="C15" s="611" t="s">
        <v>213</v>
      </c>
      <c r="D15" s="611"/>
      <c r="E15" s="611"/>
      <c r="F15" s="611"/>
      <c r="G15" s="611"/>
      <c r="H15" s="611"/>
      <c r="I15" s="329" t="s">
        <v>9</v>
      </c>
      <c r="J15" s="663"/>
      <c r="K15" s="664"/>
      <c r="L15" s="665"/>
    </row>
    <row r="16" spans="1:12" ht="14.25" hidden="1" x14ac:dyDescent="0.2">
      <c r="A16" s="327"/>
      <c r="B16" s="327"/>
      <c r="C16" s="648" t="s">
        <v>10</v>
      </c>
      <c r="D16" s="648"/>
      <c r="E16" s="648"/>
      <c r="F16" s="648"/>
      <c r="G16" s="648"/>
      <c r="H16" s="648"/>
      <c r="I16" s="327"/>
      <c r="J16" s="330"/>
      <c r="K16" s="331"/>
      <c r="L16" s="332"/>
    </row>
    <row r="17" spans="1:36" ht="29.25" hidden="1" customHeight="1" x14ac:dyDescent="0.2">
      <c r="A17" s="327" t="s">
        <v>17</v>
      </c>
      <c r="B17" s="327"/>
      <c r="C17" s="659" t="s">
        <v>223</v>
      </c>
      <c r="D17" s="659"/>
      <c r="E17" s="659"/>
      <c r="F17" s="659"/>
      <c r="G17" s="659"/>
      <c r="H17" s="659"/>
      <c r="I17" s="327"/>
      <c r="J17" s="333"/>
      <c r="K17" s="334"/>
      <c r="L17" s="335"/>
      <c r="AJ17" s="336" t="s">
        <v>224</v>
      </c>
    </row>
    <row r="18" spans="1:36" ht="14.25" hidden="1" x14ac:dyDescent="0.2">
      <c r="A18" s="327"/>
      <c r="B18" s="327"/>
      <c r="C18" s="648" t="s">
        <v>20</v>
      </c>
      <c r="D18" s="648"/>
      <c r="E18" s="648"/>
      <c r="F18" s="648"/>
      <c r="G18" s="648"/>
      <c r="H18" s="648"/>
      <c r="I18" s="327"/>
      <c r="J18" s="651" t="str">
        <f>IF([80]Source!CP15 &lt;&gt; "", [80]Source!CP15, "")</f>
        <v/>
      </c>
      <c r="K18" s="651"/>
      <c r="L18" s="651"/>
    </row>
    <row r="19" spans="1:36" ht="27" hidden="1" customHeight="1" x14ac:dyDescent="0.2">
      <c r="A19" s="327" t="s">
        <v>21</v>
      </c>
      <c r="B19" s="327"/>
      <c r="C19" s="659" t="s">
        <v>223</v>
      </c>
      <c r="D19" s="659"/>
      <c r="E19" s="659"/>
      <c r="F19" s="659"/>
      <c r="G19" s="659"/>
      <c r="H19" s="659"/>
      <c r="I19" s="327"/>
      <c r="J19" s="651"/>
      <c r="K19" s="651"/>
      <c r="L19" s="651"/>
      <c r="AJ19" s="337" t="str">
        <f>IF([80]Source!G12&lt;&gt;"Новый объект", [80]Source!G12, "")</f>
        <v>12-4017-Л-Р-8.3.1-ВК-СМ1 Инженерные системы. Тонельный водопровод и водоотвод</v>
      </c>
    </row>
    <row r="20" spans="1:36" ht="14.25" hidden="1" x14ac:dyDescent="0.2">
      <c r="A20" s="327"/>
      <c r="B20" s="327"/>
      <c r="C20" s="648" t="s">
        <v>22</v>
      </c>
      <c r="D20" s="648"/>
      <c r="E20" s="648"/>
      <c r="F20" s="648"/>
      <c r="G20" s="648"/>
      <c r="H20" s="648"/>
      <c r="I20" s="327"/>
      <c r="J20" s="327"/>
      <c r="K20" s="327"/>
      <c r="L20" s="327"/>
    </row>
    <row r="21" spans="1:36" ht="14.25" hidden="1" x14ac:dyDescent="0.2">
      <c r="A21" s="327"/>
      <c r="B21" s="327"/>
      <c r="C21" s="327"/>
      <c r="D21" s="327"/>
      <c r="E21" s="327"/>
      <c r="F21" s="327"/>
      <c r="G21" s="649" t="s">
        <v>23</v>
      </c>
      <c r="H21" s="649"/>
      <c r="I21" s="650"/>
      <c r="J21" s="651" t="str">
        <f>IF([80]Source!CQ15 &lt;&gt; "", [80]Source!CQ15, "")</f>
        <v/>
      </c>
      <c r="K21" s="651"/>
      <c r="L21" s="651"/>
    </row>
    <row r="22" spans="1:36" ht="14.25" hidden="1" x14ac:dyDescent="0.2">
      <c r="A22" s="327"/>
      <c r="B22" s="327"/>
      <c r="C22" s="327"/>
      <c r="D22" s="327"/>
      <c r="E22" s="327"/>
      <c r="F22" s="327"/>
      <c r="G22" s="649" t="s">
        <v>24</v>
      </c>
      <c r="H22" s="652"/>
      <c r="I22" s="338" t="s">
        <v>25</v>
      </c>
      <c r="J22" s="651" t="s">
        <v>225</v>
      </c>
      <c r="K22" s="651"/>
      <c r="L22" s="651"/>
    </row>
    <row r="23" spans="1:36" ht="14.25" hidden="1" x14ac:dyDescent="0.2">
      <c r="A23" s="327"/>
      <c r="B23" s="327"/>
      <c r="C23" s="327"/>
      <c r="D23" s="327"/>
      <c r="E23" s="327"/>
      <c r="F23" s="327"/>
      <c r="G23" s="327"/>
      <c r="H23" s="327"/>
      <c r="I23" s="339" t="s">
        <v>26</v>
      </c>
      <c r="J23" s="653">
        <v>43713</v>
      </c>
      <c r="K23" s="653"/>
      <c r="L23" s="653"/>
    </row>
    <row r="24" spans="1:36" ht="14.25" hidden="1" x14ac:dyDescent="0.2">
      <c r="A24" s="327"/>
      <c r="B24" s="327"/>
      <c r="C24" s="327"/>
      <c r="D24" s="327"/>
      <c r="E24" s="327"/>
      <c r="F24" s="327"/>
      <c r="G24" s="327"/>
      <c r="H24" s="327"/>
      <c r="I24" s="329" t="s">
        <v>27</v>
      </c>
      <c r="J24" s="651" t="str">
        <f>IF([80]Source!CT15 &lt;&gt; "", [80]Source!CT15, "")</f>
        <v/>
      </c>
      <c r="K24" s="651"/>
      <c r="L24" s="651"/>
    </row>
    <row r="25" spans="1:36" ht="14.25" hidden="1" x14ac:dyDescent="0.2">
      <c r="A25" s="327"/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</row>
    <row r="26" spans="1:36" ht="14.25" hidden="1" x14ac:dyDescent="0.2">
      <c r="A26" s="327"/>
      <c r="B26" s="327"/>
      <c r="C26" s="327"/>
      <c r="D26" s="327"/>
      <c r="E26" s="327"/>
      <c r="F26" s="327"/>
      <c r="G26" s="654" t="s">
        <v>28</v>
      </c>
      <c r="H26" s="656" t="s">
        <v>29</v>
      </c>
      <c r="I26" s="656" t="s">
        <v>30</v>
      </c>
      <c r="J26" s="658"/>
      <c r="K26" s="327"/>
      <c r="L26" s="327"/>
    </row>
    <row r="27" spans="1:36" ht="14.25" hidden="1" x14ac:dyDescent="0.2">
      <c r="A27" s="327"/>
      <c r="B27" s="327"/>
      <c r="C27" s="327"/>
      <c r="D27" s="327"/>
      <c r="E27" s="327"/>
      <c r="F27" s="327"/>
      <c r="G27" s="655"/>
      <c r="H27" s="657"/>
      <c r="I27" s="340" t="s">
        <v>31</v>
      </c>
      <c r="J27" s="341" t="s">
        <v>32</v>
      </c>
      <c r="K27" s="327"/>
      <c r="L27" s="327"/>
    </row>
    <row r="28" spans="1:36" ht="14.25" hidden="1" x14ac:dyDescent="0.2">
      <c r="A28" s="327"/>
      <c r="B28" s="327"/>
      <c r="C28" s="327"/>
      <c r="D28" s="327"/>
      <c r="E28" s="327"/>
      <c r="F28" s="327"/>
      <c r="G28" s="342">
        <v>44087</v>
      </c>
      <c r="H28" s="342">
        <v>44104</v>
      </c>
      <c r="I28" s="342">
        <v>44075</v>
      </c>
      <c r="J28" s="343">
        <f>H28</f>
        <v>44104</v>
      </c>
      <c r="K28" s="327"/>
      <c r="L28" s="327"/>
    </row>
    <row r="29" spans="1:36" ht="14.25" hidden="1" x14ac:dyDescent="0.2">
      <c r="A29" s="327"/>
      <c r="B29" s="327"/>
      <c r="C29" s="327"/>
      <c r="D29" s="327"/>
      <c r="E29" s="327"/>
      <c r="F29" s="327"/>
      <c r="G29" s="327"/>
      <c r="H29" s="327"/>
      <c r="I29" s="327"/>
      <c r="J29" s="327"/>
      <c r="K29" s="327"/>
      <c r="L29" s="327"/>
    </row>
    <row r="30" spans="1:36" ht="18" hidden="1" x14ac:dyDescent="0.25">
      <c r="A30" s="647" t="s">
        <v>34</v>
      </c>
      <c r="B30" s="647"/>
      <c r="C30" s="647"/>
      <c r="D30" s="647"/>
      <c r="E30" s="647"/>
      <c r="F30" s="647"/>
      <c r="G30" s="647"/>
      <c r="H30" s="647"/>
      <c r="I30" s="647"/>
      <c r="J30" s="647"/>
      <c r="K30" s="647"/>
      <c r="L30" s="647"/>
    </row>
    <row r="31" spans="1:36" ht="18" hidden="1" x14ac:dyDescent="0.25">
      <c r="A31" s="647" t="s">
        <v>35</v>
      </c>
      <c r="B31" s="647"/>
      <c r="C31" s="647"/>
      <c r="D31" s="647"/>
      <c r="E31" s="647"/>
      <c r="F31" s="647"/>
      <c r="G31" s="647"/>
      <c r="H31" s="647"/>
      <c r="I31" s="647"/>
      <c r="J31" s="647"/>
      <c r="K31" s="647"/>
      <c r="L31" s="647"/>
    </row>
    <row r="32" spans="1:36" ht="15" x14ac:dyDescent="0.25">
      <c r="A32" s="615" t="s">
        <v>384</v>
      </c>
      <c r="B32" s="615"/>
      <c r="C32" s="615"/>
      <c r="D32" s="615"/>
      <c r="E32" s="615"/>
      <c r="F32" s="615"/>
      <c r="G32" s="615"/>
      <c r="H32" s="615"/>
      <c r="I32" s="615"/>
      <c r="J32" s="615"/>
      <c r="K32" s="615"/>
      <c r="L32" s="615"/>
    </row>
    <row r="33" spans="1:37" ht="15" x14ac:dyDescent="0.2">
      <c r="A33" s="591" t="s">
        <v>253</v>
      </c>
      <c r="B33" s="591"/>
      <c r="C33" s="591"/>
      <c r="D33" s="591"/>
      <c r="E33" s="591"/>
      <c r="F33" s="591"/>
      <c r="G33" s="591"/>
      <c r="H33" s="591"/>
      <c r="I33" s="591"/>
      <c r="J33" s="591"/>
      <c r="K33" s="591"/>
      <c r="L33" s="591"/>
    </row>
    <row r="34" spans="1:37" ht="28.5" x14ac:dyDescent="0.2">
      <c r="A34" s="611" t="s">
        <v>226</v>
      </c>
      <c r="B34" s="611"/>
      <c r="C34" s="611"/>
      <c r="D34" s="611"/>
      <c r="E34" s="611"/>
      <c r="F34" s="611"/>
      <c r="G34" s="611"/>
      <c r="H34" s="611"/>
      <c r="I34" s="611"/>
      <c r="J34" s="611"/>
      <c r="K34" s="611"/>
      <c r="L34" s="611"/>
      <c r="AK34" s="336" t="s">
        <v>226</v>
      </c>
    </row>
    <row r="35" spans="1:37" ht="14.25" x14ac:dyDescent="0.2">
      <c r="A35" s="642" t="s">
        <v>36</v>
      </c>
      <c r="B35" s="642"/>
      <c r="C35" s="642" t="s">
        <v>37</v>
      </c>
      <c r="D35" s="642" t="s">
        <v>38</v>
      </c>
      <c r="E35" s="642" t="s">
        <v>39</v>
      </c>
      <c r="F35" s="642" t="s">
        <v>40</v>
      </c>
      <c r="G35" s="642" t="s">
        <v>41</v>
      </c>
      <c r="H35" s="643" t="s">
        <v>42</v>
      </c>
      <c r="I35" s="643" t="s">
        <v>43</v>
      </c>
      <c r="J35" s="642" t="s">
        <v>227</v>
      </c>
      <c r="K35" s="642" t="s">
        <v>44</v>
      </c>
      <c r="L35" s="642" t="s">
        <v>45</v>
      </c>
    </row>
    <row r="36" spans="1:37" x14ac:dyDescent="0.2">
      <c r="A36" s="643" t="s">
        <v>46</v>
      </c>
      <c r="B36" s="643" t="s">
        <v>47</v>
      </c>
      <c r="C36" s="642"/>
      <c r="D36" s="642"/>
      <c r="E36" s="642"/>
      <c r="F36" s="642"/>
      <c r="G36" s="642"/>
      <c r="H36" s="644"/>
      <c r="I36" s="644"/>
      <c r="J36" s="642"/>
      <c r="K36" s="642"/>
      <c r="L36" s="642"/>
    </row>
    <row r="37" spans="1:37" x14ac:dyDescent="0.2">
      <c r="A37" s="644"/>
      <c r="B37" s="644"/>
      <c r="C37" s="642"/>
      <c r="D37" s="642"/>
      <c r="E37" s="642"/>
      <c r="F37" s="642"/>
      <c r="G37" s="642"/>
      <c r="H37" s="644"/>
      <c r="I37" s="644"/>
      <c r="J37" s="642"/>
      <c r="K37" s="642"/>
      <c r="L37" s="642"/>
    </row>
    <row r="38" spans="1:37" ht="20.100000000000001" customHeight="1" x14ac:dyDescent="0.2">
      <c r="A38" s="644"/>
      <c r="B38" s="644"/>
      <c r="C38" s="642"/>
      <c r="D38" s="642"/>
      <c r="E38" s="642"/>
      <c r="F38" s="642"/>
      <c r="G38" s="642"/>
      <c r="H38" s="644"/>
      <c r="I38" s="644"/>
      <c r="J38" s="642"/>
      <c r="K38" s="642"/>
      <c r="L38" s="642"/>
    </row>
    <row r="39" spans="1:37" ht="20.100000000000001" customHeight="1" x14ac:dyDescent="0.2">
      <c r="A39" s="645"/>
      <c r="B39" s="645"/>
      <c r="C39" s="642"/>
      <c r="D39" s="642"/>
      <c r="E39" s="642"/>
      <c r="F39" s="642"/>
      <c r="G39" s="642"/>
      <c r="H39" s="645"/>
      <c r="I39" s="645"/>
      <c r="J39" s="642"/>
      <c r="K39" s="642"/>
      <c r="L39" s="642"/>
    </row>
    <row r="40" spans="1:37" ht="14.25" x14ac:dyDescent="0.2">
      <c r="A40" s="344">
        <v>1</v>
      </c>
      <c r="B40" s="344">
        <v>2</v>
      </c>
      <c r="C40" s="344">
        <v>3</v>
      </c>
      <c r="D40" s="344">
        <v>4</v>
      </c>
      <c r="E40" s="344">
        <v>5</v>
      </c>
      <c r="F40" s="344">
        <v>6</v>
      </c>
      <c r="G40" s="344">
        <v>7</v>
      </c>
      <c r="H40" s="344">
        <v>8</v>
      </c>
      <c r="I40" s="344">
        <v>9</v>
      </c>
      <c r="J40" s="344">
        <v>10</v>
      </c>
      <c r="K40" s="344">
        <v>11</v>
      </c>
      <c r="L40" s="344">
        <v>12</v>
      </c>
    </row>
    <row r="42" spans="1:37" ht="15.75" x14ac:dyDescent="0.25">
      <c r="A42" s="592" t="s">
        <v>48</v>
      </c>
      <c r="B42" s="592"/>
      <c r="C42" s="592"/>
      <c r="D42" s="592"/>
      <c r="E42" s="592"/>
      <c r="F42" s="592"/>
      <c r="G42" s="592"/>
      <c r="H42" s="592"/>
      <c r="I42" s="592"/>
      <c r="J42" s="592"/>
      <c r="K42" s="592"/>
      <c r="L42" s="592"/>
    </row>
    <row r="43" spans="1:37" ht="15.75" x14ac:dyDescent="0.25">
      <c r="A43" s="592" t="s">
        <v>385</v>
      </c>
      <c r="B43" s="592"/>
      <c r="C43" s="592"/>
      <c r="D43" s="592"/>
      <c r="E43" s="592"/>
      <c r="F43" s="592"/>
      <c r="G43" s="592"/>
      <c r="H43" s="592"/>
      <c r="I43" s="592"/>
      <c r="J43" s="592"/>
      <c r="K43" s="592"/>
      <c r="L43" s="592"/>
    </row>
    <row r="44" spans="1:37" ht="15.75" x14ac:dyDescent="0.25">
      <c r="A44" s="592" t="s">
        <v>386</v>
      </c>
      <c r="B44" s="592"/>
      <c r="C44" s="592"/>
      <c r="D44" s="592"/>
      <c r="E44" s="592"/>
      <c r="F44" s="592"/>
      <c r="G44" s="592"/>
      <c r="H44" s="592"/>
      <c r="I44" s="592"/>
      <c r="J44" s="592"/>
      <c r="K44" s="592"/>
      <c r="L44" s="592"/>
    </row>
    <row r="45" spans="1:37" ht="15.75" hidden="1" x14ac:dyDescent="0.25">
      <c r="A45" s="593" t="s">
        <v>49</v>
      </c>
      <c r="B45" s="594"/>
      <c r="C45" s="594"/>
      <c r="D45" s="594"/>
      <c r="E45" s="594"/>
      <c r="F45" s="594"/>
      <c r="G45" s="594"/>
      <c r="H45" s="594"/>
      <c r="I45" s="594"/>
      <c r="J45" s="594"/>
      <c r="K45" s="594"/>
      <c r="L45" s="595"/>
    </row>
    <row r="46" spans="1:37" ht="15.75" hidden="1" x14ac:dyDescent="0.2">
      <c r="A46" s="596" t="s">
        <v>50</v>
      </c>
      <c r="B46" s="596"/>
      <c r="C46" s="596"/>
      <c r="D46" s="596"/>
      <c r="E46" s="596"/>
      <c r="F46" s="596"/>
      <c r="G46" s="596"/>
      <c r="H46" s="596"/>
      <c r="I46" s="596"/>
      <c r="J46" s="596"/>
      <c r="K46" s="596"/>
      <c r="L46" s="596"/>
    </row>
    <row r="47" spans="1:37" ht="15.75" hidden="1" x14ac:dyDescent="0.2">
      <c r="A47" s="596" t="s">
        <v>51</v>
      </c>
      <c r="B47" s="596"/>
      <c r="C47" s="596"/>
      <c r="D47" s="596"/>
      <c r="E47" s="596"/>
      <c r="F47" s="596"/>
      <c r="G47" s="596"/>
      <c r="H47" s="596"/>
      <c r="I47" s="596"/>
      <c r="J47" s="596"/>
      <c r="K47" s="596"/>
      <c r="L47" s="596"/>
    </row>
    <row r="48" spans="1:37" ht="14.25" x14ac:dyDescent="0.2">
      <c r="A48" s="14" t="s">
        <v>379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50" spans="1:27" ht="16.5" x14ac:dyDescent="0.25">
      <c r="A50" s="646" t="str">
        <f>CONCATENATE("Раздел: ",IF([84]Source!G24&lt;&gt;"Новый раздел", [84]Source!G24, ""))</f>
        <v>Раздел: Хозяйственно-питьевой, производственный и противопожарный водопровод (В1)</v>
      </c>
      <c r="B50" s="646"/>
      <c r="C50" s="646"/>
      <c r="D50" s="646"/>
      <c r="E50" s="646"/>
      <c r="F50" s="646"/>
      <c r="G50" s="646"/>
      <c r="H50" s="646"/>
      <c r="I50" s="646"/>
      <c r="J50" s="646"/>
      <c r="K50" s="646"/>
      <c r="L50" s="646"/>
    </row>
    <row r="51" spans="1:27" ht="65.25" x14ac:dyDescent="0.2">
      <c r="A51" s="346">
        <v>1</v>
      </c>
      <c r="B51" s="346" t="str">
        <f>[84]Source!E89</f>
        <v>23</v>
      </c>
      <c r="C51" s="347" t="s">
        <v>254</v>
      </c>
      <c r="D51" s="347" t="s">
        <v>255</v>
      </c>
      <c r="E51" s="348" t="str">
        <f>[84]Source!H89</f>
        <v>100 м трубопровода</v>
      </c>
      <c r="F51" s="329">
        <f>[84]Source!I89</f>
        <v>1.75559</v>
      </c>
      <c r="G51" s="349"/>
      <c r="H51" s="350"/>
      <c r="I51" s="329"/>
      <c r="J51" s="351"/>
      <c r="K51" s="329"/>
      <c r="L51" s="351"/>
      <c r="Q51" s="326">
        <f>ROUND(([84]Source!DN89/100)*ROUND(([84]Source!AF89*[84]Source!AV89)*[84]Source!I89, 2), 2)</f>
        <v>3577.76</v>
      </c>
      <c r="R51" s="326">
        <f>[84]Source!X89</f>
        <v>69351.33</v>
      </c>
      <c r="S51" s="326">
        <f>ROUND(([84]Source!DO89/100)*ROUND(([84]Source!AF89*[84]Source!AV89)*[84]Source!I89, 2), 2)</f>
        <v>2690.48</v>
      </c>
      <c r="T51" s="326">
        <f>[84]Source!Y89</f>
        <v>31208.1</v>
      </c>
      <c r="U51" s="326">
        <f>ROUND((175/100)*ROUND(([84]Source!AE89*[84]Source!AV89)*[84]Source!I89, 2), 2)</f>
        <v>169.87</v>
      </c>
      <c r="V51" s="326">
        <f>ROUND((157/100)*ROUND([84]Source!CS89*[84]Source!I89, 2), 2)</f>
        <v>3692.66</v>
      </c>
    </row>
    <row r="52" spans="1:27" ht="14.25" x14ac:dyDescent="0.2">
      <c r="A52" s="346"/>
      <c r="B52" s="346"/>
      <c r="C52" s="347"/>
      <c r="D52" s="347" t="s">
        <v>52</v>
      </c>
      <c r="E52" s="348"/>
      <c r="F52" s="329"/>
      <c r="G52" s="349">
        <f>[84]Source!AO89</f>
        <v>914.95</v>
      </c>
      <c r="H52" s="350" t="str">
        <f>[84]Source!DG89</f>
        <v>)*1,67</v>
      </c>
      <c r="I52" s="329">
        <f>[84]Source!AV89</f>
        <v>1.0669999999999999</v>
      </c>
      <c r="J52" s="351">
        <f>ROUND(([84]Source!AF89*[84]Source!AV89)*[84]Source!I89, 2)</f>
        <v>2862.21</v>
      </c>
      <c r="K52" s="329">
        <f>IF([84]Source!BA89&lt;&gt; 0, [84]Source!BA89, 1)</f>
        <v>24.23</v>
      </c>
      <c r="L52" s="351">
        <f>[84]Source!S89</f>
        <v>69351.33</v>
      </c>
      <c r="W52" s="326">
        <f>J52</f>
        <v>2862.21</v>
      </c>
    </row>
    <row r="53" spans="1:27" ht="14.25" x14ac:dyDescent="0.2">
      <c r="A53" s="346"/>
      <c r="B53" s="346"/>
      <c r="C53" s="347"/>
      <c r="D53" s="347" t="s">
        <v>53</v>
      </c>
      <c r="E53" s="348"/>
      <c r="F53" s="329"/>
      <c r="G53" s="349">
        <f>[84]Source!AM89</f>
        <v>218.14</v>
      </c>
      <c r="H53" s="350">
        <f>[84]Source!DE89</f>
        <v>0</v>
      </c>
      <c r="I53" s="329">
        <f>[84]Source!AV89</f>
        <v>1.0669999999999999</v>
      </c>
      <c r="J53" s="351">
        <f>ROUND((((([84]Source!ET89)-([84]Source!EU89))+[84]Source!AE89)*[84]Source!AV89)*[84]Source!I89, 2)-J63</f>
        <v>408.63</v>
      </c>
      <c r="K53" s="329">
        <f>IF([84]Source!BB89&lt;&gt; 0, [84]Source!BB89, 1)</f>
        <v>8.2200000000000006</v>
      </c>
      <c r="L53" s="351">
        <f>[84]Source!Q89-L63</f>
        <v>3358.88</v>
      </c>
    </row>
    <row r="54" spans="1:27" ht="14.25" x14ac:dyDescent="0.2">
      <c r="A54" s="346"/>
      <c r="B54" s="346"/>
      <c r="C54" s="347"/>
      <c r="D54" s="347" t="s">
        <v>54</v>
      </c>
      <c r="E54" s="348"/>
      <c r="F54" s="329"/>
      <c r="G54" s="349">
        <f>[84]Source!AN89</f>
        <v>31.03</v>
      </c>
      <c r="H54" s="350">
        <f>[84]Source!DE89</f>
        <v>0</v>
      </c>
      <c r="I54" s="329">
        <f>[84]Source!AV89</f>
        <v>1.0669999999999999</v>
      </c>
      <c r="J54" s="352">
        <f>ROUND(([84]Source!AE89*[84]Source!AV89)*[84]Source!I89, 2)-J64</f>
        <v>58.13</v>
      </c>
      <c r="K54" s="329">
        <f>IF([84]Source!BS89&lt;&gt; 0, [84]Source!BS89, 1)</f>
        <v>24.23</v>
      </c>
      <c r="L54" s="352">
        <f>[84]Source!R89-L64</f>
        <v>1408.39</v>
      </c>
      <c r="W54" s="326">
        <f>J54</f>
        <v>58.13</v>
      </c>
    </row>
    <row r="55" spans="1:27" ht="14.25" x14ac:dyDescent="0.2">
      <c r="A55" s="346"/>
      <c r="B55" s="346"/>
      <c r="C55" s="347"/>
      <c r="D55" s="347" t="s">
        <v>55</v>
      </c>
      <c r="E55" s="348"/>
      <c r="F55" s="329"/>
      <c r="G55" s="349">
        <f>[84]Source!AL89</f>
        <v>51.59</v>
      </c>
      <c r="H55" s="350">
        <f>[84]Source!DD89</f>
        <v>0</v>
      </c>
      <c r="I55" s="329">
        <f>[84]Source!AW89</f>
        <v>1</v>
      </c>
      <c r="J55" s="351">
        <f>ROUND(([84]Source!AC89*[84]Source!AW89)*[84]Source!I89, 2)</f>
        <v>90.57</v>
      </c>
      <c r="K55" s="329">
        <f>IF([84]Source!BC89&lt;&gt; 0, [84]Source!BC89, 1)</f>
        <v>5.58</v>
      </c>
      <c r="L55" s="351">
        <f>[84]Source!P89</f>
        <v>505.39</v>
      </c>
    </row>
    <row r="56" spans="1:27" ht="71.25" x14ac:dyDescent="0.2">
      <c r="A56" s="346">
        <v>2</v>
      </c>
      <c r="B56" s="346" t="str">
        <f>[84]Source!E91</f>
        <v>23,1</v>
      </c>
      <c r="C56" s="347" t="str">
        <f>[84]Source!F91</f>
        <v>1.12-7-128</v>
      </c>
      <c r="D56" s="347" t="s">
        <v>256</v>
      </c>
      <c r="E56" s="348" t="str">
        <f>[84]Source!H91</f>
        <v>м</v>
      </c>
      <c r="F56" s="329">
        <f>[84]Source!I91</f>
        <v>175.559</v>
      </c>
      <c r="G56" s="349">
        <f>[84]Source!AK91</f>
        <v>575.89</v>
      </c>
      <c r="H56" s="398" t="s">
        <v>74</v>
      </c>
      <c r="I56" s="329">
        <f>[84]Source!AW91</f>
        <v>1</v>
      </c>
      <c r="J56" s="351">
        <f>ROUND(([84]Source!AC91*[84]Source!AW91)*[84]Source!I91, 2)+ROUND((((([84]Source!ET91)-([84]Source!EU91))+[84]Source!AE91)*[84]Source!AV91)*[84]Source!I91, 2)+ROUND(([84]Source!AF91*[84]Source!AV91)*[84]Source!I91, 2)</f>
        <v>101102.67</v>
      </c>
      <c r="K56" s="329">
        <f>IF([84]Source!BC91&lt;&gt; 0, [84]Source!BC91, 1)</f>
        <v>3.46</v>
      </c>
      <c r="L56" s="351">
        <f>[84]Source!O91</f>
        <v>349815.25</v>
      </c>
      <c r="Q56" s="326">
        <f>ROUND(([84]Source!DN91/100)*ROUND(([84]Source!AF91*[84]Source!AV91)*[84]Source!I91, 2), 2)</f>
        <v>0</v>
      </c>
      <c r="R56" s="326">
        <f>[84]Source!X91</f>
        <v>0</v>
      </c>
      <c r="S56" s="326">
        <f>ROUND(([84]Source!DO91/100)*ROUND(([84]Source!AF91*[84]Source!AV91)*[84]Source!I91, 2), 2)</f>
        <v>0</v>
      </c>
      <c r="T56" s="326">
        <f>[84]Source!Y91</f>
        <v>0</v>
      </c>
      <c r="U56" s="326">
        <f>ROUND((175/100)*ROUND(([84]Source!AE91*[84]Source!AV91)*[84]Source!I91, 2), 2)</f>
        <v>0</v>
      </c>
      <c r="V56" s="326">
        <f>ROUND((157/100)*ROUND([84]Source!CS91*[84]Source!I91, 2), 2)</f>
        <v>0</v>
      </c>
      <c r="X56" s="326">
        <f>IF([84]Source!BI91&lt;=1,J56, 0)</f>
        <v>101102.67</v>
      </c>
      <c r="Y56" s="326">
        <f>IF([84]Source!BI91=2,J56, 0)</f>
        <v>0</v>
      </c>
      <c r="Z56" s="326">
        <f>IF([84]Source!BI91=3,J56, 0)</f>
        <v>0</v>
      </c>
      <c r="AA56" s="326">
        <f>IF([84]Source!BI91=4,J56, 0)</f>
        <v>0</v>
      </c>
    </row>
    <row r="57" spans="1:27" ht="14.25" x14ac:dyDescent="0.2">
      <c r="A57" s="346"/>
      <c r="B57" s="346"/>
      <c r="C57" s="347"/>
      <c r="D57" s="347" t="s">
        <v>56</v>
      </c>
      <c r="E57" s="348" t="s">
        <v>57</v>
      </c>
      <c r="F57" s="329">
        <f>[84]Source!DN89</f>
        <v>125</v>
      </c>
      <c r="G57" s="349"/>
      <c r="H57" s="350"/>
      <c r="I57" s="329"/>
      <c r="J57" s="351">
        <f>SUM(Q51:Q56)</f>
        <v>3577.76</v>
      </c>
      <c r="K57" s="329">
        <f>[84]Source!BZ89</f>
        <v>100</v>
      </c>
      <c r="L57" s="351">
        <f>SUM(R51:R56)</f>
        <v>69351.33</v>
      </c>
    </row>
    <row r="58" spans="1:27" ht="14.25" x14ac:dyDescent="0.2">
      <c r="A58" s="346"/>
      <c r="B58" s="346"/>
      <c r="C58" s="347"/>
      <c r="D58" s="347" t="s">
        <v>58</v>
      </c>
      <c r="E58" s="348" t="s">
        <v>57</v>
      </c>
      <c r="F58" s="329">
        <f>[84]Source!DO89</f>
        <v>94</v>
      </c>
      <c r="G58" s="349"/>
      <c r="H58" s="350"/>
      <c r="I58" s="329"/>
      <c r="J58" s="351">
        <f>SUM(S51:S57)</f>
        <v>2690.48</v>
      </c>
      <c r="K58" s="329">
        <f>[84]Source!CA89</f>
        <v>45</v>
      </c>
      <c r="L58" s="351">
        <f>SUM(T51:T57)</f>
        <v>31208.1</v>
      </c>
    </row>
    <row r="59" spans="1:27" ht="14.25" x14ac:dyDescent="0.2">
      <c r="A59" s="346"/>
      <c r="B59" s="346"/>
      <c r="C59" s="347"/>
      <c r="D59" s="347" t="s">
        <v>59</v>
      </c>
      <c r="E59" s="348" t="s">
        <v>57</v>
      </c>
      <c r="F59" s="329">
        <f>175</f>
        <v>175</v>
      </c>
      <c r="G59" s="349"/>
      <c r="H59" s="350"/>
      <c r="I59" s="329"/>
      <c r="J59" s="351">
        <f>SUM(U51:U58)-J65</f>
        <v>101.72</v>
      </c>
      <c r="K59" s="329">
        <f>157</f>
        <v>157</v>
      </c>
      <c r="L59" s="351">
        <f>SUM(V51:V58)-L65</f>
        <v>2211.1799999999998</v>
      </c>
    </row>
    <row r="60" spans="1:27" ht="14.25" x14ac:dyDescent="0.2">
      <c r="A60" s="346"/>
      <c r="B60" s="346"/>
      <c r="C60" s="347"/>
      <c r="D60" s="347" t="s">
        <v>60</v>
      </c>
      <c r="E60" s="348" t="s">
        <v>61</v>
      </c>
      <c r="F60" s="329">
        <f>[84]Source!AQ89</f>
        <v>72.5</v>
      </c>
      <c r="G60" s="349"/>
      <c r="H60" s="350">
        <f>[84]Source!DI89</f>
        <v>0</v>
      </c>
      <c r="I60" s="329">
        <f>[84]Source!AV89</f>
        <v>1.0669999999999999</v>
      </c>
      <c r="J60" s="351">
        <f>[84]Source!U89</f>
        <v>135.81</v>
      </c>
      <c r="K60" s="329"/>
      <c r="L60" s="351"/>
    </row>
    <row r="61" spans="1:27" ht="15" x14ac:dyDescent="0.25">
      <c r="I61" s="641">
        <f>J52+J53+J55+J57+J58+J59+SUM(J56:J56)</f>
        <v>110834.04</v>
      </c>
      <c r="J61" s="641"/>
      <c r="K61" s="641">
        <f>L52+L53+L55+L57+L58+L59+SUM(L56:L56)</f>
        <v>525801.46</v>
      </c>
      <c r="L61" s="641"/>
      <c r="O61" s="353">
        <f>J52+J53+J55+J57+J58+J59+SUM(J56:J56)</f>
        <v>110834.04</v>
      </c>
      <c r="P61" s="353">
        <f>L52+L53+L55+L57+L58+L59+SUM(L56:L56)</f>
        <v>525801.46</v>
      </c>
      <c r="X61" s="326">
        <f>IF([84]Source!BI89&lt;=1,J52+J53+J55+J57+J58+J59-0, 0)</f>
        <v>9731.3700000000008</v>
      </c>
      <c r="Y61" s="326">
        <f>IF([84]Source!BI89=2,J52+J53+J55+J57+J58+J59-0, 0)</f>
        <v>0</v>
      </c>
      <c r="Z61" s="326">
        <f>IF([84]Source!BI89=3,J52+J53+J55+J57+J58+J59-0, 0)</f>
        <v>0</v>
      </c>
      <c r="AA61" s="326">
        <f>IF([84]Source!BI89=4,J52+J53+J55+J57+J58+J59,0)</f>
        <v>0</v>
      </c>
    </row>
    <row r="62" spans="1:27" ht="28.5" x14ac:dyDescent="0.2">
      <c r="A62" s="354"/>
      <c r="B62" s="354"/>
      <c r="C62" s="355"/>
      <c r="D62" s="355" t="s">
        <v>62</v>
      </c>
      <c r="E62" s="348"/>
      <c r="F62" s="356"/>
      <c r="G62" s="357"/>
      <c r="H62" s="348"/>
      <c r="I62" s="356"/>
      <c r="J62" s="352"/>
      <c r="K62" s="356"/>
      <c r="L62" s="352"/>
    </row>
    <row r="63" spans="1:27" ht="14.25" x14ac:dyDescent="0.2">
      <c r="A63" s="354"/>
      <c r="B63" s="354"/>
      <c r="C63" s="355"/>
      <c r="D63" s="355" t="s">
        <v>53</v>
      </c>
      <c r="E63" s="348"/>
      <c r="F63" s="356"/>
      <c r="G63" s="357">
        <f t="shared" ref="G63:L63" si="0">G64</f>
        <v>31.03</v>
      </c>
      <c r="H63" s="358" t="str">
        <f t="shared" si="0"/>
        <v>)*(1.67-1)</v>
      </c>
      <c r="I63" s="356">
        <f t="shared" si="0"/>
        <v>1.0669999999999999</v>
      </c>
      <c r="J63" s="352">
        <f t="shared" si="0"/>
        <v>38.94</v>
      </c>
      <c r="K63" s="356">
        <f t="shared" si="0"/>
        <v>24.23</v>
      </c>
      <c r="L63" s="352">
        <f t="shared" si="0"/>
        <v>943.62</v>
      </c>
    </row>
    <row r="64" spans="1:27" ht="14.25" x14ac:dyDescent="0.2">
      <c r="A64" s="354"/>
      <c r="B64" s="354"/>
      <c r="C64" s="355"/>
      <c r="D64" s="355" t="s">
        <v>54</v>
      </c>
      <c r="E64" s="348"/>
      <c r="F64" s="356"/>
      <c r="G64" s="357">
        <f>[84]Source!AN89</f>
        <v>31.03</v>
      </c>
      <c r="H64" s="358" t="s">
        <v>63</v>
      </c>
      <c r="I64" s="356">
        <f>[84]Source!AV89</f>
        <v>1.0669999999999999</v>
      </c>
      <c r="J64" s="352">
        <f>ROUND(F51*G64*I64*(1.67-1), 2)</f>
        <v>38.94</v>
      </c>
      <c r="K64" s="356">
        <f>IF([84]Source!BS89&lt;&gt; 0, [84]Source!BS89, 1)</f>
        <v>24.23</v>
      </c>
      <c r="L64" s="352">
        <f>ROUND(F51*G64*I64*(1.67-1)*K64, 2)</f>
        <v>943.62</v>
      </c>
      <c r="W64" s="326">
        <f>J64</f>
        <v>38.94</v>
      </c>
    </row>
    <row r="65" spans="1:27" ht="14.25" x14ac:dyDescent="0.2">
      <c r="A65" s="354"/>
      <c r="B65" s="354"/>
      <c r="C65" s="355"/>
      <c r="D65" s="355" t="s">
        <v>59</v>
      </c>
      <c r="E65" s="348" t="s">
        <v>57</v>
      </c>
      <c r="F65" s="356">
        <f>175</f>
        <v>175</v>
      </c>
      <c r="G65" s="357"/>
      <c r="H65" s="348"/>
      <c r="I65" s="356"/>
      <c r="J65" s="352">
        <f>ROUND(J64*(F65/100), 2)</f>
        <v>68.150000000000006</v>
      </c>
      <c r="K65" s="356">
        <f>157</f>
        <v>157</v>
      </c>
      <c r="L65" s="352">
        <f>ROUND(L64*(K65/100), 2)</f>
        <v>1481.48</v>
      </c>
    </row>
    <row r="66" spans="1:27" ht="15" x14ac:dyDescent="0.25">
      <c r="I66" s="641">
        <f>J65+J64</f>
        <v>107.09</v>
      </c>
      <c r="J66" s="641"/>
      <c r="K66" s="641">
        <f>L65+L64</f>
        <v>2425.1</v>
      </c>
      <c r="L66" s="641"/>
      <c r="O66" s="353">
        <f>I66</f>
        <v>107.09</v>
      </c>
      <c r="P66" s="353">
        <f>K66</f>
        <v>2425.1</v>
      </c>
      <c r="X66" s="326">
        <f>IF([84]Source!BI89&lt;=1,I66, 0)</f>
        <v>107.09</v>
      </c>
      <c r="Y66" s="326">
        <f>IF([84]Source!BI89=2,I66, 0)</f>
        <v>0</v>
      </c>
      <c r="Z66" s="326">
        <f>IF([84]Source!BI89=3,I66, 0)</f>
        <v>0</v>
      </c>
      <c r="AA66" s="326">
        <f>IF([84]Source!BI89=4,I66, 0)</f>
        <v>0</v>
      </c>
    </row>
    <row r="68" spans="1:27" ht="15" x14ac:dyDescent="0.25">
      <c r="A68" s="359"/>
      <c r="B68" s="359"/>
      <c r="C68" s="360"/>
      <c r="D68" s="360" t="s">
        <v>64</v>
      </c>
      <c r="E68" s="361"/>
      <c r="F68" s="362"/>
      <c r="G68" s="363"/>
      <c r="H68" s="364"/>
      <c r="I68" s="641">
        <f>I61+I66</f>
        <v>110941.13</v>
      </c>
      <c r="J68" s="641"/>
      <c r="K68" s="641">
        <f>K61+K66</f>
        <v>528226.56000000006</v>
      </c>
      <c r="L68" s="641"/>
    </row>
    <row r="69" spans="1:27" ht="65.25" x14ac:dyDescent="0.2">
      <c r="A69" s="346">
        <v>3</v>
      </c>
      <c r="B69" s="346" t="str">
        <f>[84]Source!E123</f>
        <v>35</v>
      </c>
      <c r="C69" s="347" t="s">
        <v>257</v>
      </c>
      <c r="D69" s="347" t="s">
        <v>258</v>
      </c>
      <c r="E69" s="348" t="str">
        <f>[84]Source!H123</f>
        <v>100 м трубопровода</v>
      </c>
      <c r="F69" s="329">
        <f>[84]Source!I123</f>
        <v>2.1999999999999999E-2</v>
      </c>
      <c r="G69" s="349"/>
      <c r="H69" s="350"/>
      <c r="I69" s="329"/>
      <c r="J69" s="351"/>
      <c r="K69" s="329"/>
      <c r="L69" s="351"/>
      <c r="Q69" s="326">
        <f>ROUND(([84]Source!DN123/100)*ROUND(([84]Source!AF123*[84]Source!AV123)*[84]Source!I123, 2), 2)</f>
        <v>40.5</v>
      </c>
      <c r="R69" s="326">
        <f>[84]Source!X123</f>
        <v>785.16</v>
      </c>
      <c r="S69" s="326">
        <f>ROUND(([84]Source!DO123/100)*ROUND(([84]Source!AF123*[84]Source!AV123)*[84]Source!I123, 2), 2)</f>
        <v>30.46</v>
      </c>
      <c r="T69" s="326">
        <f>[84]Source!Y123</f>
        <v>353.32</v>
      </c>
      <c r="U69" s="326">
        <f>ROUND((175/100)*ROUND(([84]Source!AE123*[84]Source!AV123)*[84]Source!I123, 2), 2)</f>
        <v>1.35</v>
      </c>
      <c r="V69" s="326">
        <f>ROUND((157/100)*ROUND([84]Source!CS123*[84]Source!I123, 2), 2)</f>
        <v>29.12</v>
      </c>
    </row>
    <row r="70" spans="1:27" ht="14.25" x14ac:dyDescent="0.2">
      <c r="A70" s="346"/>
      <c r="B70" s="346"/>
      <c r="C70" s="347"/>
      <c r="D70" s="347" t="s">
        <v>52</v>
      </c>
      <c r="E70" s="348"/>
      <c r="F70" s="329"/>
      <c r="G70" s="349">
        <f>[84]Source!AO123</f>
        <v>826.61</v>
      </c>
      <c r="H70" s="350" t="str">
        <f>[84]Source!DG123</f>
        <v>)*1,67</v>
      </c>
      <c r="I70" s="329">
        <f>[84]Source!AV123</f>
        <v>1.0669999999999999</v>
      </c>
      <c r="J70" s="351">
        <f>ROUND(([84]Source!AF123*[84]Source!AV123)*[84]Source!I123, 2)</f>
        <v>32.4</v>
      </c>
      <c r="K70" s="329">
        <f>IF([84]Source!BA123&lt;&gt; 0, [84]Source!BA123, 1)</f>
        <v>24.23</v>
      </c>
      <c r="L70" s="351">
        <f>[84]Source!S123</f>
        <v>785.16</v>
      </c>
      <c r="W70" s="326">
        <f>J70</f>
        <v>32.4</v>
      </c>
    </row>
    <row r="71" spans="1:27" ht="14.25" x14ac:dyDescent="0.2">
      <c r="A71" s="346"/>
      <c r="B71" s="346"/>
      <c r="C71" s="347"/>
      <c r="D71" s="347" t="s">
        <v>53</v>
      </c>
      <c r="E71" s="348"/>
      <c r="F71" s="329"/>
      <c r="G71" s="349">
        <f>[84]Source!AM123</f>
        <v>147.1</v>
      </c>
      <c r="H71" s="350">
        <f>[84]Source!DE123</f>
        <v>0</v>
      </c>
      <c r="I71" s="329">
        <f>[84]Source!AV123</f>
        <v>1.0669999999999999</v>
      </c>
      <c r="J71" s="351">
        <f>ROUND((((([84]Source!ET123)-([84]Source!EU123))+[84]Source!AE123)*[84]Source!AV123)*[84]Source!I123, 2)-J80</f>
        <v>3.45</v>
      </c>
      <c r="K71" s="329">
        <f>IF([84]Source!BB123&lt;&gt; 0, [84]Source!BB123, 1)</f>
        <v>8.0399999999999991</v>
      </c>
      <c r="L71" s="351">
        <f>[84]Source!Q123-L80</f>
        <v>27.76</v>
      </c>
    </row>
    <row r="72" spans="1:27" ht="14.25" x14ac:dyDescent="0.2">
      <c r="A72" s="346"/>
      <c r="B72" s="346"/>
      <c r="C72" s="347"/>
      <c r="D72" s="347" t="s">
        <v>54</v>
      </c>
      <c r="E72" s="348"/>
      <c r="F72" s="329"/>
      <c r="G72" s="349">
        <f>[84]Source!AN123</f>
        <v>19.53</v>
      </c>
      <c r="H72" s="350">
        <f>[84]Source!DE123</f>
        <v>0</v>
      </c>
      <c r="I72" s="329">
        <f>[84]Source!AV123</f>
        <v>1.0669999999999999</v>
      </c>
      <c r="J72" s="352">
        <f>ROUND(([84]Source!AE123*[84]Source!AV123)*[84]Source!I123, 2)-J81</f>
        <v>0.46</v>
      </c>
      <c r="K72" s="329">
        <f>IF([84]Source!BS123&lt;&gt; 0, [84]Source!BS123, 1)</f>
        <v>24.23</v>
      </c>
      <c r="L72" s="352">
        <f>[84]Source!R123-L81</f>
        <v>11.11</v>
      </c>
      <c r="W72" s="326">
        <f>J72</f>
        <v>0.46</v>
      </c>
    </row>
    <row r="73" spans="1:27" ht="14.25" x14ac:dyDescent="0.2">
      <c r="A73" s="346"/>
      <c r="B73" s="346"/>
      <c r="C73" s="347"/>
      <c r="D73" s="347" t="s">
        <v>55</v>
      </c>
      <c r="E73" s="348"/>
      <c r="F73" s="329"/>
      <c r="G73" s="349">
        <f>[84]Source!AL123</f>
        <v>41.86</v>
      </c>
      <c r="H73" s="350">
        <f>[84]Source!DD123</f>
        <v>0</v>
      </c>
      <c r="I73" s="329">
        <f>[84]Source!AW123</f>
        <v>1</v>
      </c>
      <c r="J73" s="351">
        <f>ROUND(([84]Source!AC123*[84]Source!AW123)*[84]Source!I123, 2)</f>
        <v>0.92</v>
      </c>
      <c r="K73" s="329">
        <f>IF([84]Source!BC123&lt;&gt; 0, [84]Source!BC123, 1)</f>
        <v>5.58</v>
      </c>
      <c r="L73" s="351">
        <f>[84]Source!P123</f>
        <v>5.14</v>
      </c>
    </row>
    <row r="74" spans="1:27" ht="14.25" x14ac:dyDescent="0.2">
      <c r="A74" s="346"/>
      <c r="B74" s="346"/>
      <c r="C74" s="347"/>
      <c r="D74" s="347" t="s">
        <v>56</v>
      </c>
      <c r="E74" s="348" t="s">
        <v>57</v>
      </c>
      <c r="F74" s="329">
        <f>[84]Source!DN123</f>
        <v>125</v>
      </c>
      <c r="G74" s="349"/>
      <c r="H74" s="350"/>
      <c r="I74" s="329"/>
      <c r="J74" s="351">
        <f>SUM(Q69:Q73)</f>
        <v>40.5</v>
      </c>
      <c r="K74" s="329">
        <f>[84]Source!BZ123</f>
        <v>100</v>
      </c>
      <c r="L74" s="351">
        <f>SUM(R69:R73)</f>
        <v>785.16</v>
      </c>
    </row>
    <row r="75" spans="1:27" ht="14.25" x14ac:dyDescent="0.2">
      <c r="A75" s="346"/>
      <c r="B75" s="346"/>
      <c r="C75" s="347"/>
      <c r="D75" s="347" t="s">
        <v>58</v>
      </c>
      <c r="E75" s="348" t="s">
        <v>57</v>
      </c>
      <c r="F75" s="329">
        <f>[84]Source!DO123</f>
        <v>94</v>
      </c>
      <c r="G75" s="349"/>
      <c r="H75" s="350"/>
      <c r="I75" s="329"/>
      <c r="J75" s="351">
        <f>SUM(S69:S74)</f>
        <v>30.46</v>
      </c>
      <c r="K75" s="329">
        <f>[84]Source!CA123</f>
        <v>45</v>
      </c>
      <c r="L75" s="351">
        <f>SUM(T69:T74)</f>
        <v>353.32</v>
      </c>
    </row>
    <row r="76" spans="1:27" ht="14.25" x14ac:dyDescent="0.2">
      <c r="A76" s="346"/>
      <c r="B76" s="346"/>
      <c r="C76" s="347"/>
      <c r="D76" s="347" t="s">
        <v>59</v>
      </c>
      <c r="E76" s="348" t="s">
        <v>57</v>
      </c>
      <c r="F76" s="329">
        <f>175</f>
        <v>175</v>
      </c>
      <c r="G76" s="349"/>
      <c r="H76" s="350"/>
      <c r="I76" s="329"/>
      <c r="J76" s="351">
        <f>SUM(U69:U75)-J82</f>
        <v>0.81</v>
      </c>
      <c r="K76" s="329">
        <f>157</f>
        <v>157</v>
      </c>
      <c r="L76" s="351">
        <f>SUM(V69:V75)-L82</f>
        <v>17.440000000000001</v>
      </c>
    </row>
    <row r="77" spans="1:27" ht="14.25" x14ac:dyDescent="0.2">
      <c r="A77" s="346"/>
      <c r="B77" s="346"/>
      <c r="C77" s="347"/>
      <c r="D77" s="347" t="s">
        <v>60</v>
      </c>
      <c r="E77" s="348" t="s">
        <v>61</v>
      </c>
      <c r="F77" s="329">
        <f>[84]Source!AQ123</f>
        <v>65.5</v>
      </c>
      <c r="G77" s="349"/>
      <c r="H77" s="350">
        <f>[84]Source!DI123</f>
        <v>0</v>
      </c>
      <c r="I77" s="329">
        <f>[84]Source!AV123</f>
        <v>1.0669999999999999</v>
      </c>
      <c r="J77" s="351">
        <f>[84]Source!U123</f>
        <v>1.54</v>
      </c>
      <c r="K77" s="329"/>
      <c r="L77" s="351"/>
    </row>
    <row r="78" spans="1:27" ht="15" x14ac:dyDescent="0.25">
      <c r="I78" s="641">
        <f>J70+J71+J73+J74+J75+J76</f>
        <v>108.54</v>
      </c>
      <c r="J78" s="641"/>
      <c r="K78" s="641">
        <f>L70+L71+L73+L74+L75+L76</f>
        <v>1973.98</v>
      </c>
      <c r="L78" s="641"/>
      <c r="O78" s="353">
        <f>J70+J71+J73+J74+J75+J76</f>
        <v>108.54</v>
      </c>
      <c r="P78" s="353">
        <f>L70+L71+L73+L74+L75+L76</f>
        <v>1973.98</v>
      </c>
      <c r="X78" s="326">
        <f>IF([84]Source!BI123&lt;=1,J70+J71+J73+J74+J75+J76-0, 0)</f>
        <v>108.54</v>
      </c>
      <c r="Y78" s="326">
        <f>IF([84]Source!BI123=2,J70+J71+J73+J74+J75+J76-0, 0)</f>
        <v>0</v>
      </c>
      <c r="Z78" s="326">
        <f>IF([84]Source!BI123=3,J70+J71+J73+J74+J75+J76-0, 0)</f>
        <v>0</v>
      </c>
      <c r="AA78" s="326">
        <f>IF([84]Source!BI123=4,J70+J71+J73+J74+J75+J76,0)</f>
        <v>0</v>
      </c>
    </row>
    <row r="79" spans="1:27" ht="28.5" x14ac:dyDescent="0.2">
      <c r="A79" s="354"/>
      <c r="B79" s="354"/>
      <c r="C79" s="355"/>
      <c r="D79" s="355" t="s">
        <v>62</v>
      </c>
      <c r="E79" s="348"/>
      <c r="F79" s="356"/>
      <c r="G79" s="357"/>
      <c r="H79" s="348"/>
      <c r="I79" s="356"/>
      <c r="J79" s="352"/>
      <c r="K79" s="356"/>
      <c r="L79" s="352"/>
    </row>
    <row r="80" spans="1:27" ht="14.25" x14ac:dyDescent="0.2">
      <c r="A80" s="354"/>
      <c r="B80" s="354"/>
      <c r="C80" s="355"/>
      <c r="D80" s="355" t="s">
        <v>53</v>
      </c>
      <c r="E80" s="348"/>
      <c r="F80" s="356"/>
      <c r="G80" s="357">
        <f t="shared" ref="G80:L80" si="1">G81</f>
        <v>19.53</v>
      </c>
      <c r="H80" s="358" t="str">
        <f t="shared" si="1"/>
        <v>)*(1.67-1)</v>
      </c>
      <c r="I80" s="356">
        <f t="shared" si="1"/>
        <v>1.0669999999999999</v>
      </c>
      <c r="J80" s="352">
        <f t="shared" si="1"/>
        <v>0.31</v>
      </c>
      <c r="K80" s="356">
        <f t="shared" si="1"/>
        <v>24.23</v>
      </c>
      <c r="L80" s="352">
        <f t="shared" si="1"/>
        <v>7.44</v>
      </c>
    </row>
    <row r="81" spans="1:27" ht="14.25" x14ac:dyDescent="0.2">
      <c r="A81" s="354"/>
      <c r="B81" s="354"/>
      <c r="C81" s="355"/>
      <c r="D81" s="355" t="s">
        <v>54</v>
      </c>
      <c r="E81" s="348"/>
      <c r="F81" s="356"/>
      <c r="G81" s="357">
        <f>[84]Source!AN123</f>
        <v>19.53</v>
      </c>
      <c r="H81" s="358" t="s">
        <v>63</v>
      </c>
      <c r="I81" s="356">
        <f>[84]Source!AV123</f>
        <v>1.0669999999999999</v>
      </c>
      <c r="J81" s="352">
        <f>ROUND(F69*G81*I81*(1.67-1), 2)</f>
        <v>0.31</v>
      </c>
      <c r="K81" s="356">
        <f>IF([84]Source!BS123&lt;&gt; 0, [84]Source!BS123, 1)</f>
        <v>24.23</v>
      </c>
      <c r="L81" s="352">
        <f>ROUND(F69*G81*I81*(1.67-1)*K81, 2)</f>
        <v>7.44</v>
      </c>
      <c r="W81" s="326">
        <f>J81</f>
        <v>0.31</v>
      </c>
    </row>
    <row r="82" spans="1:27" ht="14.25" x14ac:dyDescent="0.2">
      <c r="A82" s="354"/>
      <c r="B82" s="354"/>
      <c r="C82" s="355"/>
      <c r="D82" s="355" t="s">
        <v>59</v>
      </c>
      <c r="E82" s="348" t="s">
        <v>57</v>
      </c>
      <c r="F82" s="356">
        <f>175</f>
        <v>175</v>
      </c>
      <c r="G82" s="357"/>
      <c r="H82" s="348"/>
      <c r="I82" s="356"/>
      <c r="J82" s="352">
        <f>ROUND(J81*(F82/100), 2)</f>
        <v>0.54</v>
      </c>
      <c r="K82" s="356">
        <f>157</f>
        <v>157</v>
      </c>
      <c r="L82" s="352">
        <f>ROUND(L81*(K82/100), 2)</f>
        <v>11.68</v>
      </c>
    </row>
    <row r="83" spans="1:27" ht="15" x14ac:dyDescent="0.25">
      <c r="I83" s="641">
        <f>J82+J81</f>
        <v>0.85</v>
      </c>
      <c r="J83" s="641"/>
      <c r="K83" s="641">
        <f>L82+L81</f>
        <v>19.12</v>
      </c>
      <c r="L83" s="641"/>
      <c r="O83" s="353">
        <f>I83</f>
        <v>0.85</v>
      </c>
      <c r="P83" s="353">
        <f>K83</f>
        <v>19.12</v>
      </c>
      <c r="X83" s="326">
        <f>IF([84]Source!BI123&lt;=1,I83, 0)</f>
        <v>0.85</v>
      </c>
      <c r="Y83" s="326">
        <f>IF([84]Source!BI123=2,I83, 0)</f>
        <v>0</v>
      </c>
      <c r="Z83" s="326">
        <f>IF([84]Source!BI123=3,I83, 0)</f>
        <v>0</v>
      </c>
      <c r="AA83" s="326">
        <f>IF([84]Source!BI123=4,I83, 0)</f>
        <v>0</v>
      </c>
    </row>
    <row r="85" spans="1:27" ht="15" x14ac:dyDescent="0.25">
      <c r="A85" s="359"/>
      <c r="B85" s="359"/>
      <c r="C85" s="360"/>
      <c r="D85" s="360" t="s">
        <v>64</v>
      </c>
      <c r="E85" s="361"/>
      <c r="F85" s="362"/>
      <c r="G85" s="363"/>
      <c r="H85" s="364"/>
      <c r="I85" s="641">
        <f>I78+I83</f>
        <v>109.39</v>
      </c>
      <c r="J85" s="641"/>
      <c r="K85" s="641">
        <f>K78+K83</f>
        <v>1993.1</v>
      </c>
      <c r="L85" s="641"/>
    </row>
    <row r="86" spans="1:27" ht="71.25" x14ac:dyDescent="0.2">
      <c r="A86" s="346">
        <v>4</v>
      </c>
      <c r="B86" s="346" t="str">
        <f>[84]Source!E125</f>
        <v>36</v>
      </c>
      <c r="C86" s="347" t="str">
        <f>[84]Source!F125</f>
        <v>1.12-7-98</v>
      </c>
      <c r="D86" s="347" t="s">
        <v>235</v>
      </c>
      <c r="E86" s="348" t="str">
        <f>[84]Source!H125</f>
        <v>м</v>
      </c>
      <c r="F86" s="329">
        <f>[84]Source!I125</f>
        <v>2.2000000000000002</v>
      </c>
      <c r="G86" s="349">
        <f>[84]Source!AL125</f>
        <v>451.61</v>
      </c>
      <c r="H86" s="350">
        <f>[84]Source!DD125</f>
        <v>0</v>
      </c>
      <c r="I86" s="329">
        <f>[84]Source!AW125</f>
        <v>1</v>
      </c>
      <c r="J86" s="351">
        <f>ROUND(([84]Source!AC125*[84]Source!AW125)*[84]Source!I125, 2)</f>
        <v>993.54</v>
      </c>
      <c r="K86" s="329">
        <f>IF([84]Source!BC125&lt;&gt; 0, [84]Source!BC125, 1)</f>
        <v>3.41</v>
      </c>
      <c r="L86" s="351">
        <f>[84]Source!P125</f>
        <v>3387.98</v>
      </c>
      <c r="Q86" s="326">
        <f>ROUND(([84]Source!DN125/100)*ROUND(([84]Source!AF125*[84]Source!AV125)*[84]Source!I125, 2), 2)</f>
        <v>0</v>
      </c>
      <c r="R86" s="326">
        <f>[84]Source!X125</f>
        <v>0</v>
      </c>
      <c r="S86" s="326">
        <f>ROUND(([84]Source!DO125/100)*ROUND(([84]Source!AF125*[84]Source!AV125)*[84]Source!I125, 2), 2)</f>
        <v>0</v>
      </c>
      <c r="T86" s="326">
        <f>[84]Source!Y125</f>
        <v>0</v>
      </c>
      <c r="U86" s="326">
        <f>ROUND((175/100)*ROUND(([84]Source!AE125*[84]Source!AV125)*[84]Source!I125, 2), 2)</f>
        <v>0</v>
      </c>
      <c r="V86" s="326">
        <f>ROUND((157/100)*ROUND([84]Source!CS125*[84]Source!I125, 2), 2)</f>
        <v>0</v>
      </c>
    </row>
    <row r="87" spans="1:27" ht="15" x14ac:dyDescent="0.25">
      <c r="A87" s="365"/>
      <c r="B87" s="365"/>
      <c r="C87" s="365"/>
      <c r="D87" s="365"/>
      <c r="E87" s="365"/>
      <c r="F87" s="365"/>
      <c r="G87" s="365"/>
      <c r="H87" s="365"/>
      <c r="I87" s="641">
        <f>J86</f>
        <v>993.54</v>
      </c>
      <c r="J87" s="641"/>
      <c r="K87" s="641">
        <f>L86</f>
        <v>3387.98</v>
      </c>
      <c r="L87" s="641"/>
      <c r="O87" s="353">
        <f>J86</f>
        <v>993.54</v>
      </c>
      <c r="P87" s="353">
        <f>L86</f>
        <v>3387.98</v>
      </c>
      <c r="X87" s="326">
        <f>IF([84]Source!BI125&lt;=1,J86-0, 0)</f>
        <v>993.54</v>
      </c>
      <c r="Y87" s="326">
        <f>IF([84]Source!BI125=2,J86-0, 0)</f>
        <v>0</v>
      </c>
      <c r="Z87" s="326">
        <f>IF([84]Source!BI125=3,J86-0, 0)</f>
        <v>0</v>
      </c>
      <c r="AA87" s="326">
        <f>IF([84]Source!BI125=4,J86,0)</f>
        <v>0</v>
      </c>
    </row>
    <row r="88" spans="1:27" ht="82.5" x14ac:dyDescent="0.2">
      <c r="A88" s="346">
        <v>5</v>
      </c>
      <c r="B88" s="346" t="str">
        <f>[84]Source!E147</f>
        <v>44</v>
      </c>
      <c r="C88" s="347" t="str">
        <f>[84]Source!F147</f>
        <v>МКЭ-33-117/8-1 от 07.02.2018г.</v>
      </c>
      <c r="D88" s="347" t="s">
        <v>259</v>
      </c>
      <c r="E88" s="348" t="str">
        <f>[84]Source!H147</f>
        <v>шт.</v>
      </c>
      <c r="F88" s="329">
        <f>[84]Source!I147</f>
        <v>10</v>
      </c>
      <c r="G88" s="416">
        <f>J88/F88</f>
        <v>200</v>
      </c>
      <c r="H88" s="417">
        <v>1.02</v>
      </c>
      <c r="I88" s="418">
        <v>1</v>
      </c>
      <c r="J88" s="416">
        <f>L88/K88</f>
        <v>1999.97</v>
      </c>
      <c r="K88" s="418">
        <v>5.58</v>
      </c>
      <c r="L88" s="416">
        <f>1094.1*H88*F88</f>
        <v>11159.82</v>
      </c>
      <c r="Q88" s="326">
        <f>ROUND(([84]Source!DN147/100)*ROUND(([84]Source!AF147*[84]Source!AV147)*[84]Source!I147, 2), 2)</f>
        <v>0</v>
      </c>
      <c r="R88" s="326">
        <f>[84]Source!X147</f>
        <v>0</v>
      </c>
      <c r="S88" s="326">
        <f>ROUND(([84]Source!DO147/100)*ROUND(([84]Source!AF147*[84]Source!AV147)*[84]Source!I147, 2), 2)</f>
        <v>0</v>
      </c>
      <c r="T88" s="326">
        <f>[84]Source!Y147</f>
        <v>0</v>
      </c>
      <c r="U88" s="326">
        <f>ROUND((175/100)*ROUND(([84]Source!AE147*[84]Source!AV147)*[84]Source!I147, 2), 2)</f>
        <v>0</v>
      </c>
      <c r="V88" s="326">
        <f>ROUND((157/100)*ROUND([84]Source!CS147*[84]Source!I147, 2), 2)</f>
        <v>0</v>
      </c>
    </row>
    <row r="89" spans="1:27" ht="15" x14ac:dyDescent="0.25">
      <c r="A89" s="365"/>
      <c r="B89" s="365"/>
      <c r="C89" s="365"/>
      <c r="D89" s="365"/>
      <c r="E89" s="365"/>
      <c r="F89" s="365"/>
      <c r="G89" s="365"/>
      <c r="H89" s="365"/>
      <c r="I89" s="641">
        <f>J88</f>
        <v>1999.97</v>
      </c>
      <c r="J89" s="641"/>
      <c r="K89" s="641">
        <f>L88</f>
        <v>11159.82</v>
      </c>
      <c r="L89" s="641"/>
      <c r="O89" s="353">
        <f>J88</f>
        <v>1999.97</v>
      </c>
      <c r="P89" s="353">
        <f>L88</f>
        <v>11159.82</v>
      </c>
      <c r="X89" s="326">
        <f>IF([84]Source!BI147&lt;=1,J88-0, 0)</f>
        <v>1999.97</v>
      </c>
      <c r="Y89" s="326">
        <f>IF([84]Source!BI147=2,J88-0, 0)</f>
        <v>0</v>
      </c>
      <c r="Z89" s="326">
        <f>IF([84]Source!BI147=3,J88-0, 0)</f>
        <v>0</v>
      </c>
      <c r="AA89" s="326">
        <f>IF([84]Source!BI147=4,J88,0)</f>
        <v>0</v>
      </c>
    </row>
    <row r="90" spans="1:27" ht="71.25" x14ac:dyDescent="0.2">
      <c r="A90" s="346">
        <v>6</v>
      </c>
      <c r="B90" s="346" t="str">
        <f>[84]Source!E151</f>
        <v>46</v>
      </c>
      <c r="C90" s="347" t="str">
        <f>[84]Source!F151</f>
        <v>МКЭ-33-1949/7-1 от 25.10.2017г.</v>
      </c>
      <c r="D90" s="347" t="s">
        <v>260</v>
      </c>
      <c r="E90" s="348" t="str">
        <f>[84]Source!H151</f>
        <v>шт.</v>
      </c>
      <c r="F90" s="329">
        <f>[84]Source!I151</f>
        <v>16</v>
      </c>
      <c r="G90" s="416">
        <f>J90/F90</f>
        <v>195.96</v>
      </c>
      <c r="H90" s="417">
        <v>1.02</v>
      </c>
      <c r="I90" s="418">
        <v>1</v>
      </c>
      <c r="J90" s="416">
        <f>L90/K90</f>
        <v>3135.4</v>
      </c>
      <c r="K90" s="418">
        <v>5.58</v>
      </c>
      <c r="L90" s="416">
        <f>1072.03*H90*F90</f>
        <v>17495.53</v>
      </c>
      <c r="Q90" s="326">
        <f>ROUND(([84]Source!DN151/100)*ROUND(([84]Source!AF151*[84]Source!AV151)*[84]Source!I151, 2), 2)</f>
        <v>0</v>
      </c>
      <c r="R90" s="326">
        <f>[84]Source!X151</f>
        <v>0</v>
      </c>
      <c r="S90" s="326">
        <f>ROUND(([84]Source!DO151/100)*ROUND(([84]Source!AF151*[84]Source!AV151)*[84]Source!I151, 2), 2)</f>
        <v>0</v>
      </c>
      <c r="T90" s="326">
        <f>[84]Source!Y151</f>
        <v>0</v>
      </c>
      <c r="U90" s="326">
        <f>ROUND((175/100)*ROUND(([84]Source!AE151*[84]Source!AV151)*[84]Source!I151, 2), 2)</f>
        <v>0</v>
      </c>
      <c r="V90" s="326">
        <f>ROUND((157/100)*ROUND([84]Source!CS151*[84]Source!I151, 2), 2)</f>
        <v>0</v>
      </c>
    </row>
    <row r="91" spans="1:27" ht="15" x14ac:dyDescent="0.25">
      <c r="A91" s="365"/>
      <c r="B91" s="365"/>
      <c r="C91" s="365"/>
      <c r="D91" s="365"/>
      <c r="E91" s="365"/>
      <c r="F91" s="365"/>
      <c r="G91" s="365"/>
      <c r="H91" s="365"/>
      <c r="I91" s="641">
        <f>J90</f>
        <v>3135.4</v>
      </c>
      <c r="J91" s="641"/>
      <c r="K91" s="641">
        <f>L90</f>
        <v>17495.53</v>
      </c>
      <c r="L91" s="641"/>
      <c r="O91" s="353">
        <f>J90</f>
        <v>3135.4</v>
      </c>
      <c r="P91" s="353">
        <f>L90</f>
        <v>17495.53</v>
      </c>
      <c r="X91" s="326">
        <f>IF([84]Source!BI151&lt;=1,J90-0, 0)</f>
        <v>3135.4</v>
      </c>
      <c r="Y91" s="326">
        <f>IF([84]Source!BI151=2,J90-0, 0)</f>
        <v>0</v>
      </c>
      <c r="Z91" s="326">
        <f>IF([84]Source!BI151=3,J90-0, 0)</f>
        <v>0</v>
      </c>
      <c r="AA91" s="326">
        <f>IF([84]Source!BI151=4,J90,0)</f>
        <v>0</v>
      </c>
    </row>
    <row r="92" spans="1:27" ht="68.25" x14ac:dyDescent="0.2">
      <c r="A92" s="346">
        <v>7</v>
      </c>
      <c r="B92" s="346" t="str">
        <f>[84]Source!E155</f>
        <v>48</v>
      </c>
      <c r="C92" s="347" t="str">
        <f>[84]Source!F155</f>
        <v>МКЭ-33-699/7-1 от 25.10.2017г.</v>
      </c>
      <c r="D92" s="347" t="s">
        <v>261</v>
      </c>
      <c r="E92" s="348" t="str">
        <f>[84]Source!H155</f>
        <v>шт.</v>
      </c>
      <c r="F92" s="329">
        <f>[84]Source!I155</f>
        <v>36</v>
      </c>
      <c r="G92" s="416">
        <f>J92/F92</f>
        <v>129.19999999999999</v>
      </c>
      <c r="H92" s="417">
        <v>1.02</v>
      </c>
      <c r="I92" s="418">
        <f>[85]Source!AW156</f>
        <v>1</v>
      </c>
      <c r="J92" s="416">
        <f>L92/K92</f>
        <v>4651.33</v>
      </c>
      <c r="K92" s="418">
        <f>IF([85]Source!BC156&lt;&gt; 0, [85]Source!BC156, 1)</f>
        <v>5.58</v>
      </c>
      <c r="L92" s="416">
        <f>706.82*H92*F92</f>
        <v>25954.43</v>
      </c>
      <c r="Q92" s="326">
        <f>ROUND(([84]Source!DN155/100)*ROUND(([84]Source!AF155*[84]Source!AV155)*[84]Source!I155, 2), 2)</f>
        <v>0</v>
      </c>
      <c r="R92" s="326">
        <f>[84]Source!X155</f>
        <v>0</v>
      </c>
      <c r="S92" s="326">
        <f>ROUND(([84]Source!DO155/100)*ROUND(([84]Source!AF155*[84]Source!AV155)*[84]Source!I155, 2), 2)</f>
        <v>0</v>
      </c>
      <c r="T92" s="326">
        <f>[84]Source!Y155</f>
        <v>0</v>
      </c>
      <c r="U92" s="326">
        <f>ROUND((175/100)*ROUND(([84]Source!AE155*[84]Source!AV155)*[84]Source!I155, 2), 2)</f>
        <v>0</v>
      </c>
      <c r="V92" s="326">
        <f>ROUND((157/100)*ROUND([84]Source!CS155*[84]Source!I155, 2), 2)</f>
        <v>0</v>
      </c>
    </row>
    <row r="93" spans="1:27" ht="15" x14ac:dyDescent="0.25">
      <c r="A93" s="365"/>
      <c r="B93" s="365"/>
      <c r="C93" s="365"/>
      <c r="D93" s="365"/>
      <c r="E93" s="365"/>
      <c r="F93" s="365"/>
      <c r="G93" s="365"/>
      <c r="H93" s="365"/>
      <c r="I93" s="641">
        <f>J92</f>
        <v>4651.33</v>
      </c>
      <c r="J93" s="641"/>
      <c r="K93" s="641">
        <f>L92</f>
        <v>25954.43</v>
      </c>
      <c r="L93" s="641"/>
      <c r="O93" s="353">
        <f>J92</f>
        <v>4651.33</v>
      </c>
      <c r="P93" s="353">
        <f>L92</f>
        <v>25954.43</v>
      </c>
      <c r="X93" s="326">
        <f>IF([84]Source!BI155&lt;=1,J92-0, 0)</f>
        <v>4651.33</v>
      </c>
      <c r="Y93" s="326">
        <f>IF([84]Source!BI155=2,J92-0, 0)</f>
        <v>0</v>
      </c>
      <c r="Z93" s="326">
        <f>IF([84]Source!BI155=3,J92-0, 0)</f>
        <v>0</v>
      </c>
      <c r="AA93" s="326">
        <f>IF([84]Source!BI155=4,J92,0)</f>
        <v>0</v>
      </c>
    </row>
    <row r="94" spans="1:27" ht="71.25" x14ac:dyDescent="0.2">
      <c r="A94" s="346">
        <v>8</v>
      </c>
      <c r="B94" s="346" t="str">
        <f>[84]Source!E159</f>
        <v>50</v>
      </c>
      <c r="C94" s="347" t="str">
        <f>[84]Source!F159</f>
        <v>МКЭ-33-2289/6-9 от 08.12.2016г.</v>
      </c>
      <c r="D94" s="347" t="s">
        <v>262</v>
      </c>
      <c r="E94" s="348" t="str">
        <f>[84]Source!H159</f>
        <v>шт.</v>
      </c>
      <c r="F94" s="329">
        <f>[84]Source!I159</f>
        <v>4</v>
      </c>
      <c r="G94" s="416">
        <f>J94/F94</f>
        <v>63.2</v>
      </c>
      <c r="H94" s="417">
        <v>1.02</v>
      </c>
      <c r="I94" s="418">
        <f>[85]Source!AW158</f>
        <v>1</v>
      </c>
      <c r="J94" s="416">
        <f>L94/K94</f>
        <v>252.81</v>
      </c>
      <c r="K94" s="418">
        <v>5.58</v>
      </c>
      <c r="L94" s="416">
        <f>345.76*H94*F94</f>
        <v>1410.7</v>
      </c>
      <c r="Q94" s="326">
        <f>ROUND(([84]Source!DN159/100)*ROUND(([84]Source!AF159*[84]Source!AV159)*[84]Source!I159, 2), 2)</f>
        <v>0</v>
      </c>
      <c r="R94" s="326">
        <f>[84]Source!X159</f>
        <v>0</v>
      </c>
      <c r="S94" s="326">
        <f>ROUND(([84]Source!DO159/100)*ROUND(([84]Source!AF159*[84]Source!AV159)*[84]Source!I159, 2), 2)</f>
        <v>0</v>
      </c>
      <c r="T94" s="326">
        <f>[84]Source!Y159</f>
        <v>0</v>
      </c>
      <c r="U94" s="326">
        <f>ROUND((175/100)*ROUND(([84]Source!AE159*[84]Source!AV159)*[84]Source!I159, 2), 2)</f>
        <v>0</v>
      </c>
      <c r="V94" s="326">
        <f>ROUND((157/100)*ROUND([84]Source!CS159*[84]Source!I159, 2), 2)</f>
        <v>0</v>
      </c>
    </row>
    <row r="95" spans="1:27" ht="15" x14ac:dyDescent="0.25">
      <c r="A95" s="365"/>
      <c r="B95" s="365"/>
      <c r="C95" s="365"/>
      <c r="D95" s="365"/>
      <c r="E95" s="365"/>
      <c r="F95" s="365"/>
      <c r="G95" s="365"/>
      <c r="H95" s="365"/>
      <c r="I95" s="641">
        <f>J94</f>
        <v>252.81</v>
      </c>
      <c r="J95" s="641"/>
      <c r="K95" s="641">
        <f>L94</f>
        <v>1410.7</v>
      </c>
      <c r="L95" s="641"/>
      <c r="O95" s="353">
        <f>J94</f>
        <v>252.81</v>
      </c>
      <c r="P95" s="353">
        <f>L94</f>
        <v>1410.7</v>
      </c>
      <c r="X95" s="326">
        <f>IF([84]Source!BI159&lt;=1,J94-0, 0)</f>
        <v>252.81</v>
      </c>
      <c r="Y95" s="326">
        <f>IF([84]Source!BI159=2,J94-0, 0)</f>
        <v>0</v>
      </c>
      <c r="Z95" s="326">
        <f>IF([84]Source!BI159=3,J94-0, 0)</f>
        <v>0</v>
      </c>
      <c r="AA95" s="326">
        <f>IF([84]Source!BI159=4,J94,0)</f>
        <v>0</v>
      </c>
    </row>
    <row r="96" spans="1:27" ht="65.25" x14ac:dyDescent="0.2">
      <c r="A96" s="346">
        <v>9</v>
      </c>
      <c r="B96" s="346" t="str">
        <f>[84]Source!E193</f>
        <v>67</v>
      </c>
      <c r="C96" s="347" t="s">
        <v>263</v>
      </c>
      <c r="D96" s="347" t="s">
        <v>264</v>
      </c>
      <c r="E96" s="348" t="str">
        <f>[84]Source!H193</f>
        <v>100 м2</v>
      </c>
      <c r="F96" s="329">
        <f>[84]Source!I193</f>
        <v>8.3400000000000002E-2</v>
      </c>
      <c r="G96" s="349"/>
      <c r="H96" s="350"/>
      <c r="I96" s="329"/>
      <c r="J96" s="351"/>
      <c r="K96" s="329"/>
      <c r="L96" s="351"/>
      <c r="Q96" s="326">
        <f>ROUND(([84]Source!DN193/100)*ROUND(([84]Source!AF193*[84]Source!AV193)*[84]Source!I193, 2), 2)</f>
        <v>9.26</v>
      </c>
      <c r="R96" s="326">
        <f>[84]Source!X193</f>
        <v>181.58</v>
      </c>
      <c r="S96" s="326">
        <f>ROUND(([84]Source!DO193/100)*ROUND(([84]Source!AF193*[84]Source!AV193)*[84]Source!I193, 2), 2)</f>
        <v>6.79</v>
      </c>
      <c r="T96" s="326">
        <f>[84]Source!Y193</f>
        <v>87.58</v>
      </c>
      <c r="U96" s="326">
        <f>ROUND((175/100)*ROUND(([84]Source!AE193*[84]Source!AV193)*[84]Source!I193, 2), 2)</f>
        <v>1.1399999999999999</v>
      </c>
      <c r="V96" s="326">
        <f>ROUND((157/100)*ROUND([84]Source!CS193*[84]Source!I193, 2), 2)</f>
        <v>24.63</v>
      </c>
    </row>
    <row r="97" spans="1:27" ht="14.25" x14ac:dyDescent="0.2">
      <c r="A97" s="346"/>
      <c r="B97" s="346"/>
      <c r="C97" s="347"/>
      <c r="D97" s="347" t="s">
        <v>52</v>
      </c>
      <c r="E97" s="348"/>
      <c r="F97" s="329"/>
      <c r="G97" s="349">
        <f>[84]Source!AO193</f>
        <v>30.23</v>
      </c>
      <c r="H97" s="350" t="str">
        <f>[84]Source!DG193</f>
        <v>)*2)*1,67</v>
      </c>
      <c r="I97" s="329">
        <f>[84]Source!AV193</f>
        <v>1.0469999999999999</v>
      </c>
      <c r="J97" s="351">
        <f>ROUND(([84]Source!AF193*[84]Source!AV193)*[84]Source!I193, 2)</f>
        <v>8.82</v>
      </c>
      <c r="K97" s="329">
        <f>IF([84]Source!BA193&lt;&gt; 0, [84]Source!BA193, 1)</f>
        <v>24.23</v>
      </c>
      <c r="L97" s="351">
        <f>[84]Source!S193</f>
        <v>213.62</v>
      </c>
      <c r="W97" s="326">
        <f>J97</f>
        <v>8.82</v>
      </c>
    </row>
    <row r="98" spans="1:27" ht="14.25" x14ac:dyDescent="0.2">
      <c r="A98" s="346"/>
      <c r="B98" s="346"/>
      <c r="C98" s="347"/>
      <c r="D98" s="347" t="s">
        <v>53</v>
      </c>
      <c r="E98" s="348"/>
      <c r="F98" s="329"/>
      <c r="G98" s="349">
        <f>[84]Source!AM193</f>
        <v>22.38</v>
      </c>
      <c r="H98" s="350" t="str">
        <f>[84]Source!DE193</f>
        <v>)*2</v>
      </c>
      <c r="I98" s="329">
        <f>[84]Source!AV193</f>
        <v>1.0469999999999999</v>
      </c>
      <c r="J98" s="351">
        <f>ROUND(((((([84]Source!ET193*2))-(([84]Source!EU193*2)))+[84]Source!AE193)*[84]Source!AV193)*[84]Source!I193, 2)-J108</f>
        <v>3.91</v>
      </c>
      <c r="K98" s="329">
        <f>IF([84]Source!BB193&lt;&gt; 0, [84]Source!BB193, 1)</f>
        <v>6.42</v>
      </c>
      <c r="L98" s="351">
        <f>[84]Source!Q193-L108</f>
        <v>25.1</v>
      </c>
    </row>
    <row r="99" spans="1:27" ht="14.25" x14ac:dyDescent="0.2">
      <c r="A99" s="346"/>
      <c r="B99" s="346"/>
      <c r="C99" s="347"/>
      <c r="D99" s="347" t="s">
        <v>54</v>
      </c>
      <c r="E99" s="348"/>
      <c r="F99" s="329"/>
      <c r="G99" s="349">
        <f>[84]Source!AN193</f>
        <v>2.2200000000000002</v>
      </c>
      <c r="H99" s="350" t="str">
        <f>[84]Source!DE193</f>
        <v>)*2</v>
      </c>
      <c r="I99" s="329">
        <f>[84]Source!AV193</f>
        <v>1.0469999999999999</v>
      </c>
      <c r="J99" s="352">
        <f>ROUND(([84]Source!AE193*[84]Source!AV193)*[84]Source!I193, 2)-J109</f>
        <v>0.39</v>
      </c>
      <c r="K99" s="329">
        <f>IF([84]Source!BS193&lt;&gt; 0, [84]Source!BS193, 1)</f>
        <v>24.23</v>
      </c>
      <c r="L99" s="352">
        <f>[84]Source!R193-L109</f>
        <v>9.4</v>
      </c>
      <c r="W99" s="326">
        <f>J99</f>
        <v>0.39</v>
      </c>
    </row>
    <row r="100" spans="1:27" ht="14.25" x14ac:dyDescent="0.2">
      <c r="A100" s="346"/>
      <c r="B100" s="346"/>
      <c r="C100" s="347"/>
      <c r="D100" s="347" t="s">
        <v>55</v>
      </c>
      <c r="E100" s="348"/>
      <c r="F100" s="329"/>
      <c r="G100" s="349">
        <f>[84]Source!AL193</f>
        <v>20.16</v>
      </c>
      <c r="H100" s="350" t="str">
        <f>[84]Source!DD193</f>
        <v>)*2</v>
      </c>
      <c r="I100" s="329">
        <f>[84]Source!AW193</f>
        <v>1</v>
      </c>
      <c r="J100" s="351">
        <f>ROUND(([84]Source!AC193*[84]Source!AW193)*[84]Source!I193, 2)</f>
        <v>3.36</v>
      </c>
      <c r="K100" s="329">
        <f>IF([84]Source!BC193&lt;&gt; 0, [84]Source!BC193, 1)</f>
        <v>7.86</v>
      </c>
      <c r="L100" s="351">
        <f>[84]Source!P193</f>
        <v>26.43</v>
      </c>
    </row>
    <row r="101" spans="1:27" ht="57" x14ac:dyDescent="0.2">
      <c r="A101" s="346">
        <v>10</v>
      </c>
      <c r="B101" s="346" t="str">
        <f>[84]Source!E195</f>
        <v>67,1</v>
      </c>
      <c r="C101" s="347" t="str">
        <f>[84]Source!F195</f>
        <v>1.1-1-413</v>
      </c>
      <c r="D101" s="347" t="s">
        <v>265</v>
      </c>
      <c r="E101" s="348" t="str">
        <f>[84]Source!H195</f>
        <v>кг</v>
      </c>
      <c r="F101" s="329">
        <f>[84]Source!I195</f>
        <v>3.0024000000000002</v>
      </c>
      <c r="G101" s="349">
        <f>[84]Source!AK195</f>
        <v>47.9</v>
      </c>
      <c r="H101" s="398" t="s">
        <v>266</v>
      </c>
      <c r="I101" s="329">
        <f>[84]Source!AW195</f>
        <v>1</v>
      </c>
      <c r="J101" s="351">
        <f>ROUND(([84]Source!AC195*[84]Source!AW195)*[84]Source!I195, 2)+ROUND((((([84]Source!ET195)-([84]Source!EU195))+[84]Source!AE195)*[84]Source!AV195)*[84]Source!I195, 2)+ROUND(([84]Source!AF195*[84]Source!AV195)*[84]Source!I195, 2)</f>
        <v>143.81</v>
      </c>
      <c r="K101" s="329">
        <f>IF([84]Source!BC195&lt;&gt; 0, [84]Source!BC195, 1)</f>
        <v>2.66</v>
      </c>
      <c r="L101" s="351">
        <f>[84]Source!O195</f>
        <v>382.55</v>
      </c>
      <c r="Q101" s="326">
        <f>ROUND(([84]Source!DN195/100)*ROUND(([84]Source!AF195*[84]Source!AV195)*[84]Source!I195, 2), 2)</f>
        <v>0</v>
      </c>
      <c r="R101" s="326">
        <f>[84]Source!X195</f>
        <v>0</v>
      </c>
      <c r="S101" s="326">
        <f>ROUND(([84]Source!DO195/100)*ROUND(([84]Source!AF195*[84]Source!AV195)*[84]Source!I195, 2), 2)</f>
        <v>0</v>
      </c>
      <c r="T101" s="326">
        <f>[84]Source!Y195</f>
        <v>0</v>
      </c>
      <c r="U101" s="326">
        <f>ROUND((175/100)*ROUND(([84]Source!AE195*[84]Source!AV195)*[84]Source!I195, 2), 2)</f>
        <v>0</v>
      </c>
      <c r="V101" s="326">
        <f>ROUND((157/100)*ROUND([84]Source!CS195*[84]Source!I195, 2), 2)</f>
        <v>0</v>
      </c>
      <c r="X101" s="326">
        <f>IF([84]Source!BI195&lt;=1,J101, 0)</f>
        <v>143.81</v>
      </c>
      <c r="Y101" s="326">
        <f>IF([84]Source!BI195=2,J101, 0)</f>
        <v>0</v>
      </c>
      <c r="Z101" s="326">
        <f>IF([84]Source!BI195=3,J101, 0)</f>
        <v>0</v>
      </c>
      <c r="AA101" s="326">
        <f>IF([84]Source!BI195=4,J101, 0)</f>
        <v>0</v>
      </c>
    </row>
    <row r="102" spans="1:27" ht="14.25" x14ac:dyDescent="0.2">
      <c r="A102" s="346"/>
      <c r="B102" s="346"/>
      <c r="C102" s="347"/>
      <c r="D102" s="347" t="s">
        <v>56</v>
      </c>
      <c r="E102" s="348" t="s">
        <v>57</v>
      </c>
      <c r="F102" s="329">
        <f>[84]Source!DN193</f>
        <v>105</v>
      </c>
      <c r="G102" s="349"/>
      <c r="H102" s="350"/>
      <c r="I102" s="329"/>
      <c r="J102" s="351">
        <f>SUM(Q96:Q101)</f>
        <v>9.26</v>
      </c>
      <c r="K102" s="329">
        <f>[84]Source!BZ193</f>
        <v>85</v>
      </c>
      <c r="L102" s="351">
        <f>SUM(R96:R101)</f>
        <v>181.58</v>
      </c>
    </row>
    <row r="103" spans="1:27" ht="14.25" x14ac:dyDescent="0.2">
      <c r="A103" s="346"/>
      <c r="B103" s="346"/>
      <c r="C103" s="347"/>
      <c r="D103" s="347" t="s">
        <v>58</v>
      </c>
      <c r="E103" s="348" t="s">
        <v>57</v>
      </c>
      <c r="F103" s="329">
        <f>[84]Source!DO193</f>
        <v>77</v>
      </c>
      <c r="G103" s="349"/>
      <c r="H103" s="350"/>
      <c r="I103" s="329"/>
      <c r="J103" s="351">
        <f>SUM(S96:S102)</f>
        <v>6.79</v>
      </c>
      <c r="K103" s="329">
        <f>[84]Source!CA193</f>
        <v>41</v>
      </c>
      <c r="L103" s="351">
        <f>SUM(T96:T102)</f>
        <v>87.58</v>
      </c>
    </row>
    <row r="104" spans="1:27" ht="14.25" x14ac:dyDescent="0.2">
      <c r="A104" s="346"/>
      <c r="B104" s="346"/>
      <c r="C104" s="347"/>
      <c r="D104" s="347" t="s">
        <v>59</v>
      </c>
      <c r="E104" s="348" t="s">
        <v>57</v>
      </c>
      <c r="F104" s="329">
        <f>175</f>
        <v>175</v>
      </c>
      <c r="G104" s="349"/>
      <c r="H104" s="350"/>
      <c r="I104" s="329"/>
      <c r="J104" s="351">
        <f>SUM(U96:U103)-J110</f>
        <v>0.68</v>
      </c>
      <c r="K104" s="329">
        <f>157</f>
        <v>157</v>
      </c>
      <c r="L104" s="351">
        <f>SUM(V96:V103)-L110</f>
        <v>14.75</v>
      </c>
    </row>
    <row r="105" spans="1:27" ht="14.25" x14ac:dyDescent="0.2">
      <c r="A105" s="346"/>
      <c r="B105" s="346"/>
      <c r="C105" s="347"/>
      <c r="D105" s="347" t="s">
        <v>60</v>
      </c>
      <c r="E105" s="348" t="s">
        <v>61</v>
      </c>
      <c r="F105" s="329">
        <f>[84]Source!AQ193</f>
        <v>2.54</v>
      </c>
      <c r="G105" s="349"/>
      <c r="H105" s="350" t="str">
        <f>[84]Source!DI193</f>
        <v>)*2</v>
      </c>
      <c r="I105" s="329">
        <f>[84]Source!AV193</f>
        <v>1.0469999999999999</v>
      </c>
      <c r="J105" s="351">
        <f>[84]Source!U193</f>
        <v>0.44</v>
      </c>
      <c r="K105" s="329"/>
      <c r="L105" s="351"/>
    </row>
    <row r="106" spans="1:27" ht="15" x14ac:dyDescent="0.25">
      <c r="I106" s="641">
        <f>J97+J98+J100+J102+J103+J104+SUM(J101:J101)</f>
        <v>176.63</v>
      </c>
      <c r="J106" s="641"/>
      <c r="K106" s="641">
        <f>L97+L98+L100+L102+L103+L104+SUM(L101:L101)</f>
        <v>931.61</v>
      </c>
      <c r="L106" s="641"/>
      <c r="O106" s="353">
        <f>J97+J98+J100+J102+J103+J104+SUM(J101:J101)</f>
        <v>176.63</v>
      </c>
      <c r="P106" s="353">
        <f>L97+L98+L100+L102+L103+L104+SUM(L101:L101)</f>
        <v>931.61</v>
      </c>
      <c r="X106" s="326">
        <f>IF([84]Source!BI193&lt;=1,J97+J98+J100+J102+J103+J104-0, 0)</f>
        <v>32.82</v>
      </c>
      <c r="Y106" s="326">
        <f>IF([84]Source!BI193=2,J97+J98+J100+J102+J103+J104-0, 0)</f>
        <v>0</v>
      </c>
      <c r="Z106" s="326">
        <f>IF([84]Source!BI193=3,J97+J98+J100+J102+J103+J104-0, 0)</f>
        <v>0</v>
      </c>
      <c r="AA106" s="326">
        <f>IF([84]Source!BI193=4,J97+J98+J100+J102+J103+J104,0)</f>
        <v>0</v>
      </c>
    </row>
    <row r="107" spans="1:27" ht="28.5" x14ac:dyDescent="0.2">
      <c r="A107" s="354"/>
      <c r="B107" s="354"/>
      <c r="C107" s="355"/>
      <c r="D107" s="355" t="s">
        <v>62</v>
      </c>
      <c r="E107" s="348"/>
      <c r="F107" s="356"/>
      <c r="G107" s="357"/>
      <c r="H107" s="348"/>
      <c r="I107" s="356"/>
      <c r="J107" s="352"/>
      <c r="K107" s="356"/>
      <c r="L107" s="352"/>
    </row>
    <row r="108" spans="1:27" ht="14.25" x14ac:dyDescent="0.2">
      <c r="A108" s="354"/>
      <c r="B108" s="354"/>
      <c r="C108" s="355"/>
      <c r="D108" s="355" t="s">
        <v>53</v>
      </c>
      <c r="E108" s="348"/>
      <c r="F108" s="356"/>
      <c r="G108" s="357">
        <f t="shared" ref="G108:L108" si="2">G109</f>
        <v>2.2200000000000002</v>
      </c>
      <c r="H108" s="358" t="str">
        <f t="shared" si="2"/>
        <v>)*(1.67-1)*2</v>
      </c>
      <c r="I108" s="356">
        <f t="shared" si="2"/>
        <v>1.0469999999999999</v>
      </c>
      <c r="J108" s="352">
        <f t="shared" si="2"/>
        <v>0.26</v>
      </c>
      <c r="K108" s="356">
        <f t="shared" si="2"/>
        <v>24.23</v>
      </c>
      <c r="L108" s="352">
        <f t="shared" si="2"/>
        <v>6.29</v>
      </c>
    </row>
    <row r="109" spans="1:27" ht="14.25" x14ac:dyDescent="0.2">
      <c r="A109" s="354"/>
      <c r="B109" s="354"/>
      <c r="C109" s="355"/>
      <c r="D109" s="355" t="s">
        <v>54</v>
      </c>
      <c r="E109" s="348"/>
      <c r="F109" s="356"/>
      <c r="G109" s="357">
        <f>[84]Source!AN193</f>
        <v>2.2200000000000002</v>
      </c>
      <c r="H109" s="358" t="s">
        <v>267</v>
      </c>
      <c r="I109" s="356">
        <f>[84]Source!AV193</f>
        <v>1.0469999999999999</v>
      </c>
      <c r="J109" s="352">
        <f>ROUND(F96*G109*I109*(1.67-1)*2, 2)</f>
        <v>0.26</v>
      </c>
      <c r="K109" s="356">
        <f>IF([84]Source!BS193&lt;&gt; 0, [84]Source!BS193, 1)</f>
        <v>24.23</v>
      </c>
      <c r="L109" s="352">
        <f>ROUND(F96*G109*I109*(1.67-1)*2*K109, 2)</f>
        <v>6.29</v>
      </c>
      <c r="W109" s="326">
        <f>J109</f>
        <v>0.26</v>
      </c>
    </row>
    <row r="110" spans="1:27" ht="14.25" x14ac:dyDescent="0.2">
      <c r="A110" s="354"/>
      <c r="B110" s="354"/>
      <c r="C110" s="355"/>
      <c r="D110" s="355" t="s">
        <v>59</v>
      </c>
      <c r="E110" s="348" t="s">
        <v>57</v>
      </c>
      <c r="F110" s="356">
        <f>175</f>
        <v>175</v>
      </c>
      <c r="G110" s="357"/>
      <c r="H110" s="348"/>
      <c r="I110" s="356"/>
      <c r="J110" s="352">
        <f>ROUND(J109*(F110/100), 2)</f>
        <v>0.46</v>
      </c>
      <c r="K110" s="356">
        <f>157</f>
        <v>157</v>
      </c>
      <c r="L110" s="352">
        <f>ROUND(L109*(K110/100), 2)</f>
        <v>9.8800000000000008</v>
      </c>
    </row>
    <row r="111" spans="1:27" ht="15" x14ac:dyDescent="0.25">
      <c r="I111" s="641">
        <f>J110+J109</f>
        <v>0.72</v>
      </c>
      <c r="J111" s="641"/>
      <c r="K111" s="641">
        <f>L110+L109</f>
        <v>16.170000000000002</v>
      </c>
      <c r="L111" s="641"/>
      <c r="O111" s="353">
        <f>I111</f>
        <v>0.72</v>
      </c>
      <c r="P111" s="353">
        <f>K111</f>
        <v>16.170000000000002</v>
      </c>
      <c r="X111" s="326">
        <f>IF([84]Source!BI193&lt;=1,I111, 0)</f>
        <v>0.72</v>
      </c>
      <c r="Y111" s="326">
        <f>IF([84]Source!BI193=2,I111, 0)</f>
        <v>0</v>
      </c>
      <c r="Z111" s="326">
        <f>IF([84]Source!BI193=3,I111, 0)</f>
        <v>0</v>
      </c>
      <c r="AA111" s="326">
        <f>IF([84]Source!BI193=4,I111, 0)</f>
        <v>0</v>
      </c>
    </row>
    <row r="113" spans="1:27" ht="15" x14ac:dyDescent="0.25">
      <c r="A113" s="359"/>
      <c r="B113" s="359"/>
      <c r="C113" s="360"/>
      <c r="D113" s="360" t="s">
        <v>64</v>
      </c>
      <c r="E113" s="361"/>
      <c r="F113" s="362"/>
      <c r="G113" s="363"/>
      <c r="H113" s="364"/>
      <c r="I113" s="641">
        <f>I106+I111</f>
        <v>177.35</v>
      </c>
      <c r="J113" s="641"/>
      <c r="K113" s="641">
        <f>K106+K111</f>
        <v>947.78</v>
      </c>
      <c r="L113" s="641"/>
    </row>
    <row r="114" spans="1:27" ht="142.5" x14ac:dyDescent="0.2">
      <c r="A114" s="346">
        <v>11</v>
      </c>
      <c r="B114" s="346" t="str">
        <f>[84]Source!E197</f>
        <v>68</v>
      </c>
      <c r="C114" s="347" t="str">
        <f>[84]Source!F197</f>
        <v>1.6-1-295</v>
      </c>
      <c r="D114" s="347" t="s">
        <v>268</v>
      </c>
      <c r="E114" s="348" t="str">
        <f>[84]Source!H197</f>
        <v>т</v>
      </c>
      <c r="F114" s="329">
        <f>[84]Source!I197</f>
        <v>0.34</v>
      </c>
      <c r="G114" s="349">
        <f>[84]Source!AL197</f>
        <v>15808.26</v>
      </c>
      <c r="H114" s="350">
        <f>[84]Source!DD197</f>
        <v>0</v>
      </c>
      <c r="I114" s="329">
        <f>[84]Source!AW197</f>
        <v>1</v>
      </c>
      <c r="J114" s="351">
        <f>ROUND(([84]Source!AC197*[84]Source!AW197)*[84]Source!I197, 2)</f>
        <v>5374.81</v>
      </c>
      <c r="K114" s="329">
        <f>IF([84]Source!BC197&lt;&gt; 0, [84]Source!BC197, 1)</f>
        <v>4.0199999999999996</v>
      </c>
      <c r="L114" s="351">
        <f>[84]Source!P197</f>
        <v>21606.73</v>
      </c>
      <c r="Q114" s="326">
        <f>ROUND(([84]Source!DN197/100)*ROUND(([84]Source!AF197*[84]Source!AV197)*[84]Source!I197, 2), 2)</f>
        <v>0</v>
      </c>
      <c r="R114" s="326">
        <f>[84]Source!X197</f>
        <v>0</v>
      </c>
      <c r="S114" s="326">
        <f>ROUND(([84]Source!DO197/100)*ROUND(([84]Source!AF197*[84]Source!AV197)*[84]Source!I197, 2), 2)</f>
        <v>0</v>
      </c>
      <c r="T114" s="326">
        <f>[84]Source!Y197</f>
        <v>0</v>
      </c>
      <c r="U114" s="326">
        <f>ROUND((175/100)*ROUND(([84]Source!AE197*[84]Source!AV197)*[84]Source!I197, 2), 2)</f>
        <v>0</v>
      </c>
      <c r="V114" s="326">
        <f>ROUND((157/100)*ROUND([84]Source!CS197*[84]Source!I197, 2), 2)</f>
        <v>0</v>
      </c>
    </row>
    <row r="115" spans="1:27" ht="15" x14ac:dyDescent="0.25">
      <c r="A115" s="365"/>
      <c r="B115" s="365"/>
      <c r="C115" s="365"/>
      <c r="D115" s="365"/>
      <c r="E115" s="365"/>
      <c r="F115" s="365"/>
      <c r="G115" s="365"/>
      <c r="H115" s="365"/>
      <c r="I115" s="641">
        <f>J114</f>
        <v>5374.81</v>
      </c>
      <c r="J115" s="641"/>
      <c r="K115" s="641">
        <f>L114</f>
        <v>21606.73</v>
      </c>
      <c r="L115" s="641"/>
      <c r="O115" s="353">
        <f>J114</f>
        <v>5374.81</v>
      </c>
      <c r="P115" s="353">
        <f>L114</f>
        <v>21606.73</v>
      </c>
      <c r="X115" s="326">
        <f>IF([84]Source!BI197&lt;=1,J114-0, 0)</f>
        <v>5374.81</v>
      </c>
      <c r="Y115" s="326">
        <f>IF([84]Source!BI197=2,J114-0, 0)</f>
        <v>0</v>
      </c>
      <c r="Z115" s="326">
        <f>IF([84]Source!BI197=3,J114-0, 0)</f>
        <v>0</v>
      </c>
      <c r="AA115" s="326">
        <f>IF([84]Source!BI197=4,J114,0)</f>
        <v>0</v>
      </c>
    </row>
    <row r="116" spans="1:27" ht="57" x14ac:dyDescent="0.2">
      <c r="A116" s="346">
        <v>12</v>
      </c>
      <c r="B116" s="346" t="str">
        <f>[84]Source!E199</f>
        <v>69</v>
      </c>
      <c r="C116" s="347" t="str">
        <f>[84]Source!F199</f>
        <v>1.6-1-269</v>
      </c>
      <c r="D116" s="347" t="s">
        <v>244</v>
      </c>
      <c r="E116" s="348" t="str">
        <f>[84]Source!H199</f>
        <v>т</v>
      </c>
      <c r="F116" s="329">
        <f>[84]Source!I199</f>
        <v>0.19</v>
      </c>
      <c r="G116" s="349">
        <f>[84]Source!AL199</f>
        <v>12416.1</v>
      </c>
      <c r="H116" s="350">
        <f>[84]Source!DD199</f>
        <v>0</v>
      </c>
      <c r="I116" s="329">
        <f>[84]Source!AW199</f>
        <v>1</v>
      </c>
      <c r="J116" s="351">
        <f>ROUND(([84]Source!AC199*[84]Source!AW199)*[84]Source!I199, 2)</f>
        <v>2359.06</v>
      </c>
      <c r="K116" s="329">
        <f>IF([84]Source!BC199&lt;&gt; 0, [84]Source!BC199, 1)</f>
        <v>6.7</v>
      </c>
      <c r="L116" s="351">
        <f>[84]Source!P199</f>
        <v>15805.7</v>
      </c>
      <c r="Q116" s="326">
        <f>ROUND(([84]Source!DN199/100)*ROUND(([84]Source!AF199*[84]Source!AV199)*[84]Source!I199, 2), 2)</f>
        <v>0</v>
      </c>
      <c r="R116" s="326">
        <f>[84]Source!X199</f>
        <v>0</v>
      </c>
      <c r="S116" s="326">
        <f>ROUND(([84]Source!DO199/100)*ROUND(([84]Source!AF199*[84]Source!AV199)*[84]Source!I199, 2), 2)</f>
        <v>0</v>
      </c>
      <c r="T116" s="326">
        <f>[84]Source!Y199</f>
        <v>0</v>
      </c>
      <c r="U116" s="326">
        <f>ROUND((175/100)*ROUND(([84]Source!AE199*[84]Source!AV199)*[84]Source!I199, 2), 2)</f>
        <v>0</v>
      </c>
      <c r="V116" s="326">
        <f>ROUND((157/100)*ROUND([84]Source!CS199*[84]Source!I199, 2), 2)</f>
        <v>0</v>
      </c>
    </row>
    <row r="117" spans="1:27" ht="15" x14ac:dyDescent="0.25">
      <c r="A117" s="365"/>
      <c r="B117" s="365"/>
      <c r="C117" s="365"/>
      <c r="D117" s="365"/>
      <c r="E117" s="365"/>
      <c r="F117" s="365"/>
      <c r="G117" s="365"/>
      <c r="H117" s="365"/>
      <c r="I117" s="641">
        <f>J116</f>
        <v>2359.06</v>
      </c>
      <c r="J117" s="641"/>
      <c r="K117" s="641">
        <f>L116</f>
        <v>15805.7</v>
      </c>
      <c r="L117" s="641"/>
      <c r="O117" s="353">
        <f>J116</f>
        <v>2359.06</v>
      </c>
      <c r="P117" s="353">
        <f>L116</f>
        <v>15805.7</v>
      </c>
      <c r="X117" s="326">
        <f>IF([84]Source!BI199&lt;=1,J116-0, 0)</f>
        <v>2359.06</v>
      </c>
      <c r="Y117" s="326">
        <f>IF([84]Source!BI199=2,J116-0, 0)</f>
        <v>0</v>
      </c>
      <c r="Z117" s="326">
        <f>IF([84]Source!BI199=3,J116-0, 0)</f>
        <v>0</v>
      </c>
      <c r="AA117" s="326">
        <f>IF([84]Source!BI199=4,J116,0)</f>
        <v>0</v>
      </c>
    </row>
    <row r="118" spans="1:27" ht="65.25" x14ac:dyDescent="0.2">
      <c r="A118" s="346">
        <v>13</v>
      </c>
      <c r="B118" s="346" t="str">
        <f>[84]Source!E201</f>
        <v>70</v>
      </c>
      <c r="C118" s="347" t="s">
        <v>269</v>
      </c>
      <c r="D118" s="347" t="s">
        <v>65</v>
      </c>
      <c r="E118" s="348" t="str">
        <f>[84]Source!H201</f>
        <v>100 шт.</v>
      </c>
      <c r="F118" s="329">
        <f>[84]Source!I201</f>
        <v>3.3</v>
      </c>
      <c r="G118" s="349"/>
      <c r="H118" s="350"/>
      <c r="I118" s="329"/>
      <c r="J118" s="351"/>
      <c r="K118" s="329"/>
      <c r="L118" s="351"/>
      <c r="Q118" s="326">
        <f>ROUND(([84]Source!DN201/100)*ROUND(([84]Source!AF201*[84]Source!AV201)*[84]Source!I201, 2), 2)</f>
        <v>1015.19</v>
      </c>
      <c r="R118" s="326">
        <f>[84]Source!X201</f>
        <v>19791.47</v>
      </c>
      <c r="S118" s="326">
        <f>ROUND(([84]Source!DO201/100)*ROUND(([84]Source!AF201*[84]Source!AV201)*[84]Source!I201, 2), 2)</f>
        <v>1225.22</v>
      </c>
      <c r="T118" s="326">
        <f>[84]Source!Y201</f>
        <v>14136.77</v>
      </c>
      <c r="U118" s="326">
        <f>ROUND((175/100)*ROUND(([84]Source!AE201*[84]Source!AV201)*[84]Source!I201, 2), 2)</f>
        <v>0.63</v>
      </c>
      <c r="V118" s="326">
        <f>ROUND((157/100)*ROUND([84]Source!CS201*[84]Source!I201, 2), 2)</f>
        <v>13.67</v>
      </c>
    </row>
    <row r="119" spans="1:27" ht="14.25" x14ac:dyDescent="0.2">
      <c r="A119" s="346"/>
      <c r="B119" s="346"/>
      <c r="C119" s="347"/>
      <c r="D119" s="347" t="s">
        <v>52</v>
      </c>
      <c r="E119" s="348"/>
      <c r="F119" s="329"/>
      <c r="G119" s="349">
        <f>[84]Source!AO201</f>
        <v>194.79</v>
      </c>
      <c r="H119" s="350" t="str">
        <f>[84]Source!DG201</f>
        <v>)*1,67</v>
      </c>
      <c r="I119" s="329">
        <f>[84]Source!AV201</f>
        <v>1.087</v>
      </c>
      <c r="J119" s="351">
        <f>ROUND(([84]Source!AF201*[84]Source!AV201)*[84]Source!I201, 2)</f>
        <v>1166.8800000000001</v>
      </c>
      <c r="K119" s="329">
        <f>IF([84]Source!BA201&lt;&gt; 0, [84]Source!BA201, 1)</f>
        <v>24.23</v>
      </c>
      <c r="L119" s="351">
        <f>[84]Source!S201</f>
        <v>28273.53</v>
      </c>
      <c r="W119" s="326">
        <f>J119</f>
        <v>1166.8800000000001</v>
      </c>
    </row>
    <row r="120" spans="1:27" ht="14.25" x14ac:dyDescent="0.2">
      <c r="A120" s="346"/>
      <c r="B120" s="346"/>
      <c r="C120" s="347"/>
      <c r="D120" s="347" t="s">
        <v>53</v>
      </c>
      <c r="E120" s="348"/>
      <c r="F120" s="329"/>
      <c r="G120" s="349">
        <f>[84]Source!AM201</f>
        <v>0.3</v>
      </c>
      <c r="H120" s="350">
        <f>[84]Source!DE201</f>
        <v>0</v>
      </c>
      <c r="I120" s="329">
        <f>[84]Source!AV201</f>
        <v>1.087</v>
      </c>
      <c r="J120" s="351">
        <f>ROUND((((([84]Source!ET201)-([84]Source!EU201))+[84]Source!AE201)*[84]Source!AV201)*[84]Source!I201, 2)-J129</f>
        <v>1.08</v>
      </c>
      <c r="K120" s="329">
        <f>IF([84]Source!BB201&lt;&gt; 0, [84]Source!BB201, 1)</f>
        <v>9.3000000000000007</v>
      </c>
      <c r="L120" s="351">
        <f>[84]Source!Q201-L129</f>
        <v>10.01</v>
      </c>
    </row>
    <row r="121" spans="1:27" ht="14.25" x14ac:dyDescent="0.2">
      <c r="A121" s="346"/>
      <c r="B121" s="346"/>
      <c r="C121" s="347"/>
      <c r="D121" s="347" t="s">
        <v>54</v>
      </c>
      <c r="E121" s="348"/>
      <c r="F121" s="329"/>
      <c r="G121" s="349">
        <f>[84]Source!AN201</f>
        <v>0.06</v>
      </c>
      <c r="H121" s="350">
        <f>[84]Source!DE201</f>
        <v>0</v>
      </c>
      <c r="I121" s="329">
        <f>[84]Source!AV201</f>
        <v>1.087</v>
      </c>
      <c r="J121" s="352">
        <f>ROUND(([84]Source!AE201*[84]Source!AV201)*[84]Source!I201, 2)-J130</f>
        <v>0.22</v>
      </c>
      <c r="K121" s="329">
        <f>IF([84]Source!BS201&lt;&gt; 0, [84]Source!BS201, 1)</f>
        <v>24.23</v>
      </c>
      <c r="L121" s="352">
        <f>[84]Source!R201-L130</f>
        <v>5.22</v>
      </c>
      <c r="W121" s="326">
        <f>J121</f>
        <v>0.22</v>
      </c>
    </row>
    <row r="122" spans="1:27" ht="99.75" x14ac:dyDescent="0.2">
      <c r="A122" s="346">
        <v>14</v>
      </c>
      <c r="B122" s="346" t="str">
        <f>[84]Source!E203</f>
        <v>70,1</v>
      </c>
      <c r="C122" s="347" t="str">
        <f>[84]Source!F203</f>
        <v>1.7-5-155</v>
      </c>
      <c r="D122" s="347" t="s">
        <v>245</v>
      </c>
      <c r="E122" s="348" t="str">
        <f>[84]Source!H203</f>
        <v>шт.</v>
      </c>
      <c r="F122" s="329">
        <f>[84]Source!I203</f>
        <v>79</v>
      </c>
      <c r="G122" s="349">
        <f>[84]Source!AK203</f>
        <v>25.33</v>
      </c>
      <c r="H122" s="398" t="s">
        <v>74</v>
      </c>
      <c r="I122" s="329">
        <f>[84]Source!AW203</f>
        <v>1</v>
      </c>
      <c r="J122" s="351">
        <f>ROUND(([84]Source!AC203*[84]Source!AW203)*[84]Source!I203, 2)+ROUND((((([84]Source!ET203)-([84]Source!EU203))+[84]Source!AE203)*[84]Source!AV203)*[84]Source!I203, 2)+ROUND(([84]Source!AF203*[84]Source!AV203)*[84]Source!I203, 2)</f>
        <v>2001.07</v>
      </c>
      <c r="K122" s="329">
        <f>IF([84]Source!BC203&lt;&gt; 0, [84]Source!BC203, 1)</f>
        <v>5.69</v>
      </c>
      <c r="L122" s="351">
        <f>[84]Source!O203</f>
        <v>11386.09</v>
      </c>
      <c r="Q122" s="326">
        <f>ROUND(([84]Source!DN203/100)*ROUND(([84]Source!AF203*[84]Source!AV203)*[84]Source!I203, 2), 2)</f>
        <v>0</v>
      </c>
      <c r="R122" s="326">
        <f>[84]Source!X203</f>
        <v>0</v>
      </c>
      <c r="S122" s="326">
        <f>ROUND(([84]Source!DO203/100)*ROUND(([84]Source!AF203*[84]Source!AV203)*[84]Source!I203, 2), 2)</f>
        <v>0</v>
      </c>
      <c r="T122" s="326">
        <f>[84]Source!Y203</f>
        <v>0</v>
      </c>
      <c r="U122" s="326">
        <f>ROUND((175/100)*ROUND(([84]Source!AE203*[84]Source!AV203)*[84]Source!I203, 2), 2)</f>
        <v>0</v>
      </c>
      <c r="V122" s="326">
        <f>ROUND((157/100)*ROUND([84]Source!CS203*[84]Source!I203, 2), 2)</f>
        <v>0</v>
      </c>
      <c r="X122" s="326">
        <f>IF([84]Source!BI203&lt;=1,J122, 0)</f>
        <v>2001.07</v>
      </c>
      <c r="Y122" s="326">
        <f>IF([84]Source!BI203=2,J122, 0)</f>
        <v>0</v>
      </c>
      <c r="Z122" s="326">
        <f>IF([84]Source!BI203=3,J122, 0)</f>
        <v>0</v>
      </c>
      <c r="AA122" s="326">
        <f>IF([84]Source!BI203=4,J122, 0)</f>
        <v>0</v>
      </c>
    </row>
    <row r="123" spans="1:27" ht="14.25" x14ac:dyDescent="0.2">
      <c r="A123" s="346"/>
      <c r="B123" s="346"/>
      <c r="C123" s="347"/>
      <c r="D123" s="347" t="s">
        <v>56</v>
      </c>
      <c r="E123" s="348" t="s">
        <v>57</v>
      </c>
      <c r="F123" s="329">
        <f>[84]Source!DN201</f>
        <v>87</v>
      </c>
      <c r="G123" s="349"/>
      <c r="H123" s="350"/>
      <c r="I123" s="329"/>
      <c r="J123" s="351">
        <f>SUM(Q118:Q122)</f>
        <v>1015.19</v>
      </c>
      <c r="K123" s="329">
        <f>[84]Source!BZ201</f>
        <v>70</v>
      </c>
      <c r="L123" s="351">
        <f>SUM(R118:R122)</f>
        <v>19791.47</v>
      </c>
    </row>
    <row r="124" spans="1:27" ht="14.25" x14ac:dyDescent="0.2">
      <c r="A124" s="346"/>
      <c r="B124" s="346"/>
      <c r="C124" s="347"/>
      <c r="D124" s="347" t="s">
        <v>58</v>
      </c>
      <c r="E124" s="348" t="s">
        <v>57</v>
      </c>
      <c r="F124" s="329">
        <f>[84]Source!DO201</f>
        <v>105</v>
      </c>
      <c r="G124" s="349"/>
      <c r="H124" s="350"/>
      <c r="I124" s="329"/>
      <c r="J124" s="351">
        <f>SUM(S118:S123)</f>
        <v>1225.22</v>
      </c>
      <c r="K124" s="329">
        <f>[84]Source!CA201</f>
        <v>50</v>
      </c>
      <c r="L124" s="351">
        <f>SUM(T118:T123)</f>
        <v>14136.77</v>
      </c>
    </row>
    <row r="125" spans="1:27" ht="14.25" x14ac:dyDescent="0.2">
      <c r="A125" s="346"/>
      <c r="B125" s="346"/>
      <c r="C125" s="347"/>
      <c r="D125" s="347" t="s">
        <v>59</v>
      </c>
      <c r="E125" s="348" t="s">
        <v>57</v>
      </c>
      <c r="F125" s="329">
        <f>175</f>
        <v>175</v>
      </c>
      <c r="G125" s="349"/>
      <c r="H125" s="350"/>
      <c r="I125" s="329"/>
      <c r="J125" s="351">
        <f>SUM(U118:U124)-J131</f>
        <v>0.38</v>
      </c>
      <c r="K125" s="329">
        <f>157</f>
        <v>157</v>
      </c>
      <c r="L125" s="351">
        <f>SUM(V118:V124)-L131</f>
        <v>8.19</v>
      </c>
    </row>
    <row r="126" spans="1:27" ht="14.25" x14ac:dyDescent="0.2">
      <c r="A126" s="346"/>
      <c r="B126" s="346"/>
      <c r="C126" s="347"/>
      <c r="D126" s="347" t="s">
        <v>60</v>
      </c>
      <c r="E126" s="348" t="s">
        <v>61</v>
      </c>
      <c r="F126" s="329">
        <f>[84]Source!AQ201</f>
        <v>13.4</v>
      </c>
      <c r="G126" s="349"/>
      <c r="H126" s="350">
        <f>[84]Source!DI201</f>
        <v>0</v>
      </c>
      <c r="I126" s="329">
        <f>[84]Source!AV201</f>
        <v>1.087</v>
      </c>
      <c r="J126" s="351">
        <f>[84]Source!U201</f>
        <v>48.07</v>
      </c>
      <c r="K126" s="329"/>
      <c r="L126" s="351"/>
    </row>
    <row r="127" spans="1:27" ht="15" x14ac:dyDescent="0.25">
      <c r="I127" s="641">
        <f>J119+J120+J123+J124+J125+SUM(J122:J122)</f>
        <v>5409.82</v>
      </c>
      <c r="J127" s="641"/>
      <c r="K127" s="641">
        <f>L119+L120+L123+L124+L125+SUM(L122:L122)</f>
        <v>73606.06</v>
      </c>
      <c r="L127" s="641"/>
      <c r="O127" s="353">
        <f>J119+J120+J123+J124+J125+SUM(J122:J122)</f>
        <v>5409.82</v>
      </c>
      <c r="P127" s="353">
        <f>L119+L120+L123+L124+L125+SUM(L122:L122)</f>
        <v>73606.06</v>
      </c>
      <c r="X127" s="326">
        <f>IF([84]Source!BI201&lt;=1,J119+J120+J123+J124+J125-0, 0)</f>
        <v>3408.75</v>
      </c>
      <c r="Y127" s="326">
        <f>IF([84]Source!BI201=2,J119+J120+J123+J124+J125-0, 0)</f>
        <v>0</v>
      </c>
      <c r="Z127" s="326">
        <f>IF([84]Source!BI201=3,J119+J120+J123+J124+J125-0, 0)</f>
        <v>0</v>
      </c>
      <c r="AA127" s="326">
        <f>IF([84]Source!BI201=4,J119+J120+J123+J124+J125,0)</f>
        <v>0</v>
      </c>
    </row>
    <row r="128" spans="1:27" ht="28.5" x14ac:dyDescent="0.2">
      <c r="A128" s="354"/>
      <c r="B128" s="354"/>
      <c r="C128" s="355"/>
      <c r="D128" s="355" t="s">
        <v>62</v>
      </c>
      <c r="E128" s="348"/>
      <c r="F128" s="356"/>
      <c r="G128" s="357"/>
      <c r="H128" s="348"/>
      <c r="I128" s="356"/>
      <c r="J128" s="352"/>
      <c r="K128" s="356"/>
      <c r="L128" s="352"/>
    </row>
    <row r="129" spans="1:38" ht="14.25" x14ac:dyDescent="0.2">
      <c r="A129" s="354"/>
      <c r="B129" s="354"/>
      <c r="C129" s="355"/>
      <c r="D129" s="355" t="s">
        <v>53</v>
      </c>
      <c r="E129" s="348"/>
      <c r="F129" s="356"/>
      <c r="G129" s="357">
        <f t="shared" ref="G129:L129" si="3">G130</f>
        <v>0.06</v>
      </c>
      <c r="H129" s="358" t="str">
        <f t="shared" si="3"/>
        <v>)*(1.67-1)</v>
      </c>
      <c r="I129" s="356">
        <f t="shared" si="3"/>
        <v>1.087</v>
      </c>
      <c r="J129" s="352">
        <f t="shared" si="3"/>
        <v>0.14000000000000001</v>
      </c>
      <c r="K129" s="356">
        <f t="shared" si="3"/>
        <v>24.23</v>
      </c>
      <c r="L129" s="352">
        <f t="shared" si="3"/>
        <v>3.49</v>
      </c>
    </row>
    <row r="130" spans="1:38" ht="14.25" x14ac:dyDescent="0.2">
      <c r="A130" s="354"/>
      <c r="B130" s="354"/>
      <c r="C130" s="355"/>
      <c r="D130" s="355" t="s">
        <v>54</v>
      </c>
      <c r="E130" s="348"/>
      <c r="F130" s="356"/>
      <c r="G130" s="357">
        <f>[84]Source!AN201</f>
        <v>0.06</v>
      </c>
      <c r="H130" s="358" t="s">
        <v>63</v>
      </c>
      <c r="I130" s="356">
        <f>[84]Source!AV201</f>
        <v>1.087</v>
      </c>
      <c r="J130" s="352">
        <f>ROUND(F118*G130*I130*(1.67-1), 2)</f>
        <v>0.14000000000000001</v>
      </c>
      <c r="K130" s="356">
        <f>IF([84]Source!BS201&lt;&gt; 0, [84]Source!BS201, 1)</f>
        <v>24.23</v>
      </c>
      <c r="L130" s="352">
        <f>ROUND(F118*G130*I130*(1.67-1)*K130, 2)</f>
        <v>3.49</v>
      </c>
      <c r="W130" s="326">
        <f>J130</f>
        <v>0.14000000000000001</v>
      </c>
    </row>
    <row r="131" spans="1:38" ht="14.25" x14ac:dyDescent="0.2">
      <c r="A131" s="354"/>
      <c r="B131" s="354"/>
      <c r="C131" s="355"/>
      <c r="D131" s="355" t="s">
        <v>59</v>
      </c>
      <c r="E131" s="348" t="s">
        <v>57</v>
      </c>
      <c r="F131" s="356">
        <f>175</f>
        <v>175</v>
      </c>
      <c r="G131" s="357"/>
      <c r="H131" s="348"/>
      <c r="I131" s="356"/>
      <c r="J131" s="352">
        <f>ROUND(J130*(F131/100), 2)</f>
        <v>0.25</v>
      </c>
      <c r="K131" s="356">
        <f>157</f>
        <v>157</v>
      </c>
      <c r="L131" s="352">
        <f>ROUND(L130*(K131/100), 2)</f>
        <v>5.48</v>
      </c>
    </row>
    <row r="132" spans="1:38" ht="15" x14ac:dyDescent="0.25">
      <c r="I132" s="641">
        <f>J131+J130</f>
        <v>0.39</v>
      </c>
      <c r="J132" s="641"/>
      <c r="K132" s="641">
        <f>L131+L130</f>
        <v>8.9700000000000006</v>
      </c>
      <c r="L132" s="641"/>
      <c r="O132" s="353">
        <f>I132</f>
        <v>0.39</v>
      </c>
      <c r="P132" s="353">
        <f>K132</f>
        <v>8.9700000000000006</v>
      </c>
      <c r="X132" s="326">
        <f>IF([84]Source!BI201&lt;=1,I132, 0)</f>
        <v>0.39</v>
      </c>
      <c r="Y132" s="326">
        <f>IF([84]Source!BI201=2,I132, 0)</f>
        <v>0</v>
      </c>
      <c r="Z132" s="326">
        <f>IF([84]Source!BI201=3,I132, 0)</f>
        <v>0</v>
      </c>
      <c r="AA132" s="326">
        <f>IF([84]Source!BI201=4,I132, 0)</f>
        <v>0</v>
      </c>
    </row>
    <row r="134" spans="1:38" ht="15" x14ac:dyDescent="0.25">
      <c r="A134" s="359"/>
      <c r="B134" s="359"/>
      <c r="C134" s="360"/>
      <c r="D134" s="360" t="s">
        <v>64</v>
      </c>
      <c r="E134" s="361"/>
      <c r="F134" s="362"/>
      <c r="G134" s="363"/>
      <c r="H134" s="364"/>
      <c r="I134" s="641">
        <f>I127+I132</f>
        <v>5410.21</v>
      </c>
      <c r="J134" s="641"/>
      <c r="K134" s="641">
        <f>K127+K132</f>
        <v>73615.03</v>
      </c>
      <c r="L134" s="641"/>
    </row>
    <row r="135" spans="1:38" ht="71.25" x14ac:dyDescent="0.2">
      <c r="A135" s="346">
        <v>15</v>
      </c>
      <c r="B135" s="346" t="str">
        <f>[84]Source!E205</f>
        <v>71</v>
      </c>
      <c r="C135" s="347" t="str">
        <f>[84]Source!F205</f>
        <v>1.7-5-240</v>
      </c>
      <c r="D135" s="347" t="s">
        <v>270</v>
      </c>
      <c r="E135" s="348" t="str">
        <f>[84]Source!H205</f>
        <v>100 шт.</v>
      </c>
      <c r="F135" s="329">
        <f>[84]Source!I205</f>
        <v>2.5099999999999998</v>
      </c>
      <c r="G135" s="349">
        <f>[84]Source!AL205</f>
        <v>617.04</v>
      </c>
      <c r="H135" s="350">
        <f>[84]Source!DD205</f>
        <v>0</v>
      </c>
      <c r="I135" s="329">
        <f>[84]Source!AW205</f>
        <v>1</v>
      </c>
      <c r="J135" s="351">
        <f>ROUND(([84]Source!AC205*[84]Source!AW205)*[84]Source!I205, 2)</f>
        <v>1548.77</v>
      </c>
      <c r="K135" s="329">
        <f>IF([84]Source!BC205&lt;&gt; 0, [84]Source!BC205, 1)</f>
        <v>7.42</v>
      </c>
      <c r="L135" s="351">
        <f>[84]Source!P205</f>
        <v>11491.88</v>
      </c>
      <c r="Q135" s="326">
        <f>ROUND(([84]Source!DN205/100)*ROUND(([84]Source!AF205*[84]Source!AV205)*[84]Source!I205, 2), 2)</f>
        <v>0</v>
      </c>
      <c r="R135" s="326">
        <f>[84]Source!X205</f>
        <v>0</v>
      </c>
      <c r="S135" s="326">
        <f>ROUND(([84]Source!DO205/100)*ROUND(([84]Source!AF205*[84]Source!AV205)*[84]Source!I205, 2), 2)</f>
        <v>0</v>
      </c>
      <c r="T135" s="326">
        <f>[84]Source!Y205</f>
        <v>0</v>
      </c>
      <c r="U135" s="326">
        <f>ROUND((175/100)*ROUND(([84]Source!AE205*[84]Source!AV205)*[84]Source!I205, 2), 2)</f>
        <v>0</v>
      </c>
      <c r="V135" s="326">
        <f>ROUND((157/100)*ROUND([84]Source!CS205*[84]Source!I205, 2), 2)</f>
        <v>0</v>
      </c>
    </row>
    <row r="136" spans="1:38" ht="15" x14ac:dyDescent="0.25">
      <c r="A136" s="365"/>
      <c r="B136" s="365"/>
      <c r="C136" s="365"/>
      <c r="D136" s="365"/>
      <c r="E136" s="365"/>
      <c r="F136" s="365"/>
      <c r="G136" s="365"/>
      <c r="H136" s="365"/>
      <c r="I136" s="641">
        <f>J135</f>
        <v>1548.77</v>
      </c>
      <c r="J136" s="641"/>
      <c r="K136" s="641">
        <f>L135</f>
        <v>11491.88</v>
      </c>
      <c r="L136" s="641"/>
      <c r="O136" s="353">
        <f>J135</f>
        <v>1548.77</v>
      </c>
      <c r="P136" s="353">
        <f>L135</f>
        <v>11491.88</v>
      </c>
      <c r="X136" s="326">
        <f>IF([84]Source!BI205&lt;=1,J135-0, 0)</f>
        <v>1548.77</v>
      </c>
      <c r="Y136" s="326">
        <f>IF([84]Source!BI205=2,J135-0, 0)</f>
        <v>0</v>
      </c>
      <c r="Z136" s="326">
        <f>IF([84]Source!BI205=3,J135-0, 0)</f>
        <v>0</v>
      </c>
      <c r="AA136" s="326">
        <f>IF([84]Source!BI205=4,J135,0)</f>
        <v>0</v>
      </c>
    </row>
    <row r="138" spans="1:38" ht="30" x14ac:dyDescent="0.25">
      <c r="A138" s="637" t="str">
        <f>CONCATENATE("Итого по разделу: ",IF([84]Source!G207&lt;&gt;"Новый раздел", [84]Source!G207, ""))</f>
        <v>Итого по разделу: Хозяйственно-питьевой, производственный и противопожарный водопровод (В1)</v>
      </c>
      <c r="B138" s="637"/>
      <c r="C138" s="637"/>
      <c r="D138" s="637"/>
      <c r="E138" s="637"/>
      <c r="F138" s="637"/>
      <c r="G138" s="637"/>
      <c r="H138" s="637"/>
      <c r="I138" s="638">
        <f>SUM(O50:O137)</f>
        <v>136953.76999999999</v>
      </c>
      <c r="J138" s="639"/>
      <c r="K138" s="638">
        <f>SUM(P50:P137)</f>
        <v>713095.24</v>
      </c>
      <c r="L138" s="639"/>
      <c r="AL138" s="366" t="str">
        <f>CONCATENATE("Итого по разделу: ",IF([84]Source!G207&lt;&gt;"Новый раздел", [84]Source!G207, ""))</f>
        <v>Итого по разделу: Хозяйственно-питьевой, производственный и противопожарный водопровод (В1)</v>
      </c>
    </row>
    <row r="139" spans="1:38" hidden="1" x14ac:dyDescent="0.2">
      <c r="A139" s="326" t="s">
        <v>67</v>
      </c>
      <c r="J139" s="326">
        <f>SUM(AC50:AC138)</f>
        <v>0</v>
      </c>
      <c r="K139" s="326">
        <f>SUM(AD50:AD138)</f>
        <v>0</v>
      </c>
    </row>
    <row r="140" spans="1:38" hidden="1" x14ac:dyDescent="0.2">
      <c r="A140" s="326" t="s">
        <v>68</v>
      </c>
      <c r="J140" s="326">
        <f>SUM(AE50:AE139)</f>
        <v>0</v>
      </c>
      <c r="K140" s="326">
        <f>SUM(AF50:AF139)</f>
        <v>0</v>
      </c>
    </row>
    <row r="142" spans="1:38" hidden="1" x14ac:dyDescent="0.2">
      <c r="A142" s="326" t="s">
        <v>67</v>
      </c>
      <c r="J142" s="326" t="e">
        <f>SUM(#REF!)</f>
        <v>#REF!</v>
      </c>
      <c r="K142" s="326" t="e">
        <f>SUM(#REF!)</f>
        <v>#REF!</v>
      </c>
    </row>
    <row r="143" spans="1:38" hidden="1" x14ac:dyDescent="0.2">
      <c r="A143" s="326" t="s">
        <v>68</v>
      </c>
      <c r="J143" s="326">
        <f>SUM(AE142:AE142)</f>
        <v>0</v>
      </c>
      <c r="K143" s="326">
        <f>SUM(AF142:AF142)</f>
        <v>0</v>
      </c>
    </row>
    <row r="145" spans="1:256" ht="30" x14ac:dyDescent="0.25">
      <c r="A145" s="637" t="str">
        <f>CONCATENATE("Итого по локальной смете: ",IF([84]Source!G874&lt;&gt;"Новая локальная смета", [84]Source!G874, ""))</f>
        <v>Итого по локальной смете: Вестибюль №2. Внутренние инженерные системы. Водоснабжение и водоотведение</v>
      </c>
      <c r="B145" s="637"/>
      <c r="C145" s="637"/>
      <c r="D145" s="637"/>
      <c r="E145" s="637"/>
      <c r="F145" s="637"/>
      <c r="G145" s="637"/>
      <c r="H145" s="637"/>
      <c r="I145" s="638">
        <f>SUM(O49:O144)</f>
        <v>136953.76999999999</v>
      </c>
      <c r="J145" s="639"/>
      <c r="K145" s="638">
        <f>SUM(P49:P144)</f>
        <v>713095.24</v>
      </c>
      <c r="L145" s="639"/>
      <c r="AL145" s="366" t="str">
        <f>CONCATENATE("Итого по локальной смете: ",IF([84]Source!G874&lt;&gt;"Новая локальная смета", [84]Source!G874, ""))</f>
        <v>Итого по локальной смете: Вестибюль №2. Внутренние инженерные системы. Водоснабжение и водоотведение</v>
      </c>
    </row>
    <row r="146" spans="1:256" hidden="1" x14ac:dyDescent="0.2">
      <c r="A146" s="326" t="s">
        <v>67</v>
      </c>
      <c r="J146" s="326">
        <f>SUM(AC49:AC145)</f>
        <v>0</v>
      </c>
      <c r="K146" s="326">
        <f>SUM(AD49:AD145)</f>
        <v>0</v>
      </c>
    </row>
    <row r="147" spans="1:256" hidden="1" x14ac:dyDescent="0.2">
      <c r="A147" s="326" t="s">
        <v>68</v>
      </c>
      <c r="J147" s="326">
        <f>SUM(AE49:AE146)</f>
        <v>0</v>
      </c>
      <c r="K147" s="326">
        <f>SUM(AF49:AF146)</f>
        <v>0</v>
      </c>
    </row>
    <row r="148" spans="1:256" ht="14.25" x14ac:dyDescent="0.2">
      <c r="D148" s="367" t="str">
        <f>[84]Source!H880</f>
        <v>Стоимость материалов (всего)</v>
      </c>
      <c r="E148" s="367"/>
      <c r="F148" s="367"/>
      <c r="G148" s="367"/>
      <c r="H148" s="367"/>
      <c r="I148" s="669">
        <f>SUMIF(D5:D139,"МР",J5:J139)+J135+J122+J116+J114+J101+J94+J92+J90+J88+J86+J56</f>
        <v>123658.09</v>
      </c>
      <c r="J148" s="669"/>
      <c r="K148" s="670">
        <f>IF([84]Source!P880=0, "", [84]Source!P880)</f>
        <v>470519.37</v>
      </c>
      <c r="L148" s="670"/>
    </row>
    <row r="149" spans="1:256" ht="14.25" x14ac:dyDescent="0.2">
      <c r="D149" s="367" t="str">
        <f>[84]Source!H888</f>
        <v>ЗП машинистов</v>
      </c>
      <c r="E149" s="367"/>
      <c r="F149" s="367"/>
      <c r="G149" s="367"/>
      <c r="H149" s="367"/>
      <c r="I149" s="669">
        <f>SUMIF(D5:D139,"в т.ч. ЗПМ",J5:J139)</f>
        <v>98.85</v>
      </c>
      <c r="J149" s="669"/>
      <c r="K149" s="670">
        <f>IF([84]Source!P888=0, "", [84]Source!P888)</f>
        <v>2394.96</v>
      </c>
      <c r="L149" s="670"/>
    </row>
    <row r="150" spans="1:256" ht="14.25" x14ac:dyDescent="0.2">
      <c r="D150" s="367" t="str">
        <f>[84]Source!H889</f>
        <v>Основная ЗП рабочих</v>
      </c>
      <c r="E150" s="367"/>
      <c r="F150" s="367"/>
      <c r="G150" s="367"/>
      <c r="H150" s="367"/>
      <c r="I150" s="669">
        <f>SUMIF(D5:D139,"ЗП",J5:J139)</f>
        <v>4070.31</v>
      </c>
      <c r="J150" s="669"/>
      <c r="K150" s="670">
        <f>IF([84]Source!P889=0, "", [84]Source!P889)</f>
        <v>98623.64</v>
      </c>
      <c r="L150" s="670"/>
    </row>
    <row r="151" spans="1:256" ht="14.25" x14ac:dyDescent="0.2">
      <c r="D151" s="367" t="str">
        <f>[84]Source!H899</f>
        <v>Накладные расходы</v>
      </c>
      <c r="E151" s="367"/>
      <c r="F151" s="367"/>
      <c r="G151" s="367"/>
      <c r="H151" s="367"/>
      <c r="I151" s="669">
        <f>SUMIF(D5:D139,"НР от ЗП",J5:J139)</f>
        <v>4642.71</v>
      </c>
      <c r="J151" s="669"/>
      <c r="K151" s="670">
        <f>IF([84]Source!P899=0, "", [84]Source!P899)</f>
        <v>90109.54</v>
      </c>
      <c r="L151" s="670"/>
    </row>
    <row r="152" spans="1:256" ht="14.25" x14ac:dyDescent="0.2">
      <c r="D152" s="367" t="str">
        <f>[84]Source!H900</f>
        <v>Сметная прибыль</v>
      </c>
      <c r="E152" s="367"/>
      <c r="F152" s="367"/>
      <c r="G152" s="367"/>
      <c r="H152" s="367"/>
      <c r="I152" s="669">
        <f>SUMIF(D5:D139,"СП от ЗП",J5:J139)</f>
        <v>3952.95</v>
      </c>
      <c r="J152" s="669"/>
      <c r="K152" s="670">
        <f>IF([84]Source!P900=0, "", [84]Source!P900)</f>
        <v>45785.77</v>
      </c>
      <c r="L152" s="670"/>
    </row>
    <row r="154" spans="1:256" ht="30" x14ac:dyDescent="0.25">
      <c r="A154" s="637" t="str">
        <f>CONCATENATE("Итого по акту: ",IF([84]Source!G903&lt;&gt;"Новый объект", [84]Source!G903, ""))</f>
        <v>Итого по акту: 12-4017-Л-Р-11.4.3.2-ВК-СМ1 Вестибюль №2. Внутренние инженерные системы. Водоснабжение и водоотведение</v>
      </c>
      <c r="B154" s="637"/>
      <c r="C154" s="637"/>
      <c r="D154" s="637"/>
      <c r="E154" s="637"/>
      <c r="F154" s="637"/>
      <c r="G154" s="637"/>
      <c r="H154" s="637"/>
      <c r="I154" s="638">
        <f>SUM(O1:O153)</f>
        <v>136953.76999999999</v>
      </c>
      <c r="J154" s="639"/>
      <c r="K154" s="638">
        <f>SUM(P1:P153)</f>
        <v>713095.24</v>
      </c>
      <c r="L154" s="639"/>
      <c r="AL154" s="366" t="str">
        <f>CONCATENATE("Итого по акту: ",IF([84]Source!G903&lt;&gt;"Новый объект", [84]Source!G903, ""))</f>
        <v>Итого по акту: 12-4017-Л-Р-11.4.3.2-ВК-СМ1 Вестибюль №2. Внутренние инженерные системы. Водоснабжение и водоотведение</v>
      </c>
    </row>
    <row r="155" spans="1:256" hidden="1" x14ac:dyDescent="0.2">
      <c r="A155" s="326" t="s">
        <v>67</v>
      </c>
      <c r="J155" s="326">
        <f>SUM(AC1:AC154)</f>
        <v>0</v>
      </c>
      <c r="K155" s="326">
        <f>SUM(AD1:AD154)</f>
        <v>0</v>
      </c>
    </row>
    <row r="156" spans="1:256" hidden="1" x14ac:dyDescent="0.2">
      <c r="A156" s="326" t="s">
        <v>68</v>
      </c>
      <c r="J156" s="326">
        <f>SUM(AE1:AE155)</f>
        <v>0</v>
      </c>
      <c r="K156" s="326">
        <f>SUM(AF1:AF155)</f>
        <v>0</v>
      </c>
    </row>
    <row r="159" spans="1:256" ht="15" x14ac:dyDescent="0.25">
      <c r="A159" s="237"/>
      <c r="B159" s="237"/>
      <c r="C159" s="237"/>
      <c r="D159" s="623" t="s">
        <v>191</v>
      </c>
      <c r="E159" s="623"/>
      <c r="F159" s="623"/>
      <c r="G159" s="623"/>
      <c r="H159" s="623"/>
      <c r="I159" s="368"/>
      <c r="J159" s="369">
        <v>0</v>
      </c>
      <c r="K159" s="369"/>
      <c r="L159" s="369">
        <v>0</v>
      </c>
      <c r="M159" s="370" t="e">
        <v>#REF!</v>
      </c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371"/>
      <c r="Z159" s="371"/>
      <c r="AA159" s="371"/>
      <c r="AB159" s="371"/>
      <c r="AC159" s="371"/>
      <c r="AD159" s="371"/>
      <c r="AE159" s="371"/>
      <c r="AF159" s="371"/>
      <c r="AG159" s="371"/>
      <c r="AH159" s="371"/>
      <c r="AI159" s="371"/>
      <c r="AJ159" s="371"/>
      <c r="AK159" s="371"/>
      <c r="AL159" s="371"/>
      <c r="AM159" s="371"/>
      <c r="AN159" s="371"/>
      <c r="AO159" s="371"/>
      <c r="AP159" s="371"/>
      <c r="AQ159" s="371"/>
      <c r="AR159" s="371"/>
      <c r="AS159" s="371"/>
      <c r="AT159" s="371"/>
      <c r="AU159" s="371"/>
      <c r="AV159" s="371"/>
      <c r="AW159" s="371"/>
      <c r="AX159" s="371"/>
      <c r="AY159" s="371"/>
      <c r="AZ159" s="371"/>
      <c r="BA159" s="371"/>
      <c r="BB159" s="371"/>
      <c r="BC159" s="371"/>
      <c r="BD159" s="371"/>
      <c r="BE159" s="371"/>
      <c r="BF159" s="371"/>
      <c r="BG159" s="371"/>
      <c r="BH159" s="371"/>
      <c r="BI159" s="371"/>
      <c r="BJ159" s="371"/>
      <c r="BK159" s="371"/>
      <c r="BL159" s="371"/>
      <c r="BM159" s="371"/>
      <c r="BN159" s="371"/>
      <c r="BO159" s="371"/>
      <c r="BP159" s="371"/>
      <c r="BQ159" s="371"/>
      <c r="BR159" s="371"/>
      <c r="BS159" s="371"/>
      <c r="BT159" s="371"/>
      <c r="BU159" s="371"/>
      <c r="BV159" s="371"/>
      <c r="BW159" s="371"/>
      <c r="BX159" s="371"/>
      <c r="BY159" s="371"/>
      <c r="BZ159" s="371"/>
      <c r="CA159" s="371"/>
      <c r="CB159" s="371"/>
      <c r="CC159" s="371"/>
      <c r="CD159" s="371"/>
      <c r="CE159" s="371"/>
      <c r="CF159" s="371"/>
      <c r="CG159" s="371"/>
      <c r="CH159" s="371"/>
      <c r="CI159" s="371"/>
      <c r="CJ159" s="371"/>
      <c r="CK159" s="371"/>
      <c r="CL159" s="371"/>
      <c r="CM159" s="371"/>
      <c r="CN159" s="371"/>
      <c r="CO159" s="371"/>
      <c r="CP159" s="371"/>
      <c r="CQ159" s="371"/>
      <c r="CR159" s="371"/>
      <c r="CS159" s="371"/>
      <c r="CT159" s="371"/>
      <c r="CU159" s="371"/>
      <c r="CV159" s="371"/>
      <c r="CW159" s="371"/>
      <c r="CX159" s="371"/>
      <c r="CY159" s="371"/>
      <c r="CZ159" s="371"/>
      <c r="DA159" s="371"/>
      <c r="DB159" s="371"/>
      <c r="DC159" s="371"/>
      <c r="DD159" s="371"/>
      <c r="DE159" s="371"/>
      <c r="DF159" s="371"/>
      <c r="DG159" s="371"/>
      <c r="DH159" s="371"/>
      <c r="DI159" s="371"/>
      <c r="DJ159" s="371"/>
      <c r="DK159" s="371"/>
      <c r="DL159" s="371"/>
      <c r="DM159" s="371"/>
      <c r="DN159" s="371"/>
      <c r="DO159" s="371"/>
      <c r="DP159" s="371"/>
      <c r="DQ159" s="371"/>
      <c r="DR159" s="371"/>
      <c r="DS159" s="371"/>
      <c r="DT159" s="371"/>
      <c r="DU159" s="371"/>
      <c r="DV159" s="371"/>
      <c r="DW159" s="371"/>
      <c r="DX159" s="371"/>
      <c r="DY159" s="371"/>
      <c r="DZ159" s="371"/>
      <c r="EA159" s="371"/>
      <c r="EB159" s="371"/>
      <c r="EC159" s="371"/>
      <c r="ED159" s="371"/>
      <c r="EE159" s="371"/>
      <c r="EF159" s="371"/>
      <c r="EG159" s="371"/>
      <c r="EH159" s="371"/>
      <c r="EI159" s="371"/>
      <c r="EJ159" s="371"/>
      <c r="EK159" s="371"/>
      <c r="EL159" s="371"/>
      <c r="EM159" s="371"/>
      <c r="EN159" s="371"/>
      <c r="EO159" s="371"/>
      <c r="EP159" s="371"/>
      <c r="EQ159" s="371"/>
      <c r="ER159" s="371"/>
      <c r="ES159" s="371"/>
      <c r="ET159" s="371"/>
      <c r="EU159" s="371"/>
      <c r="EV159" s="371"/>
      <c r="EW159" s="371"/>
      <c r="EX159" s="371"/>
      <c r="EY159" s="371"/>
      <c r="EZ159" s="371"/>
      <c r="FA159" s="371"/>
      <c r="FB159" s="371"/>
      <c r="FC159" s="371"/>
      <c r="FD159" s="371"/>
      <c r="FE159" s="371"/>
      <c r="FF159" s="371"/>
      <c r="FG159" s="371"/>
      <c r="FH159" s="371"/>
      <c r="FI159" s="371"/>
      <c r="FJ159" s="371"/>
      <c r="FK159" s="371"/>
      <c r="FL159" s="371"/>
      <c r="FM159" s="371"/>
      <c r="FN159" s="371"/>
      <c r="FO159" s="371"/>
      <c r="FP159" s="371"/>
      <c r="FQ159" s="371"/>
      <c r="FR159" s="371"/>
      <c r="FS159" s="371"/>
      <c r="FT159" s="371"/>
      <c r="FU159" s="371"/>
      <c r="FV159" s="371"/>
      <c r="FW159" s="371"/>
      <c r="FX159" s="371"/>
      <c r="FY159" s="371"/>
      <c r="FZ159" s="371"/>
      <c r="GA159" s="371"/>
      <c r="GB159" s="371"/>
      <c r="GC159" s="371"/>
      <c r="GD159" s="371"/>
      <c r="GE159" s="371"/>
      <c r="GF159" s="371"/>
      <c r="GG159" s="371"/>
      <c r="GH159" s="371"/>
      <c r="GI159" s="371"/>
      <c r="GJ159" s="371"/>
      <c r="GK159" s="371"/>
      <c r="GL159" s="371"/>
      <c r="GM159" s="371"/>
      <c r="GN159" s="371"/>
      <c r="GO159" s="371"/>
      <c r="GP159" s="371"/>
      <c r="GQ159" s="371"/>
      <c r="GR159" s="371"/>
      <c r="GS159" s="371"/>
      <c r="GT159" s="371"/>
      <c r="GU159" s="371"/>
      <c r="GV159" s="371"/>
      <c r="GW159" s="371"/>
      <c r="GX159" s="371"/>
      <c r="GY159" s="371"/>
      <c r="GZ159" s="371"/>
      <c r="HA159" s="371"/>
      <c r="HB159" s="371"/>
      <c r="HC159" s="371"/>
      <c r="HD159" s="371"/>
      <c r="HE159" s="371"/>
      <c r="HF159" s="371"/>
      <c r="HG159" s="371"/>
      <c r="HH159" s="371"/>
      <c r="HI159" s="371"/>
      <c r="HJ159" s="371"/>
      <c r="HK159" s="371"/>
      <c r="HL159" s="371"/>
      <c r="HM159" s="371"/>
      <c r="HN159" s="371"/>
      <c r="HO159" s="371"/>
      <c r="HP159" s="371"/>
      <c r="HQ159" s="371"/>
      <c r="HR159" s="371"/>
      <c r="HS159" s="371"/>
      <c r="HT159" s="371"/>
      <c r="HU159" s="371"/>
      <c r="HV159" s="371"/>
      <c r="HW159" s="371"/>
      <c r="HX159" s="371"/>
      <c r="HY159" s="371"/>
      <c r="HZ159" s="371"/>
      <c r="IA159" s="371"/>
      <c r="IB159" s="371"/>
      <c r="IC159" s="371"/>
      <c r="ID159" s="371"/>
      <c r="IE159" s="371"/>
      <c r="IF159" s="371"/>
      <c r="IG159" s="371"/>
      <c r="IH159" s="371"/>
      <c r="II159" s="371"/>
      <c r="IJ159" s="371"/>
      <c r="IK159" s="371"/>
      <c r="IL159" s="371"/>
      <c r="IM159" s="371"/>
      <c r="IN159" s="371"/>
      <c r="IO159" s="371"/>
      <c r="IP159" s="371"/>
      <c r="IQ159" s="371"/>
      <c r="IR159" s="371"/>
      <c r="IS159" s="371"/>
      <c r="IT159" s="371"/>
      <c r="IU159" s="371"/>
      <c r="IV159" s="371"/>
    </row>
    <row r="160" spans="1:256" ht="15" x14ac:dyDescent="0.25">
      <c r="A160" s="239"/>
      <c r="B160" s="239"/>
      <c r="C160" s="239"/>
      <c r="D160" s="623" t="s">
        <v>192</v>
      </c>
      <c r="E160" s="623"/>
      <c r="F160" s="623"/>
      <c r="G160" s="623"/>
      <c r="H160" s="623"/>
      <c r="I160" s="368"/>
      <c r="J160" s="369">
        <v>0</v>
      </c>
      <c r="K160" s="372"/>
      <c r="L160" s="369">
        <v>0</v>
      </c>
      <c r="M160" s="370"/>
      <c r="N160" s="373"/>
      <c r="O160" s="373"/>
      <c r="P160" s="373"/>
      <c r="Q160" s="373"/>
      <c r="R160" s="373"/>
      <c r="S160" s="373"/>
      <c r="T160" s="373"/>
      <c r="U160" s="373"/>
      <c r="V160" s="373"/>
      <c r="W160" s="373"/>
      <c r="X160" s="373"/>
      <c r="Y160" s="373"/>
      <c r="Z160" s="373"/>
      <c r="AA160" s="373"/>
      <c r="AB160" s="373"/>
      <c r="AC160" s="373"/>
      <c r="AD160" s="373"/>
      <c r="AE160" s="373"/>
      <c r="AF160" s="373"/>
      <c r="AG160" s="373"/>
      <c r="AH160" s="373"/>
      <c r="AI160" s="373"/>
      <c r="AJ160" s="373"/>
      <c r="AK160" s="373"/>
      <c r="AL160" s="373"/>
      <c r="AM160" s="373"/>
      <c r="AN160" s="373"/>
      <c r="AO160" s="373"/>
      <c r="AP160" s="373"/>
      <c r="AQ160" s="373"/>
      <c r="AR160" s="373"/>
      <c r="AS160" s="373"/>
      <c r="AT160" s="373"/>
      <c r="AU160" s="373"/>
      <c r="AV160" s="373"/>
      <c r="AW160" s="373"/>
      <c r="AX160" s="373"/>
      <c r="AY160" s="373"/>
      <c r="AZ160" s="373"/>
      <c r="BA160" s="373"/>
      <c r="BB160" s="373"/>
      <c r="BC160" s="373"/>
      <c r="BD160" s="373"/>
      <c r="BE160" s="373"/>
      <c r="BF160" s="373"/>
      <c r="BG160" s="373"/>
      <c r="BH160" s="373"/>
      <c r="BI160" s="373"/>
      <c r="BJ160" s="373"/>
      <c r="BK160" s="373"/>
      <c r="BL160" s="373"/>
      <c r="BM160" s="373"/>
      <c r="BN160" s="373"/>
      <c r="BO160" s="373"/>
      <c r="BP160" s="373"/>
      <c r="BQ160" s="373"/>
      <c r="BR160" s="373"/>
      <c r="BS160" s="373"/>
      <c r="BT160" s="373"/>
      <c r="BU160" s="373"/>
      <c r="BV160" s="373"/>
      <c r="BW160" s="373"/>
      <c r="BX160" s="373"/>
      <c r="BY160" s="373"/>
      <c r="BZ160" s="373"/>
      <c r="CA160" s="373"/>
      <c r="CB160" s="373"/>
      <c r="CC160" s="373"/>
      <c r="CD160" s="373"/>
      <c r="CE160" s="373"/>
      <c r="CF160" s="373"/>
      <c r="CG160" s="373"/>
      <c r="CH160" s="373"/>
      <c r="CI160" s="373"/>
      <c r="CJ160" s="373"/>
      <c r="CK160" s="373"/>
      <c r="CL160" s="373"/>
      <c r="CM160" s="373"/>
      <c r="CN160" s="373"/>
      <c r="CO160" s="373"/>
      <c r="CP160" s="373"/>
      <c r="CQ160" s="373"/>
      <c r="CR160" s="373"/>
      <c r="CS160" s="373"/>
      <c r="CT160" s="373"/>
      <c r="CU160" s="373"/>
      <c r="CV160" s="373"/>
      <c r="CW160" s="373"/>
      <c r="CX160" s="373"/>
      <c r="CY160" s="373"/>
      <c r="CZ160" s="373"/>
      <c r="DA160" s="373"/>
      <c r="DB160" s="373"/>
      <c r="DC160" s="373"/>
      <c r="DD160" s="373"/>
      <c r="DE160" s="373"/>
      <c r="DF160" s="373"/>
      <c r="DG160" s="373"/>
      <c r="DH160" s="373"/>
      <c r="DI160" s="373"/>
      <c r="DJ160" s="373"/>
      <c r="DK160" s="373"/>
      <c r="DL160" s="373"/>
      <c r="DM160" s="373"/>
      <c r="DN160" s="373"/>
      <c r="DO160" s="373"/>
      <c r="DP160" s="373"/>
      <c r="DQ160" s="373"/>
      <c r="DR160" s="373"/>
      <c r="DS160" s="373"/>
      <c r="DT160" s="373"/>
      <c r="DU160" s="373"/>
      <c r="DV160" s="373"/>
      <c r="DW160" s="373"/>
      <c r="DX160" s="373"/>
      <c r="DY160" s="373"/>
      <c r="DZ160" s="373"/>
      <c r="EA160" s="373"/>
      <c r="EB160" s="373"/>
      <c r="EC160" s="373"/>
      <c r="ED160" s="373"/>
      <c r="EE160" s="373"/>
      <c r="EF160" s="373"/>
      <c r="EG160" s="373"/>
      <c r="EH160" s="373"/>
      <c r="EI160" s="373"/>
      <c r="EJ160" s="373"/>
      <c r="EK160" s="373"/>
      <c r="EL160" s="373"/>
      <c r="EM160" s="373"/>
      <c r="EN160" s="373"/>
      <c r="EO160" s="373"/>
      <c r="EP160" s="373"/>
      <c r="EQ160" s="373"/>
      <c r="ER160" s="373"/>
      <c r="ES160" s="373"/>
      <c r="ET160" s="373"/>
      <c r="EU160" s="373"/>
      <c r="EV160" s="373"/>
      <c r="EW160" s="373"/>
      <c r="EX160" s="373"/>
      <c r="EY160" s="373"/>
      <c r="EZ160" s="373"/>
      <c r="FA160" s="373"/>
      <c r="FB160" s="373"/>
      <c r="FC160" s="373"/>
      <c r="FD160" s="373"/>
      <c r="FE160" s="373"/>
      <c r="FF160" s="373"/>
      <c r="FG160" s="373"/>
      <c r="FH160" s="373"/>
      <c r="FI160" s="373"/>
      <c r="FJ160" s="373"/>
      <c r="FK160" s="373"/>
      <c r="FL160" s="373"/>
      <c r="FM160" s="373"/>
      <c r="FN160" s="373"/>
      <c r="FO160" s="373"/>
      <c r="FP160" s="373"/>
      <c r="FQ160" s="373"/>
      <c r="FR160" s="373"/>
      <c r="FS160" s="373"/>
      <c r="FT160" s="373"/>
      <c r="FU160" s="373"/>
      <c r="FV160" s="373"/>
      <c r="FW160" s="373"/>
      <c r="FX160" s="373"/>
      <c r="FY160" s="373"/>
      <c r="FZ160" s="373"/>
      <c r="GA160" s="373"/>
      <c r="GB160" s="373"/>
      <c r="GC160" s="373"/>
      <c r="GD160" s="373"/>
      <c r="GE160" s="373"/>
      <c r="GF160" s="373"/>
      <c r="GG160" s="373"/>
      <c r="GH160" s="373"/>
      <c r="GI160" s="373"/>
      <c r="GJ160" s="373"/>
      <c r="GK160" s="373"/>
      <c r="GL160" s="373"/>
      <c r="GM160" s="373"/>
      <c r="GN160" s="373"/>
      <c r="GO160" s="373"/>
      <c r="GP160" s="373"/>
      <c r="GQ160" s="373"/>
      <c r="GR160" s="373"/>
      <c r="GS160" s="373"/>
      <c r="GT160" s="373"/>
      <c r="GU160" s="373"/>
      <c r="GV160" s="373"/>
      <c r="GW160" s="373"/>
      <c r="GX160" s="373"/>
      <c r="GY160" s="373"/>
      <c r="GZ160" s="373"/>
      <c r="HA160" s="373"/>
      <c r="HB160" s="373"/>
      <c r="HC160" s="373"/>
      <c r="HD160" s="373"/>
      <c r="HE160" s="373"/>
      <c r="HF160" s="373"/>
      <c r="HG160" s="373"/>
      <c r="HH160" s="373"/>
      <c r="HI160" s="373"/>
      <c r="HJ160" s="373"/>
      <c r="HK160" s="373"/>
      <c r="HL160" s="373"/>
      <c r="HM160" s="373"/>
      <c r="HN160" s="373"/>
      <c r="HO160" s="373"/>
      <c r="HP160" s="373"/>
      <c r="HQ160" s="373"/>
      <c r="HR160" s="373"/>
      <c r="HS160" s="373"/>
      <c r="HT160" s="373"/>
      <c r="HU160" s="373"/>
      <c r="HV160" s="373"/>
      <c r="HW160" s="373"/>
      <c r="HX160" s="373"/>
      <c r="HY160" s="373"/>
      <c r="HZ160" s="373"/>
      <c r="IA160" s="373"/>
      <c r="IB160" s="373"/>
      <c r="IC160" s="373"/>
      <c r="ID160" s="373"/>
      <c r="IE160" s="373"/>
      <c r="IF160" s="373"/>
      <c r="IG160" s="373"/>
      <c r="IH160" s="373"/>
      <c r="II160" s="373"/>
      <c r="IJ160" s="373"/>
      <c r="IK160" s="373"/>
      <c r="IL160" s="373"/>
      <c r="IM160" s="373"/>
      <c r="IN160" s="373"/>
      <c r="IO160" s="373"/>
      <c r="IP160" s="373"/>
      <c r="IQ160" s="373"/>
      <c r="IR160" s="373"/>
      <c r="IS160" s="373"/>
      <c r="IT160" s="373"/>
      <c r="IU160" s="373"/>
      <c r="IV160" s="373"/>
    </row>
    <row r="161" spans="1:256" ht="15" x14ac:dyDescent="0.25">
      <c r="A161" s="239"/>
      <c r="B161" s="239"/>
      <c r="C161" s="239"/>
      <c r="D161" s="372" t="s">
        <v>193</v>
      </c>
      <c r="E161" s="372"/>
      <c r="F161" s="372"/>
      <c r="G161" s="372"/>
      <c r="H161" s="372"/>
      <c r="I161" s="372"/>
      <c r="J161" s="369">
        <v>0</v>
      </c>
      <c r="K161" s="372"/>
      <c r="L161" s="369">
        <v>0</v>
      </c>
      <c r="M161" s="370"/>
      <c r="N161" s="373"/>
      <c r="O161" s="373"/>
      <c r="P161" s="373"/>
      <c r="Q161" s="373"/>
      <c r="R161" s="373"/>
      <c r="S161" s="373"/>
      <c r="T161" s="373"/>
      <c r="U161" s="373"/>
      <c r="V161" s="373"/>
      <c r="W161" s="373"/>
      <c r="X161" s="373"/>
      <c r="Y161" s="373"/>
      <c r="Z161" s="373"/>
      <c r="AA161" s="373"/>
      <c r="AB161" s="373"/>
      <c r="AC161" s="373"/>
      <c r="AD161" s="373"/>
      <c r="AE161" s="373"/>
      <c r="AF161" s="373"/>
      <c r="AG161" s="373"/>
      <c r="AH161" s="373"/>
      <c r="AI161" s="373"/>
      <c r="AJ161" s="373"/>
      <c r="AK161" s="373"/>
      <c r="AL161" s="373"/>
      <c r="AM161" s="373"/>
      <c r="AN161" s="373"/>
      <c r="AO161" s="373"/>
      <c r="AP161" s="373"/>
      <c r="AQ161" s="373"/>
      <c r="AR161" s="373"/>
      <c r="AS161" s="373"/>
      <c r="AT161" s="373"/>
      <c r="AU161" s="373"/>
      <c r="AV161" s="373"/>
      <c r="AW161" s="373"/>
      <c r="AX161" s="373"/>
      <c r="AY161" s="373"/>
      <c r="AZ161" s="373"/>
      <c r="BA161" s="373"/>
      <c r="BB161" s="373"/>
      <c r="BC161" s="373"/>
      <c r="BD161" s="373"/>
      <c r="BE161" s="373"/>
      <c r="BF161" s="373"/>
      <c r="BG161" s="373"/>
      <c r="BH161" s="373"/>
      <c r="BI161" s="373"/>
      <c r="BJ161" s="373"/>
      <c r="BK161" s="373"/>
      <c r="BL161" s="373"/>
      <c r="BM161" s="373"/>
      <c r="BN161" s="373"/>
      <c r="BO161" s="373"/>
      <c r="BP161" s="373"/>
      <c r="BQ161" s="373"/>
      <c r="BR161" s="373"/>
      <c r="BS161" s="373"/>
      <c r="BT161" s="373"/>
      <c r="BU161" s="373"/>
      <c r="BV161" s="373"/>
      <c r="BW161" s="373"/>
      <c r="BX161" s="373"/>
      <c r="BY161" s="373"/>
      <c r="BZ161" s="373"/>
      <c r="CA161" s="373"/>
      <c r="CB161" s="373"/>
      <c r="CC161" s="373"/>
      <c r="CD161" s="373"/>
      <c r="CE161" s="373"/>
      <c r="CF161" s="373"/>
      <c r="CG161" s="373"/>
      <c r="CH161" s="373"/>
      <c r="CI161" s="373"/>
      <c r="CJ161" s="373"/>
      <c r="CK161" s="373"/>
      <c r="CL161" s="373"/>
      <c r="CM161" s="373"/>
      <c r="CN161" s="373"/>
      <c r="CO161" s="373"/>
      <c r="CP161" s="373"/>
      <c r="CQ161" s="373"/>
      <c r="CR161" s="373"/>
      <c r="CS161" s="373"/>
      <c r="CT161" s="373"/>
      <c r="CU161" s="373"/>
      <c r="CV161" s="373"/>
      <c r="CW161" s="373"/>
      <c r="CX161" s="373"/>
      <c r="CY161" s="373"/>
      <c r="CZ161" s="373"/>
      <c r="DA161" s="373"/>
      <c r="DB161" s="373"/>
      <c r="DC161" s="373"/>
      <c r="DD161" s="373"/>
      <c r="DE161" s="373"/>
      <c r="DF161" s="373"/>
      <c r="DG161" s="373"/>
      <c r="DH161" s="373"/>
      <c r="DI161" s="373"/>
      <c r="DJ161" s="373"/>
      <c r="DK161" s="373"/>
      <c r="DL161" s="373"/>
      <c r="DM161" s="373"/>
      <c r="DN161" s="373"/>
      <c r="DO161" s="373"/>
      <c r="DP161" s="373"/>
      <c r="DQ161" s="373"/>
      <c r="DR161" s="373"/>
      <c r="DS161" s="373"/>
      <c r="DT161" s="373"/>
      <c r="DU161" s="373"/>
      <c r="DV161" s="373"/>
      <c r="DW161" s="373"/>
      <c r="DX161" s="373"/>
      <c r="DY161" s="373"/>
      <c r="DZ161" s="373"/>
      <c r="EA161" s="373"/>
      <c r="EB161" s="373"/>
      <c r="EC161" s="373"/>
      <c r="ED161" s="373"/>
      <c r="EE161" s="373"/>
      <c r="EF161" s="373"/>
      <c r="EG161" s="373"/>
      <c r="EH161" s="373"/>
      <c r="EI161" s="373"/>
      <c r="EJ161" s="373"/>
      <c r="EK161" s="373"/>
      <c r="EL161" s="373"/>
      <c r="EM161" s="373"/>
      <c r="EN161" s="373"/>
      <c r="EO161" s="373"/>
      <c r="EP161" s="373"/>
      <c r="EQ161" s="373"/>
      <c r="ER161" s="373"/>
      <c r="ES161" s="373"/>
      <c r="ET161" s="373"/>
      <c r="EU161" s="373"/>
      <c r="EV161" s="373"/>
      <c r="EW161" s="373"/>
      <c r="EX161" s="373"/>
      <c r="EY161" s="373"/>
      <c r="EZ161" s="373"/>
      <c r="FA161" s="373"/>
      <c r="FB161" s="373"/>
      <c r="FC161" s="373"/>
      <c r="FD161" s="373"/>
      <c r="FE161" s="373"/>
      <c r="FF161" s="373"/>
      <c r="FG161" s="373"/>
      <c r="FH161" s="373"/>
      <c r="FI161" s="373"/>
      <c r="FJ161" s="373"/>
      <c r="FK161" s="373"/>
      <c r="FL161" s="373"/>
      <c r="FM161" s="373"/>
      <c r="FN161" s="373"/>
      <c r="FO161" s="373"/>
      <c r="FP161" s="373"/>
      <c r="FQ161" s="373"/>
      <c r="FR161" s="373"/>
      <c r="FS161" s="373"/>
      <c r="FT161" s="373"/>
      <c r="FU161" s="373"/>
      <c r="FV161" s="373"/>
      <c r="FW161" s="373"/>
      <c r="FX161" s="373"/>
      <c r="FY161" s="373"/>
      <c r="FZ161" s="373"/>
      <c r="GA161" s="373"/>
      <c r="GB161" s="373"/>
      <c r="GC161" s="373"/>
      <c r="GD161" s="373"/>
      <c r="GE161" s="373"/>
      <c r="GF161" s="373"/>
      <c r="GG161" s="373"/>
      <c r="GH161" s="373"/>
      <c r="GI161" s="373"/>
      <c r="GJ161" s="373"/>
      <c r="GK161" s="373"/>
      <c r="GL161" s="373"/>
      <c r="GM161" s="373"/>
      <c r="GN161" s="373"/>
      <c r="GO161" s="373"/>
      <c r="GP161" s="373"/>
      <c r="GQ161" s="373"/>
      <c r="GR161" s="373"/>
      <c r="GS161" s="373"/>
      <c r="GT161" s="373"/>
      <c r="GU161" s="373"/>
      <c r="GV161" s="373"/>
      <c r="GW161" s="373"/>
      <c r="GX161" s="373"/>
      <c r="GY161" s="373"/>
      <c r="GZ161" s="373"/>
      <c r="HA161" s="373"/>
      <c r="HB161" s="373"/>
      <c r="HC161" s="373"/>
      <c r="HD161" s="373"/>
      <c r="HE161" s="373"/>
      <c r="HF161" s="373"/>
      <c r="HG161" s="373"/>
      <c r="HH161" s="373"/>
      <c r="HI161" s="373"/>
      <c r="HJ161" s="373"/>
      <c r="HK161" s="373"/>
      <c r="HL161" s="373"/>
      <c r="HM161" s="373"/>
      <c r="HN161" s="373"/>
      <c r="HO161" s="373"/>
      <c r="HP161" s="373"/>
      <c r="HQ161" s="373"/>
      <c r="HR161" s="373"/>
      <c r="HS161" s="373"/>
      <c r="HT161" s="373"/>
      <c r="HU161" s="373"/>
      <c r="HV161" s="373"/>
      <c r="HW161" s="373"/>
      <c r="HX161" s="373"/>
      <c r="HY161" s="373"/>
      <c r="HZ161" s="373"/>
      <c r="IA161" s="373"/>
      <c r="IB161" s="373"/>
      <c r="IC161" s="373"/>
      <c r="ID161" s="373"/>
      <c r="IE161" s="373"/>
      <c r="IF161" s="373"/>
      <c r="IG161" s="373"/>
      <c r="IH161" s="373"/>
      <c r="II161" s="373"/>
      <c r="IJ161" s="373"/>
      <c r="IK161" s="373"/>
      <c r="IL161" s="373"/>
      <c r="IM161" s="373"/>
      <c r="IN161" s="373"/>
      <c r="IO161" s="373"/>
      <c r="IP161" s="373"/>
      <c r="IQ161" s="373"/>
      <c r="IR161" s="373"/>
      <c r="IS161" s="373"/>
      <c r="IT161" s="373"/>
      <c r="IU161" s="373"/>
      <c r="IV161" s="373"/>
    </row>
    <row r="162" spans="1:256" ht="14.25" x14ac:dyDescent="0.2">
      <c r="A162" s="241"/>
      <c r="B162" s="241"/>
      <c r="C162" s="241"/>
      <c r="D162" s="241"/>
      <c r="E162" s="241"/>
      <c r="F162" s="241"/>
      <c r="G162" s="241"/>
      <c r="H162" s="241"/>
      <c r="I162" s="241"/>
      <c r="J162" s="241"/>
      <c r="K162" s="241"/>
      <c r="L162" s="241"/>
      <c r="M162" s="374"/>
      <c r="N162" s="375"/>
      <c r="O162" s="375"/>
      <c r="P162" s="375"/>
      <c r="Q162" s="375"/>
      <c r="R162" s="375"/>
      <c r="S162" s="375"/>
      <c r="T162" s="375"/>
      <c r="U162" s="375"/>
      <c r="V162" s="375"/>
      <c r="W162" s="375"/>
      <c r="X162" s="375"/>
      <c r="Y162" s="375"/>
      <c r="Z162" s="375"/>
      <c r="AA162" s="375"/>
      <c r="AB162" s="375"/>
      <c r="AC162" s="375"/>
      <c r="AD162" s="375"/>
      <c r="AE162" s="375"/>
      <c r="AF162" s="375"/>
      <c r="AG162" s="375"/>
      <c r="AH162" s="375"/>
      <c r="AI162" s="375"/>
      <c r="AJ162" s="375"/>
      <c r="AK162" s="375"/>
      <c r="AL162" s="375"/>
      <c r="AM162" s="375"/>
      <c r="AN162" s="375"/>
      <c r="AO162" s="375"/>
      <c r="AP162" s="375"/>
      <c r="AQ162" s="375"/>
      <c r="AR162" s="375"/>
      <c r="AS162" s="375"/>
      <c r="AT162" s="375"/>
      <c r="AU162" s="375"/>
      <c r="AV162" s="375"/>
      <c r="AW162" s="375"/>
      <c r="AX162" s="375"/>
      <c r="AY162" s="375"/>
      <c r="AZ162" s="375"/>
      <c r="BA162" s="375"/>
      <c r="BB162" s="375"/>
      <c r="BC162" s="375"/>
      <c r="BD162" s="375"/>
      <c r="BE162" s="375"/>
      <c r="BF162" s="375"/>
      <c r="BG162" s="375"/>
      <c r="BH162" s="375"/>
      <c r="BI162" s="375"/>
      <c r="BJ162" s="375"/>
      <c r="BK162" s="375"/>
      <c r="BL162" s="375"/>
      <c r="BM162" s="375"/>
      <c r="BN162" s="375"/>
      <c r="BO162" s="375"/>
      <c r="BP162" s="375"/>
      <c r="BQ162" s="375"/>
      <c r="BR162" s="375"/>
      <c r="BS162" s="375"/>
      <c r="BT162" s="375"/>
      <c r="BU162" s="375"/>
      <c r="BV162" s="375"/>
      <c r="BW162" s="375"/>
      <c r="BX162" s="375"/>
      <c r="BY162" s="375"/>
      <c r="BZ162" s="375"/>
      <c r="CA162" s="375"/>
      <c r="CB162" s="375"/>
      <c r="CC162" s="375"/>
      <c r="CD162" s="375"/>
      <c r="CE162" s="375"/>
      <c r="CF162" s="375"/>
      <c r="CG162" s="375"/>
      <c r="CH162" s="375"/>
      <c r="CI162" s="375"/>
      <c r="CJ162" s="375"/>
      <c r="CK162" s="375"/>
      <c r="CL162" s="375"/>
      <c r="CM162" s="375"/>
      <c r="CN162" s="375"/>
      <c r="CO162" s="375"/>
      <c r="CP162" s="375"/>
      <c r="CQ162" s="375"/>
      <c r="CR162" s="375"/>
      <c r="CS162" s="375"/>
      <c r="CT162" s="375"/>
      <c r="CU162" s="375"/>
      <c r="CV162" s="375"/>
      <c r="CW162" s="375"/>
      <c r="CX162" s="375"/>
      <c r="CY162" s="375"/>
      <c r="CZ162" s="375"/>
      <c r="DA162" s="375"/>
      <c r="DB162" s="375"/>
      <c r="DC162" s="375"/>
      <c r="DD162" s="375"/>
      <c r="DE162" s="375"/>
      <c r="DF162" s="375"/>
      <c r="DG162" s="375"/>
      <c r="DH162" s="375"/>
      <c r="DI162" s="375"/>
      <c r="DJ162" s="375"/>
      <c r="DK162" s="375"/>
      <c r="DL162" s="375"/>
      <c r="DM162" s="375"/>
      <c r="DN162" s="375"/>
      <c r="DO162" s="375"/>
      <c r="DP162" s="375"/>
      <c r="DQ162" s="375"/>
      <c r="DR162" s="375"/>
      <c r="DS162" s="375"/>
      <c r="DT162" s="375"/>
      <c r="DU162" s="375"/>
      <c r="DV162" s="375"/>
      <c r="DW162" s="375"/>
      <c r="DX162" s="375"/>
      <c r="DY162" s="375"/>
      <c r="DZ162" s="375"/>
      <c r="EA162" s="375"/>
      <c r="EB162" s="375"/>
      <c r="EC162" s="375"/>
      <c r="ED162" s="375"/>
      <c r="EE162" s="375"/>
      <c r="EF162" s="375"/>
      <c r="EG162" s="375"/>
      <c r="EH162" s="375"/>
      <c r="EI162" s="375"/>
      <c r="EJ162" s="375"/>
      <c r="EK162" s="375"/>
      <c r="EL162" s="375"/>
      <c r="EM162" s="375"/>
      <c r="EN162" s="375"/>
      <c r="EO162" s="375"/>
      <c r="EP162" s="375"/>
      <c r="EQ162" s="375"/>
      <c r="ER162" s="375"/>
      <c r="ES162" s="375"/>
      <c r="ET162" s="375"/>
      <c r="EU162" s="375"/>
      <c r="EV162" s="375"/>
      <c r="EW162" s="375"/>
      <c r="EX162" s="375"/>
      <c r="EY162" s="375"/>
      <c r="EZ162" s="375"/>
      <c r="FA162" s="375"/>
      <c r="FB162" s="375"/>
      <c r="FC162" s="375"/>
      <c r="FD162" s="375"/>
      <c r="FE162" s="375"/>
      <c r="FF162" s="375"/>
      <c r="FG162" s="375"/>
      <c r="FH162" s="375"/>
      <c r="FI162" s="375"/>
      <c r="FJ162" s="375"/>
      <c r="FK162" s="375"/>
      <c r="FL162" s="375"/>
      <c r="FM162" s="375"/>
      <c r="FN162" s="375"/>
      <c r="FO162" s="375"/>
      <c r="FP162" s="375"/>
      <c r="FQ162" s="375"/>
      <c r="FR162" s="375"/>
      <c r="FS162" s="375"/>
      <c r="FT162" s="375"/>
      <c r="FU162" s="375"/>
      <c r="FV162" s="375"/>
      <c r="FW162" s="375"/>
      <c r="FX162" s="375"/>
      <c r="FY162" s="375"/>
      <c r="FZ162" s="375"/>
      <c r="GA162" s="375"/>
      <c r="GB162" s="375"/>
      <c r="GC162" s="375"/>
      <c r="GD162" s="375"/>
      <c r="GE162" s="375"/>
      <c r="GF162" s="375"/>
      <c r="GG162" s="375"/>
      <c r="GH162" s="375"/>
      <c r="GI162" s="375"/>
      <c r="GJ162" s="375"/>
      <c r="GK162" s="375"/>
      <c r="GL162" s="375"/>
      <c r="GM162" s="375"/>
      <c r="GN162" s="375"/>
      <c r="GO162" s="375"/>
      <c r="GP162" s="375"/>
      <c r="GQ162" s="375"/>
      <c r="GR162" s="375"/>
      <c r="GS162" s="375"/>
      <c r="GT162" s="375"/>
      <c r="GU162" s="375"/>
      <c r="GV162" s="375"/>
      <c r="GW162" s="375"/>
      <c r="GX162" s="375"/>
      <c r="GY162" s="375"/>
      <c r="GZ162" s="375"/>
      <c r="HA162" s="375"/>
      <c r="HB162" s="375"/>
      <c r="HC162" s="375"/>
      <c r="HD162" s="375"/>
      <c r="HE162" s="375"/>
      <c r="HF162" s="375"/>
      <c r="HG162" s="375"/>
      <c r="HH162" s="375"/>
      <c r="HI162" s="375"/>
      <c r="HJ162" s="375"/>
      <c r="HK162" s="375"/>
      <c r="HL162" s="375"/>
      <c r="HM162" s="375"/>
      <c r="HN162" s="375"/>
      <c r="HO162" s="375"/>
      <c r="HP162" s="375"/>
      <c r="HQ162" s="375"/>
      <c r="HR162" s="375"/>
      <c r="HS162" s="375"/>
      <c r="HT162" s="375"/>
      <c r="HU162" s="375"/>
      <c r="HV162" s="375"/>
      <c r="HW162" s="375"/>
      <c r="HX162" s="375"/>
      <c r="HY162" s="375"/>
      <c r="HZ162" s="375"/>
      <c r="IA162" s="375"/>
      <c r="IB162" s="375"/>
      <c r="IC162" s="375"/>
      <c r="ID162" s="375"/>
      <c r="IE162" s="375"/>
      <c r="IF162" s="375"/>
      <c r="IG162" s="375"/>
      <c r="IH162" s="375"/>
      <c r="II162" s="375"/>
      <c r="IJ162" s="375"/>
      <c r="IK162" s="375"/>
      <c r="IL162" s="375"/>
      <c r="IM162" s="375"/>
      <c r="IN162" s="375"/>
      <c r="IO162" s="375"/>
      <c r="IP162" s="375"/>
      <c r="IQ162" s="375"/>
      <c r="IR162" s="375"/>
      <c r="IS162" s="375"/>
      <c r="IT162" s="375"/>
      <c r="IU162" s="375"/>
      <c r="IV162" s="375"/>
    </row>
    <row r="163" spans="1:256" ht="30" x14ac:dyDescent="0.25">
      <c r="A163" s="239"/>
      <c r="B163" s="239"/>
      <c r="C163" s="239"/>
      <c r="D163" s="242" t="s">
        <v>194</v>
      </c>
      <c r="E163" s="242"/>
      <c r="F163" s="242"/>
      <c r="G163" s="242"/>
      <c r="H163" s="242"/>
      <c r="I163" s="243"/>
      <c r="J163" s="244">
        <f>I145-J161</f>
        <v>136953.76999999999</v>
      </c>
      <c r="K163" s="245"/>
      <c r="L163" s="244">
        <f>K145-L161</f>
        <v>713095.24</v>
      </c>
      <c r="M163" s="374" t="e">
        <v>#REF!</v>
      </c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373"/>
      <c r="Y163" s="373"/>
      <c r="Z163" s="373"/>
      <c r="AA163" s="373"/>
      <c r="AB163" s="373"/>
      <c r="AC163" s="373"/>
      <c r="AD163" s="373"/>
      <c r="AE163" s="373"/>
      <c r="AF163" s="373"/>
      <c r="AG163" s="373"/>
      <c r="AH163" s="373"/>
      <c r="AI163" s="373"/>
      <c r="AJ163" s="373"/>
      <c r="AK163" s="373"/>
      <c r="AL163" s="373"/>
      <c r="AM163" s="373"/>
      <c r="AN163" s="373"/>
      <c r="AO163" s="373"/>
      <c r="AP163" s="373"/>
      <c r="AQ163" s="373"/>
      <c r="AR163" s="373"/>
      <c r="AS163" s="373"/>
      <c r="AT163" s="373"/>
      <c r="AU163" s="373"/>
      <c r="AV163" s="373"/>
      <c r="AW163" s="373"/>
      <c r="AX163" s="373"/>
      <c r="AY163" s="373"/>
      <c r="AZ163" s="373"/>
      <c r="BA163" s="373"/>
      <c r="BB163" s="373"/>
      <c r="BC163" s="373"/>
      <c r="BD163" s="373"/>
      <c r="BE163" s="373"/>
      <c r="BF163" s="373"/>
      <c r="BG163" s="373"/>
      <c r="BH163" s="373"/>
      <c r="BI163" s="373"/>
      <c r="BJ163" s="373"/>
      <c r="BK163" s="373"/>
      <c r="BL163" s="373"/>
      <c r="BM163" s="373"/>
      <c r="BN163" s="373"/>
      <c r="BO163" s="373"/>
      <c r="BP163" s="373"/>
      <c r="BQ163" s="373"/>
      <c r="BR163" s="373"/>
      <c r="BS163" s="373"/>
      <c r="BT163" s="373"/>
      <c r="BU163" s="373"/>
      <c r="BV163" s="373"/>
      <c r="BW163" s="373"/>
      <c r="BX163" s="373"/>
      <c r="BY163" s="373"/>
      <c r="BZ163" s="373"/>
      <c r="CA163" s="373"/>
      <c r="CB163" s="373"/>
      <c r="CC163" s="373"/>
      <c r="CD163" s="373"/>
      <c r="CE163" s="373"/>
      <c r="CF163" s="373"/>
      <c r="CG163" s="373"/>
      <c r="CH163" s="373"/>
      <c r="CI163" s="373"/>
      <c r="CJ163" s="373"/>
      <c r="CK163" s="373"/>
      <c r="CL163" s="373"/>
      <c r="CM163" s="373"/>
      <c r="CN163" s="373"/>
      <c r="CO163" s="373"/>
      <c r="CP163" s="373"/>
      <c r="CQ163" s="373"/>
      <c r="CR163" s="373"/>
      <c r="CS163" s="373"/>
      <c r="CT163" s="373"/>
      <c r="CU163" s="373"/>
      <c r="CV163" s="373"/>
      <c r="CW163" s="373"/>
      <c r="CX163" s="373"/>
      <c r="CY163" s="373"/>
      <c r="CZ163" s="373"/>
      <c r="DA163" s="373"/>
      <c r="DB163" s="373"/>
      <c r="DC163" s="373"/>
      <c r="DD163" s="373"/>
      <c r="DE163" s="373"/>
      <c r="DF163" s="373"/>
      <c r="DG163" s="373"/>
      <c r="DH163" s="373"/>
      <c r="DI163" s="373"/>
      <c r="DJ163" s="373"/>
      <c r="DK163" s="373"/>
      <c r="DL163" s="373"/>
      <c r="DM163" s="373"/>
      <c r="DN163" s="373"/>
      <c r="DO163" s="373"/>
      <c r="DP163" s="373"/>
      <c r="DQ163" s="373"/>
      <c r="DR163" s="373"/>
      <c r="DS163" s="373"/>
      <c r="DT163" s="373"/>
      <c r="DU163" s="373"/>
      <c r="DV163" s="373"/>
      <c r="DW163" s="373"/>
      <c r="DX163" s="373"/>
      <c r="DY163" s="373"/>
      <c r="DZ163" s="373"/>
      <c r="EA163" s="373"/>
      <c r="EB163" s="373"/>
      <c r="EC163" s="373"/>
      <c r="ED163" s="373"/>
      <c r="EE163" s="373"/>
      <c r="EF163" s="373"/>
      <c r="EG163" s="373"/>
      <c r="EH163" s="373"/>
      <c r="EI163" s="373"/>
      <c r="EJ163" s="373"/>
      <c r="EK163" s="373"/>
      <c r="EL163" s="373"/>
      <c r="EM163" s="373"/>
      <c r="EN163" s="373"/>
      <c r="EO163" s="373"/>
      <c r="EP163" s="373"/>
      <c r="EQ163" s="373"/>
      <c r="ER163" s="373"/>
      <c r="ES163" s="373"/>
      <c r="ET163" s="373"/>
      <c r="EU163" s="373"/>
      <c r="EV163" s="373"/>
      <c r="EW163" s="373"/>
      <c r="EX163" s="373"/>
      <c r="EY163" s="373"/>
      <c r="EZ163" s="373"/>
      <c r="FA163" s="373"/>
      <c r="FB163" s="373"/>
      <c r="FC163" s="373"/>
      <c r="FD163" s="373"/>
      <c r="FE163" s="373"/>
      <c r="FF163" s="373"/>
      <c r="FG163" s="373"/>
      <c r="FH163" s="373"/>
      <c r="FI163" s="373"/>
      <c r="FJ163" s="373"/>
      <c r="FK163" s="373"/>
      <c r="FL163" s="373"/>
      <c r="FM163" s="373"/>
      <c r="FN163" s="373"/>
      <c r="FO163" s="373"/>
      <c r="FP163" s="373"/>
      <c r="FQ163" s="373"/>
      <c r="FR163" s="373"/>
      <c r="FS163" s="373"/>
      <c r="FT163" s="373"/>
      <c r="FU163" s="373"/>
      <c r="FV163" s="373"/>
      <c r="FW163" s="373"/>
      <c r="FX163" s="373"/>
      <c r="FY163" s="373"/>
      <c r="FZ163" s="373"/>
      <c r="GA163" s="373"/>
      <c r="GB163" s="373"/>
      <c r="GC163" s="373"/>
      <c r="GD163" s="373"/>
      <c r="GE163" s="373"/>
      <c r="GF163" s="373"/>
      <c r="GG163" s="373"/>
      <c r="GH163" s="373"/>
      <c r="GI163" s="373"/>
      <c r="GJ163" s="373"/>
      <c r="GK163" s="373"/>
      <c r="GL163" s="373"/>
      <c r="GM163" s="373"/>
      <c r="GN163" s="373"/>
      <c r="GO163" s="373"/>
      <c r="GP163" s="373"/>
      <c r="GQ163" s="373"/>
      <c r="GR163" s="373"/>
      <c r="GS163" s="373"/>
      <c r="GT163" s="373"/>
      <c r="GU163" s="373"/>
      <c r="GV163" s="373"/>
      <c r="GW163" s="373"/>
      <c r="GX163" s="373"/>
      <c r="GY163" s="373"/>
      <c r="GZ163" s="373"/>
      <c r="HA163" s="373"/>
      <c r="HB163" s="373"/>
      <c r="HC163" s="373"/>
      <c r="HD163" s="373"/>
      <c r="HE163" s="373"/>
      <c r="HF163" s="373"/>
      <c r="HG163" s="373"/>
      <c r="HH163" s="373"/>
      <c r="HI163" s="373"/>
      <c r="HJ163" s="373"/>
      <c r="HK163" s="373"/>
      <c r="HL163" s="373"/>
      <c r="HM163" s="373"/>
      <c r="HN163" s="373"/>
      <c r="HO163" s="373"/>
      <c r="HP163" s="373"/>
      <c r="HQ163" s="373"/>
      <c r="HR163" s="373"/>
      <c r="HS163" s="373"/>
      <c r="HT163" s="373"/>
      <c r="HU163" s="373"/>
      <c r="HV163" s="373"/>
      <c r="HW163" s="373"/>
      <c r="HX163" s="373"/>
      <c r="HY163" s="373"/>
      <c r="HZ163" s="373"/>
      <c r="IA163" s="373"/>
      <c r="IB163" s="373"/>
      <c r="IC163" s="373"/>
      <c r="ID163" s="373"/>
      <c r="IE163" s="373"/>
      <c r="IF163" s="373"/>
      <c r="IG163" s="373"/>
      <c r="IH163" s="373"/>
      <c r="II163" s="373"/>
      <c r="IJ163" s="373"/>
      <c r="IK163" s="373"/>
      <c r="IL163" s="373"/>
      <c r="IM163" s="373"/>
      <c r="IN163" s="373"/>
      <c r="IO163" s="373"/>
      <c r="IP163" s="373"/>
      <c r="IQ163" s="373"/>
      <c r="IR163" s="373"/>
      <c r="IS163" s="373"/>
      <c r="IT163" s="373"/>
      <c r="IU163" s="373"/>
      <c r="IV163" s="373"/>
    </row>
    <row r="164" spans="1:256" ht="14.25" x14ac:dyDescent="0.2">
      <c r="A164" s="239"/>
      <c r="B164" s="239"/>
      <c r="C164" s="239"/>
      <c r="D164" s="246" t="s">
        <v>69</v>
      </c>
      <c r="E164" s="246"/>
      <c r="F164" s="246"/>
      <c r="G164" s="246"/>
      <c r="H164" s="246"/>
      <c r="I164" s="247"/>
      <c r="J164" s="248">
        <f>J163-J167</f>
        <v>136953.76999999999</v>
      </c>
      <c r="K164" s="249"/>
      <c r="L164" s="248">
        <f>L163-L167</f>
        <v>713095.24</v>
      </c>
      <c r="M164" s="374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  <c r="X164" s="373"/>
      <c r="Y164" s="373"/>
      <c r="Z164" s="373"/>
      <c r="AA164" s="373"/>
      <c r="AB164" s="373"/>
      <c r="AC164" s="373"/>
      <c r="AD164" s="373"/>
      <c r="AE164" s="373"/>
      <c r="AF164" s="373"/>
      <c r="AG164" s="373"/>
      <c r="AH164" s="373"/>
      <c r="AI164" s="373"/>
      <c r="AJ164" s="373"/>
      <c r="AK164" s="373"/>
      <c r="AL164" s="373"/>
      <c r="AM164" s="373"/>
      <c r="AN164" s="373"/>
      <c r="AO164" s="373"/>
      <c r="AP164" s="373"/>
      <c r="AQ164" s="373"/>
      <c r="AR164" s="373"/>
      <c r="AS164" s="373"/>
      <c r="AT164" s="373"/>
      <c r="AU164" s="373"/>
      <c r="AV164" s="373"/>
      <c r="AW164" s="373"/>
      <c r="AX164" s="373"/>
      <c r="AY164" s="373"/>
      <c r="AZ164" s="373"/>
      <c r="BA164" s="373"/>
      <c r="BB164" s="373"/>
      <c r="BC164" s="373"/>
      <c r="BD164" s="373"/>
      <c r="BE164" s="373"/>
      <c r="BF164" s="373"/>
      <c r="BG164" s="373"/>
      <c r="BH164" s="373"/>
      <c r="BI164" s="373"/>
      <c r="BJ164" s="373"/>
      <c r="BK164" s="373"/>
      <c r="BL164" s="373"/>
      <c r="BM164" s="373"/>
      <c r="BN164" s="373"/>
      <c r="BO164" s="373"/>
      <c r="BP164" s="373"/>
      <c r="BQ164" s="373"/>
      <c r="BR164" s="373"/>
      <c r="BS164" s="373"/>
      <c r="BT164" s="373"/>
      <c r="BU164" s="373"/>
      <c r="BV164" s="373"/>
      <c r="BW164" s="373"/>
      <c r="BX164" s="373"/>
      <c r="BY164" s="373"/>
      <c r="BZ164" s="373"/>
      <c r="CA164" s="373"/>
      <c r="CB164" s="373"/>
      <c r="CC164" s="373"/>
      <c r="CD164" s="373"/>
      <c r="CE164" s="373"/>
      <c r="CF164" s="373"/>
      <c r="CG164" s="373"/>
      <c r="CH164" s="373"/>
      <c r="CI164" s="373"/>
      <c r="CJ164" s="373"/>
      <c r="CK164" s="373"/>
      <c r="CL164" s="373"/>
      <c r="CM164" s="373"/>
      <c r="CN164" s="373"/>
      <c r="CO164" s="373"/>
      <c r="CP164" s="373"/>
      <c r="CQ164" s="373"/>
      <c r="CR164" s="373"/>
      <c r="CS164" s="373"/>
      <c r="CT164" s="373"/>
      <c r="CU164" s="373"/>
      <c r="CV164" s="373"/>
      <c r="CW164" s="373"/>
      <c r="CX164" s="373"/>
      <c r="CY164" s="373"/>
      <c r="CZ164" s="373"/>
      <c r="DA164" s="373"/>
      <c r="DB164" s="373"/>
      <c r="DC164" s="373"/>
      <c r="DD164" s="373"/>
      <c r="DE164" s="373"/>
      <c r="DF164" s="373"/>
      <c r="DG164" s="373"/>
      <c r="DH164" s="373"/>
      <c r="DI164" s="373"/>
      <c r="DJ164" s="373"/>
      <c r="DK164" s="373"/>
      <c r="DL164" s="373"/>
      <c r="DM164" s="373"/>
      <c r="DN164" s="373"/>
      <c r="DO164" s="373"/>
      <c r="DP164" s="373"/>
      <c r="DQ164" s="373"/>
      <c r="DR164" s="373"/>
      <c r="DS164" s="373"/>
      <c r="DT164" s="373"/>
      <c r="DU164" s="373"/>
      <c r="DV164" s="373"/>
      <c r="DW164" s="373"/>
      <c r="DX164" s="373"/>
      <c r="DY164" s="373"/>
      <c r="DZ164" s="373"/>
      <c r="EA164" s="373"/>
      <c r="EB164" s="373"/>
      <c r="EC164" s="373"/>
      <c r="ED164" s="373"/>
      <c r="EE164" s="373"/>
      <c r="EF164" s="373"/>
      <c r="EG164" s="373"/>
      <c r="EH164" s="373"/>
      <c r="EI164" s="373"/>
      <c r="EJ164" s="373"/>
      <c r="EK164" s="373"/>
      <c r="EL164" s="373"/>
      <c r="EM164" s="373"/>
      <c r="EN164" s="373"/>
      <c r="EO164" s="373"/>
      <c r="EP164" s="373"/>
      <c r="EQ164" s="373"/>
      <c r="ER164" s="373"/>
      <c r="ES164" s="373"/>
      <c r="ET164" s="373"/>
      <c r="EU164" s="373"/>
      <c r="EV164" s="373"/>
      <c r="EW164" s="373"/>
      <c r="EX164" s="373"/>
      <c r="EY164" s="373"/>
      <c r="EZ164" s="373"/>
      <c r="FA164" s="373"/>
      <c r="FB164" s="373"/>
      <c r="FC164" s="373"/>
      <c r="FD164" s="373"/>
      <c r="FE164" s="373"/>
      <c r="FF164" s="373"/>
      <c r="FG164" s="373"/>
      <c r="FH164" s="373"/>
      <c r="FI164" s="373"/>
      <c r="FJ164" s="373"/>
      <c r="FK164" s="373"/>
      <c r="FL164" s="373"/>
      <c r="FM164" s="373"/>
      <c r="FN164" s="373"/>
      <c r="FO164" s="373"/>
      <c r="FP164" s="373"/>
      <c r="FQ164" s="373"/>
      <c r="FR164" s="373"/>
      <c r="FS164" s="373"/>
      <c r="FT164" s="373"/>
      <c r="FU164" s="373"/>
      <c r="FV164" s="373"/>
      <c r="FW164" s="373"/>
      <c r="FX164" s="373"/>
      <c r="FY164" s="373"/>
      <c r="FZ164" s="373"/>
      <c r="GA164" s="373"/>
      <c r="GB164" s="373"/>
      <c r="GC164" s="373"/>
      <c r="GD164" s="373"/>
      <c r="GE164" s="373"/>
      <c r="GF164" s="373"/>
      <c r="GG164" s="373"/>
      <c r="GH164" s="373"/>
      <c r="GI164" s="373"/>
      <c r="GJ164" s="373"/>
      <c r="GK164" s="373"/>
      <c r="GL164" s="373"/>
      <c r="GM164" s="373"/>
      <c r="GN164" s="373"/>
      <c r="GO164" s="373"/>
      <c r="GP164" s="373"/>
      <c r="GQ164" s="373"/>
      <c r="GR164" s="373"/>
      <c r="GS164" s="373"/>
      <c r="GT164" s="373"/>
      <c r="GU164" s="373"/>
      <c r="GV164" s="373"/>
      <c r="GW164" s="373"/>
      <c r="GX164" s="373"/>
      <c r="GY164" s="373"/>
      <c r="GZ164" s="373"/>
      <c r="HA164" s="373"/>
      <c r="HB164" s="373"/>
      <c r="HC164" s="373"/>
      <c r="HD164" s="373"/>
      <c r="HE164" s="373"/>
      <c r="HF164" s="373"/>
      <c r="HG164" s="373"/>
      <c r="HH164" s="373"/>
      <c r="HI164" s="373"/>
      <c r="HJ164" s="373"/>
      <c r="HK164" s="373"/>
      <c r="HL164" s="373"/>
      <c r="HM164" s="373"/>
      <c r="HN164" s="373"/>
      <c r="HO164" s="373"/>
      <c r="HP164" s="373"/>
      <c r="HQ164" s="373"/>
      <c r="HR164" s="373"/>
      <c r="HS164" s="373"/>
      <c r="HT164" s="373"/>
      <c r="HU164" s="373"/>
      <c r="HV164" s="373"/>
      <c r="HW164" s="373"/>
      <c r="HX164" s="373"/>
      <c r="HY164" s="373"/>
      <c r="HZ164" s="373"/>
      <c r="IA164" s="373"/>
      <c r="IB164" s="373"/>
      <c r="IC164" s="373"/>
      <c r="ID164" s="373"/>
      <c r="IE164" s="373"/>
      <c r="IF164" s="373"/>
      <c r="IG164" s="373"/>
      <c r="IH164" s="373"/>
      <c r="II164" s="373"/>
      <c r="IJ164" s="373"/>
      <c r="IK164" s="373"/>
      <c r="IL164" s="373"/>
      <c r="IM164" s="373"/>
      <c r="IN164" s="373"/>
      <c r="IO164" s="373"/>
      <c r="IP164" s="373"/>
      <c r="IQ164" s="373"/>
      <c r="IR164" s="373"/>
      <c r="IS164" s="373"/>
      <c r="IT164" s="373"/>
      <c r="IU164" s="373"/>
      <c r="IV164" s="373"/>
    </row>
    <row r="165" spans="1:256" ht="14.25" x14ac:dyDescent="0.2">
      <c r="A165" s="239"/>
      <c r="B165" s="239"/>
      <c r="C165" s="239"/>
      <c r="D165" s="246" t="s">
        <v>70</v>
      </c>
      <c r="E165" s="246"/>
      <c r="F165" s="246"/>
      <c r="G165" s="246"/>
      <c r="H165" s="246"/>
      <c r="I165" s="247"/>
      <c r="J165" s="248">
        <f>I150+I149</f>
        <v>4169.16</v>
      </c>
      <c r="K165" s="249"/>
      <c r="L165" s="248">
        <f>K150+K149</f>
        <v>101018.6</v>
      </c>
      <c r="M165" s="374">
        <v>23353.06</v>
      </c>
      <c r="N165" s="373"/>
      <c r="O165" s="373"/>
      <c r="P165" s="373"/>
      <c r="Q165" s="373"/>
      <c r="R165" s="373"/>
      <c r="S165" s="373"/>
      <c r="T165" s="373"/>
      <c r="U165" s="373"/>
      <c r="V165" s="373"/>
      <c r="W165" s="373"/>
      <c r="X165" s="373"/>
      <c r="Y165" s="373"/>
      <c r="Z165" s="373"/>
      <c r="AA165" s="373"/>
      <c r="AB165" s="373"/>
      <c r="AC165" s="373"/>
      <c r="AD165" s="373"/>
      <c r="AE165" s="373"/>
      <c r="AF165" s="373"/>
      <c r="AG165" s="373"/>
      <c r="AH165" s="373"/>
      <c r="AI165" s="373"/>
      <c r="AJ165" s="373"/>
      <c r="AK165" s="373"/>
      <c r="AL165" s="373"/>
      <c r="AM165" s="373"/>
      <c r="AN165" s="373"/>
      <c r="AO165" s="373"/>
      <c r="AP165" s="373"/>
      <c r="AQ165" s="373"/>
      <c r="AR165" s="373"/>
      <c r="AS165" s="373"/>
      <c r="AT165" s="373"/>
      <c r="AU165" s="373"/>
      <c r="AV165" s="373"/>
      <c r="AW165" s="373"/>
      <c r="AX165" s="373"/>
      <c r="AY165" s="373"/>
      <c r="AZ165" s="373"/>
      <c r="BA165" s="373"/>
      <c r="BB165" s="373"/>
      <c r="BC165" s="373"/>
      <c r="BD165" s="373"/>
      <c r="BE165" s="373"/>
      <c r="BF165" s="373"/>
      <c r="BG165" s="373"/>
      <c r="BH165" s="373"/>
      <c r="BI165" s="373"/>
      <c r="BJ165" s="373"/>
      <c r="BK165" s="373"/>
      <c r="BL165" s="373"/>
      <c r="BM165" s="373"/>
      <c r="BN165" s="373"/>
      <c r="BO165" s="373"/>
      <c r="BP165" s="373"/>
      <c r="BQ165" s="373"/>
      <c r="BR165" s="373"/>
      <c r="BS165" s="373"/>
      <c r="BT165" s="373"/>
      <c r="BU165" s="373"/>
      <c r="BV165" s="373"/>
      <c r="BW165" s="373"/>
      <c r="BX165" s="373"/>
      <c r="BY165" s="373"/>
      <c r="BZ165" s="373"/>
      <c r="CA165" s="373"/>
      <c r="CB165" s="373"/>
      <c r="CC165" s="373"/>
      <c r="CD165" s="373"/>
      <c r="CE165" s="373"/>
      <c r="CF165" s="373"/>
      <c r="CG165" s="373"/>
      <c r="CH165" s="373"/>
      <c r="CI165" s="373"/>
      <c r="CJ165" s="373"/>
      <c r="CK165" s="373"/>
      <c r="CL165" s="373"/>
      <c r="CM165" s="373"/>
      <c r="CN165" s="373"/>
      <c r="CO165" s="373"/>
      <c r="CP165" s="373"/>
      <c r="CQ165" s="373"/>
      <c r="CR165" s="373"/>
      <c r="CS165" s="373"/>
      <c r="CT165" s="373"/>
      <c r="CU165" s="373"/>
      <c r="CV165" s="373"/>
      <c r="CW165" s="373"/>
      <c r="CX165" s="373"/>
      <c r="CY165" s="373"/>
      <c r="CZ165" s="373"/>
      <c r="DA165" s="373"/>
      <c r="DB165" s="373"/>
      <c r="DC165" s="373"/>
      <c r="DD165" s="373"/>
      <c r="DE165" s="373"/>
      <c r="DF165" s="373"/>
      <c r="DG165" s="373"/>
      <c r="DH165" s="373"/>
      <c r="DI165" s="373"/>
      <c r="DJ165" s="373"/>
      <c r="DK165" s="373"/>
      <c r="DL165" s="373"/>
      <c r="DM165" s="373"/>
      <c r="DN165" s="373"/>
      <c r="DO165" s="373"/>
      <c r="DP165" s="373"/>
      <c r="DQ165" s="373"/>
      <c r="DR165" s="373"/>
      <c r="DS165" s="373"/>
      <c r="DT165" s="373"/>
      <c r="DU165" s="373"/>
      <c r="DV165" s="373"/>
      <c r="DW165" s="373"/>
      <c r="DX165" s="373"/>
      <c r="DY165" s="373"/>
      <c r="DZ165" s="373"/>
      <c r="EA165" s="373"/>
      <c r="EB165" s="373"/>
      <c r="EC165" s="373"/>
      <c r="ED165" s="373"/>
      <c r="EE165" s="373"/>
      <c r="EF165" s="373"/>
      <c r="EG165" s="373"/>
      <c r="EH165" s="373"/>
      <c r="EI165" s="373"/>
      <c r="EJ165" s="373"/>
      <c r="EK165" s="373"/>
      <c r="EL165" s="373"/>
      <c r="EM165" s="373"/>
      <c r="EN165" s="373"/>
      <c r="EO165" s="373"/>
      <c r="EP165" s="373"/>
      <c r="EQ165" s="373"/>
      <c r="ER165" s="373"/>
      <c r="ES165" s="373"/>
      <c r="ET165" s="373"/>
      <c r="EU165" s="373"/>
      <c r="EV165" s="373"/>
      <c r="EW165" s="373"/>
      <c r="EX165" s="373"/>
      <c r="EY165" s="373"/>
      <c r="EZ165" s="373"/>
      <c r="FA165" s="373"/>
      <c r="FB165" s="373"/>
      <c r="FC165" s="373"/>
      <c r="FD165" s="373"/>
      <c r="FE165" s="373"/>
      <c r="FF165" s="373"/>
      <c r="FG165" s="373"/>
      <c r="FH165" s="373"/>
      <c r="FI165" s="373"/>
      <c r="FJ165" s="373"/>
      <c r="FK165" s="373"/>
      <c r="FL165" s="373"/>
      <c r="FM165" s="373"/>
      <c r="FN165" s="373"/>
      <c r="FO165" s="373"/>
      <c r="FP165" s="373"/>
      <c r="FQ165" s="373"/>
      <c r="FR165" s="373"/>
      <c r="FS165" s="373"/>
      <c r="FT165" s="373"/>
      <c r="FU165" s="373"/>
      <c r="FV165" s="373"/>
      <c r="FW165" s="373"/>
      <c r="FX165" s="373"/>
      <c r="FY165" s="373"/>
      <c r="FZ165" s="373"/>
      <c r="GA165" s="373"/>
      <c r="GB165" s="373"/>
      <c r="GC165" s="373"/>
      <c r="GD165" s="373"/>
      <c r="GE165" s="373"/>
      <c r="GF165" s="373"/>
      <c r="GG165" s="373"/>
      <c r="GH165" s="373"/>
      <c r="GI165" s="373"/>
      <c r="GJ165" s="373"/>
      <c r="GK165" s="373"/>
      <c r="GL165" s="373"/>
      <c r="GM165" s="373"/>
      <c r="GN165" s="373"/>
      <c r="GO165" s="373"/>
      <c r="GP165" s="373"/>
      <c r="GQ165" s="373"/>
      <c r="GR165" s="373"/>
      <c r="GS165" s="373"/>
      <c r="GT165" s="373"/>
      <c r="GU165" s="373"/>
      <c r="GV165" s="373"/>
      <c r="GW165" s="373"/>
      <c r="GX165" s="373"/>
      <c r="GY165" s="373"/>
      <c r="GZ165" s="373"/>
      <c r="HA165" s="373"/>
      <c r="HB165" s="373"/>
      <c r="HC165" s="373"/>
      <c r="HD165" s="373"/>
      <c r="HE165" s="373"/>
      <c r="HF165" s="373"/>
      <c r="HG165" s="373"/>
      <c r="HH165" s="373"/>
      <c r="HI165" s="373"/>
      <c r="HJ165" s="373"/>
      <c r="HK165" s="373"/>
      <c r="HL165" s="373"/>
      <c r="HM165" s="373"/>
      <c r="HN165" s="373"/>
      <c r="HO165" s="373"/>
      <c r="HP165" s="373"/>
      <c r="HQ165" s="373"/>
      <c r="HR165" s="373"/>
      <c r="HS165" s="373"/>
      <c r="HT165" s="373"/>
      <c r="HU165" s="373"/>
      <c r="HV165" s="373"/>
      <c r="HW165" s="373"/>
      <c r="HX165" s="373"/>
      <c r="HY165" s="373"/>
      <c r="HZ165" s="373"/>
      <c r="IA165" s="373"/>
      <c r="IB165" s="373"/>
      <c r="IC165" s="373"/>
      <c r="ID165" s="373"/>
      <c r="IE165" s="373"/>
      <c r="IF165" s="373"/>
      <c r="IG165" s="373"/>
      <c r="IH165" s="373"/>
      <c r="II165" s="373"/>
      <c r="IJ165" s="373"/>
      <c r="IK165" s="373"/>
      <c r="IL165" s="373"/>
      <c r="IM165" s="373"/>
      <c r="IN165" s="373"/>
      <c r="IO165" s="373"/>
      <c r="IP165" s="373"/>
      <c r="IQ165" s="373"/>
      <c r="IR165" s="373"/>
      <c r="IS165" s="373"/>
      <c r="IT165" s="373"/>
      <c r="IU165" s="373"/>
      <c r="IV165" s="373"/>
    </row>
    <row r="166" spans="1:256" ht="14.25" x14ac:dyDescent="0.2">
      <c r="A166" s="239"/>
      <c r="B166" s="239"/>
      <c r="C166" s="239"/>
      <c r="D166" s="246" t="s">
        <v>195</v>
      </c>
      <c r="E166" s="246"/>
      <c r="F166" s="246"/>
      <c r="G166" s="246"/>
      <c r="H166" s="246"/>
      <c r="I166" s="247"/>
      <c r="J166" s="248">
        <f>I148</f>
        <v>123658.09</v>
      </c>
      <c r="K166" s="249"/>
      <c r="L166" s="248">
        <f>K148</f>
        <v>470519.37</v>
      </c>
      <c r="M166" s="374" t="e">
        <v>#REF!</v>
      </c>
      <c r="N166" s="373"/>
      <c r="O166" s="373"/>
      <c r="P166" s="373"/>
      <c r="Q166" s="373"/>
      <c r="R166" s="373"/>
      <c r="S166" s="373"/>
      <c r="T166" s="373"/>
      <c r="U166" s="373"/>
      <c r="V166" s="373"/>
      <c r="W166" s="373"/>
      <c r="X166" s="373"/>
      <c r="Y166" s="373"/>
      <c r="Z166" s="373"/>
      <c r="AA166" s="373"/>
      <c r="AB166" s="373"/>
      <c r="AC166" s="373"/>
      <c r="AD166" s="373"/>
      <c r="AE166" s="373"/>
      <c r="AF166" s="373"/>
      <c r="AG166" s="373"/>
      <c r="AH166" s="373"/>
      <c r="AI166" s="373"/>
      <c r="AJ166" s="373"/>
      <c r="AK166" s="373"/>
      <c r="AL166" s="373"/>
      <c r="AM166" s="373"/>
      <c r="AN166" s="373"/>
      <c r="AO166" s="373"/>
      <c r="AP166" s="373"/>
      <c r="AQ166" s="373"/>
      <c r="AR166" s="373"/>
      <c r="AS166" s="373"/>
      <c r="AT166" s="373"/>
      <c r="AU166" s="373"/>
      <c r="AV166" s="373"/>
      <c r="AW166" s="373"/>
      <c r="AX166" s="373"/>
      <c r="AY166" s="373"/>
      <c r="AZ166" s="373"/>
      <c r="BA166" s="373"/>
      <c r="BB166" s="373"/>
      <c r="BC166" s="373"/>
      <c r="BD166" s="373"/>
      <c r="BE166" s="373"/>
      <c r="BF166" s="373"/>
      <c r="BG166" s="373"/>
      <c r="BH166" s="373"/>
      <c r="BI166" s="373"/>
      <c r="BJ166" s="373"/>
      <c r="BK166" s="373"/>
      <c r="BL166" s="373"/>
      <c r="BM166" s="373"/>
      <c r="BN166" s="373"/>
      <c r="BO166" s="373"/>
      <c r="BP166" s="373"/>
      <c r="BQ166" s="373"/>
      <c r="BR166" s="373"/>
      <c r="BS166" s="373"/>
      <c r="BT166" s="373"/>
      <c r="BU166" s="373"/>
      <c r="BV166" s="373"/>
      <c r="BW166" s="373"/>
      <c r="BX166" s="373"/>
      <c r="BY166" s="373"/>
      <c r="BZ166" s="373"/>
      <c r="CA166" s="373"/>
      <c r="CB166" s="373"/>
      <c r="CC166" s="373"/>
      <c r="CD166" s="373"/>
      <c r="CE166" s="373"/>
      <c r="CF166" s="373"/>
      <c r="CG166" s="373"/>
      <c r="CH166" s="373"/>
      <c r="CI166" s="373"/>
      <c r="CJ166" s="373"/>
      <c r="CK166" s="373"/>
      <c r="CL166" s="373"/>
      <c r="CM166" s="373"/>
      <c r="CN166" s="373"/>
      <c r="CO166" s="373"/>
      <c r="CP166" s="373"/>
      <c r="CQ166" s="373"/>
      <c r="CR166" s="373"/>
      <c r="CS166" s="373"/>
      <c r="CT166" s="373"/>
      <c r="CU166" s="373"/>
      <c r="CV166" s="373"/>
      <c r="CW166" s="373"/>
      <c r="CX166" s="373"/>
      <c r="CY166" s="373"/>
      <c r="CZ166" s="373"/>
      <c r="DA166" s="373"/>
      <c r="DB166" s="373"/>
      <c r="DC166" s="373"/>
      <c r="DD166" s="373"/>
      <c r="DE166" s="373"/>
      <c r="DF166" s="373"/>
      <c r="DG166" s="373"/>
      <c r="DH166" s="373"/>
      <c r="DI166" s="373"/>
      <c r="DJ166" s="373"/>
      <c r="DK166" s="373"/>
      <c r="DL166" s="373"/>
      <c r="DM166" s="373"/>
      <c r="DN166" s="373"/>
      <c r="DO166" s="373"/>
      <c r="DP166" s="373"/>
      <c r="DQ166" s="373"/>
      <c r="DR166" s="373"/>
      <c r="DS166" s="373"/>
      <c r="DT166" s="373"/>
      <c r="DU166" s="373"/>
      <c r="DV166" s="373"/>
      <c r="DW166" s="373"/>
      <c r="DX166" s="373"/>
      <c r="DY166" s="373"/>
      <c r="DZ166" s="373"/>
      <c r="EA166" s="373"/>
      <c r="EB166" s="373"/>
      <c r="EC166" s="373"/>
      <c r="ED166" s="373"/>
      <c r="EE166" s="373"/>
      <c r="EF166" s="373"/>
      <c r="EG166" s="373"/>
      <c r="EH166" s="373"/>
      <c r="EI166" s="373"/>
      <c r="EJ166" s="373"/>
      <c r="EK166" s="373"/>
      <c r="EL166" s="373"/>
      <c r="EM166" s="373"/>
      <c r="EN166" s="373"/>
      <c r="EO166" s="373"/>
      <c r="EP166" s="373"/>
      <c r="EQ166" s="373"/>
      <c r="ER166" s="373"/>
      <c r="ES166" s="373"/>
      <c r="ET166" s="373"/>
      <c r="EU166" s="373"/>
      <c r="EV166" s="373"/>
      <c r="EW166" s="373"/>
      <c r="EX166" s="373"/>
      <c r="EY166" s="373"/>
      <c r="EZ166" s="373"/>
      <c r="FA166" s="373"/>
      <c r="FB166" s="373"/>
      <c r="FC166" s="373"/>
      <c r="FD166" s="373"/>
      <c r="FE166" s="373"/>
      <c r="FF166" s="373"/>
      <c r="FG166" s="373"/>
      <c r="FH166" s="373"/>
      <c r="FI166" s="373"/>
      <c r="FJ166" s="373"/>
      <c r="FK166" s="373"/>
      <c r="FL166" s="373"/>
      <c r="FM166" s="373"/>
      <c r="FN166" s="373"/>
      <c r="FO166" s="373"/>
      <c r="FP166" s="373"/>
      <c r="FQ166" s="373"/>
      <c r="FR166" s="373"/>
      <c r="FS166" s="373"/>
      <c r="FT166" s="373"/>
      <c r="FU166" s="373"/>
      <c r="FV166" s="373"/>
      <c r="FW166" s="373"/>
      <c r="FX166" s="373"/>
      <c r="FY166" s="373"/>
      <c r="FZ166" s="373"/>
      <c r="GA166" s="373"/>
      <c r="GB166" s="373"/>
      <c r="GC166" s="373"/>
      <c r="GD166" s="373"/>
      <c r="GE166" s="373"/>
      <c r="GF166" s="373"/>
      <c r="GG166" s="373"/>
      <c r="GH166" s="373"/>
      <c r="GI166" s="373"/>
      <c r="GJ166" s="373"/>
      <c r="GK166" s="373"/>
      <c r="GL166" s="373"/>
      <c r="GM166" s="373"/>
      <c r="GN166" s="373"/>
      <c r="GO166" s="373"/>
      <c r="GP166" s="373"/>
      <c r="GQ166" s="373"/>
      <c r="GR166" s="373"/>
      <c r="GS166" s="373"/>
      <c r="GT166" s="373"/>
      <c r="GU166" s="373"/>
      <c r="GV166" s="373"/>
      <c r="GW166" s="373"/>
      <c r="GX166" s="373"/>
      <c r="GY166" s="373"/>
      <c r="GZ166" s="373"/>
      <c r="HA166" s="373"/>
      <c r="HB166" s="373"/>
      <c r="HC166" s="373"/>
      <c r="HD166" s="373"/>
      <c r="HE166" s="373"/>
      <c r="HF166" s="373"/>
      <c r="HG166" s="373"/>
      <c r="HH166" s="373"/>
      <c r="HI166" s="373"/>
      <c r="HJ166" s="373"/>
      <c r="HK166" s="373"/>
      <c r="HL166" s="373"/>
      <c r="HM166" s="373"/>
      <c r="HN166" s="373"/>
      <c r="HO166" s="373"/>
      <c r="HP166" s="373"/>
      <c r="HQ166" s="373"/>
      <c r="HR166" s="373"/>
      <c r="HS166" s="373"/>
      <c r="HT166" s="373"/>
      <c r="HU166" s="373"/>
      <c r="HV166" s="373"/>
      <c r="HW166" s="373"/>
      <c r="HX166" s="373"/>
      <c r="HY166" s="373"/>
      <c r="HZ166" s="373"/>
      <c r="IA166" s="373"/>
      <c r="IB166" s="373"/>
      <c r="IC166" s="373"/>
      <c r="ID166" s="373"/>
      <c r="IE166" s="373"/>
      <c r="IF166" s="373"/>
      <c r="IG166" s="373"/>
      <c r="IH166" s="373"/>
      <c r="II166" s="373"/>
      <c r="IJ166" s="373"/>
      <c r="IK166" s="373"/>
      <c r="IL166" s="373"/>
      <c r="IM166" s="373"/>
      <c r="IN166" s="373"/>
      <c r="IO166" s="373"/>
      <c r="IP166" s="373"/>
      <c r="IQ166" s="373"/>
      <c r="IR166" s="373"/>
      <c r="IS166" s="373"/>
      <c r="IT166" s="373"/>
      <c r="IU166" s="373"/>
      <c r="IV166" s="373"/>
    </row>
    <row r="167" spans="1:256" ht="14.25" x14ac:dyDescent="0.2">
      <c r="A167" s="250"/>
      <c r="B167" s="250"/>
      <c r="C167" s="250"/>
      <c r="D167" s="251" t="s">
        <v>157</v>
      </c>
      <c r="E167" s="251"/>
      <c r="F167" s="251"/>
      <c r="G167" s="251"/>
      <c r="H167" s="251"/>
      <c r="I167" s="252"/>
      <c r="J167" s="253">
        <v>0</v>
      </c>
      <c r="K167" s="254"/>
      <c r="L167" s="253">
        <v>0</v>
      </c>
      <c r="M167" s="374"/>
      <c r="N167" s="376"/>
      <c r="O167" s="376"/>
      <c r="P167" s="376"/>
      <c r="Q167" s="376"/>
      <c r="R167" s="376"/>
      <c r="S167" s="376"/>
      <c r="T167" s="376"/>
      <c r="U167" s="376"/>
      <c r="V167" s="376"/>
      <c r="W167" s="376"/>
      <c r="X167" s="376"/>
      <c r="Y167" s="376"/>
      <c r="Z167" s="376"/>
      <c r="AA167" s="376"/>
      <c r="AB167" s="376"/>
      <c r="AC167" s="376"/>
      <c r="AD167" s="376"/>
      <c r="AE167" s="376"/>
      <c r="AF167" s="376"/>
      <c r="AG167" s="376"/>
      <c r="AH167" s="376"/>
      <c r="AI167" s="376"/>
      <c r="AJ167" s="376"/>
      <c r="AK167" s="376"/>
      <c r="AL167" s="376"/>
      <c r="AM167" s="376"/>
      <c r="AN167" s="376"/>
      <c r="AO167" s="376"/>
      <c r="AP167" s="376"/>
      <c r="AQ167" s="376"/>
      <c r="AR167" s="376"/>
      <c r="AS167" s="376"/>
      <c r="AT167" s="376"/>
      <c r="AU167" s="376"/>
      <c r="AV167" s="376"/>
      <c r="AW167" s="376"/>
      <c r="AX167" s="376"/>
      <c r="AY167" s="376"/>
      <c r="AZ167" s="376"/>
      <c r="BA167" s="376"/>
      <c r="BB167" s="376"/>
      <c r="BC167" s="376"/>
      <c r="BD167" s="376"/>
      <c r="BE167" s="376"/>
      <c r="BF167" s="376"/>
      <c r="BG167" s="376"/>
      <c r="BH167" s="376"/>
      <c r="BI167" s="376"/>
      <c r="BJ167" s="376"/>
      <c r="BK167" s="376"/>
      <c r="BL167" s="376"/>
      <c r="BM167" s="376"/>
      <c r="BN167" s="376"/>
      <c r="BO167" s="376"/>
      <c r="BP167" s="376"/>
      <c r="BQ167" s="376"/>
      <c r="BR167" s="376"/>
      <c r="BS167" s="376"/>
      <c r="BT167" s="376"/>
      <c r="BU167" s="376"/>
      <c r="BV167" s="376"/>
      <c r="BW167" s="376"/>
      <c r="BX167" s="376"/>
      <c r="BY167" s="376"/>
      <c r="BZ167" s="376"/>
      <c r="CA167" s="376"/>
      <c r="CB167" s="376"/>
      <c r="CC167" s="376"/>
      <c r="CD167" s="376"/>
      <c r="CE167" s="376"/>
      <c r="CF167" s="376"/>
      <c r="CG167" s="376"/>
      <c r="CH167" s="376"/>
      <c r="CI167" s="376"/>
      <c r="CJ167" s="376"/>
      <c r="CK167" s="376"/>
      <c r="CL167" s="376"/>
      <c r="CM167" s="376"/>
      <c r="CN167" s="376"/>
      <c r="CO167" s="376"/>
      <c r="CP167" s="376"/>
      <c r="CQ167" s="376"/>
      <c r="CR167" s="376"/>
      <c r="CS167" s="376"/>
      <c r="CT167" s="376"/>
      <c r="CU167" s="376"/>
      <c r="CV167" s="376"/>
      <c r="CW167" s="376"/>
      <c r="CX167" s="376"/>
      <c r="CY167" s="376"/>
      <c r="CZ167" s="376"/>
      <c r="DA167" s="376"/>
      <c r="DB167" s="376"/>
      <c r="DC167" s="376"/>
      <c r="DD167" s="376"/>
      <c r="DE167" s="376"/>
      <c r="DF167" s="376"/>
      <c r="DG167" s="376"/>
      <c r="DH167" s="376"/>
      <c r="DI167" s="376"/>
      <c r="DJ167" s="376"/>
      <c r="DK167" s="376"/>
      <c r="DL167" s="376"/>
      <c r="DM167" s="376"/>
      <c r="DN167" s="376"/>
      <c r="DO167" s="376"/>
      <c r="DP167" s="376"/>
      <c r="DQ167" s="376"/>
      <c r="DR167" s="376"/>
      <c r="DS167" s="376"/>
      <c r="DT167" s="376"/>
      <c r="DU167" s="376"/>
      <c r="DV167" s="376"/>
      <c r="DW167" s="376"/>
      <c r="DX167" s="376"/>
      <c r="DY167" s="376"/>
      <c r="DZ167" s="376"/>
      <c r="EA167" s="376"/>
      <c r="EB167" s="376"/>
      <c r="EC167" s="376"/>
      <c r="ED167" s="376"/>
      <c r="EE167" s="376"/>
      <c r="EF167" s="376"/>
      <c r="EG167" s="376"/>
      <c r="EH167" s="376"/>
      <c r="EI167" s="376"/>
      <c r="EJ167" s="376"/>
      <c r="EK167" s="376"/>
      <c r="EL167" s="376"/>
      <c r="EM167" s="376"/>
      <c r="EN167" s="376"/>
      <c r="EO167" s="376"/>
      <c r="EP167" s="376"/>
      <c r="EQ167" s="376"/>
      <c r="ER167" s="376"/>
      <c r="ES167" s="376"/>
      <c r="ET167" s="376"/>
      <c r="EU167" s="376"/>
      <c r="EV167" s="376"/>
      <c r="EW167" s="376"/>
      <c r="EX167" s="376"/>
      <c r="EY167" s="376"/>
      <c r="EZ167" s="376"/>
      <c r="FA167" s="376"/>
      <c r="FB167" s="376"/>
      <c r="FC167" s="376"/>
      <c r="FD167" s="376"/>
      <c r="FE167" s="376"/>
      <c r="FF167" s="376"/>
      <c r="FG167" s="376"/>
      <c r="FH167" s="376"/>
      <c r="FI167" s="376"/>
      <c r="FJ167" s="376"/>
      <c r="FK167" s="376"/>
      <c r="FL167" s="376"/>
      <c r="FM167" s="376"/>
      <c r="FN167" s="376"/>
      <c r="FO167" s="376"/>
      <c r="FP167" s="376"/>
      <c r="FQ167" s="376"/>
      <c r="FR167" s="376"/>
      <c r="FS167" s="376"/>
      <c r="FT167" s="376"/>
      <c r="FU167" s="376"/>
      <c r="FV167" s="376"/>
      <c r="FW167" s="376"/>
      <c r="FX167" s="376"/>
      <c r="FY167" s="376"/>
      <c r="FZ167" s="376"/>
      <c r="GA167" s="376"/>
      <c r="GB167" s="376"/>
      <c r="GC167" s="376"/>
      <c r="GD167" s="376"/>
      <c r="GE167" s="376"/>
      <c r="GF167" s="376"/>
      <c r="GG167" s="376"/>
      <c r="GH167" s="376"/>
      <c r="GI167" s="376"/>
      <c r="GJ167" s="376"/>
      <c r="GK167" s="376"/>
      <c r="GL167" s="376"/>
      <c r="GM167" s="376"/>
      <c r="GN167" s="376"/>
      <c r="GO167" s="376"/>
      <c r="GP167" s="376"/>
      <c r="GQ167" s="376"/>
      <c r="GR167" s="376"/>
      <c r="GS167" s="376"/>
      <c r="GT167" s="376"/>
      <c r="GU167" s="376"/>
      <c r="GV167" s="376"/>
      <c r="GW167" s="376"/>
      <c r="GX167" s="376"/>
      <c r="GY167" s="376"/>
      <c r="GZ167" s="376"/>
      <c r="HA167" s="376"/>
      <c r="HB167" s="376"/>
      <c r="HC167" s="376"/>
      <c r="HD167" s="376"/>
      <c r="HE167" s="376"/>
      <c r="HF167" s="376"/>
      <c r="HG167" s="376"/>
      <c r="HH167" s="376"/>
      <c r="HI167" s="376"/>
      <c r="HJ167" s="376"/>
      <c r="HK167" s="376"/>
      <c r="HL167" s="376"/>
      <c r="HM167" s="376"/>
      <c r="HN167" s="376"/>
      <c r="HO167" s="376"/>
      <c r="HP167" s="376"/>
      <c r="HQ167" s="376"/>
      <c r="HR167" s="376"/>
      <c r="HS167" s="376"/>
      <c r="HT167" s="376"/>
      <c r="HU167" s="376"/>
      <c r="HV167" s="376"/>
      <c r="HW167" s="376"/>
      <c r="HX167" s="376"/>
      <c r="HY167" s="376"/>
      <c r="HZ167" s="376"/>
      <c r="IA167" s="376"/>
      <c r="IB167" s="376"/>
      <c r="IC167" s="376"/>
      <c r="ID167" s="376"/>
      <c r="IE167" s="376"/>
      <c r="IF167" s="376"/>
      <c r="IG167" s="376"/>
      <c r="IH167" s="376"/>
      <c r="II167" s="376"/>
      <c r="IJ167" s="376"/>
      <c r="IK167" s="376"/>
      <c r="IL167" s="376"/>
      <c r="IM167" s="376"/>
      <c r="IN167" s="376"/>
      <c r="IO167" s="376"/>
      <c r="IP167" s="376"/>
      <c r="IQ167" s="376"/>
      <c r="IR167" s="376"/>
      <c r="IS167" s="376"/>
      <c r="IT167" s="376"/>
      <c r="IU167" s="376"/>
      <c r="IV167" s="376"/>
    </row>
    <row r="168" spans="1:256" ht="15" x14ac:dyDescent="0.25">
      <c r="A168" s="237"/>
      <c r="B168" s="237"/>
      <c r="C168" s="237"/>
      <c r="D168" s="377" t="s">
        <v>196</v>
      </c>
      <c r="E168" s="377"/>
      <c r="F168" s="377"/>
      <c r="G168" s="377"/>
      <c r="H168" s="377"/>
      <c r="I168" s="377"/>
      <c r="J168" s="378">
        <f>J165*15%</f>
        <v>625.37</v>
      </c>
      <c r="K168" s="378"/>
      <c r="L168" s="378">
        <f>L165*15%</f>
        <v>15152.79</v>
      </c>
      <c r="M168" s="370">
        <v>3502.96</v>
      </c>
      <c r="N168" s="371"/>
      <c r="O168" s="371"/>
      <c r="P168" s="371"/>
      <c r="Q168" s="371"/>
      <c r="R168" s="371"/>
      <c r="S168" s="371"/>
      <c r="T168" s="371"/>
      <c r="U168" s="371"/>
      <c r="V168" s="371"/>
      <c r="W168" s="371"/>
      <c r="X168" s="371"/>
      <c r="Y168" s="371"/>
      <c r="Z168" s="371"/>
      <c r="AA168" s="371"/>
      <c r="AB168" s="371"/>
      <c r="AC168" s="371"/>
      <c r="AD168" s="371"/>
      <c r="AE168" s="371"/>
      <c r="AF168" s="371"/>
      <c r="AG168" s="371"/>
      <c r="AH168" s="371"/>
      <c r="AI168" s="371"/>
      <c r="AJ168" s="371"/>
      <c r="AK168" s="371"/>
      <c r="AL168" s="371"/>
      <c r="AM168" s="371"/>
      <c r="AN168" s="371"/>
      <c r="AO168" s="371"/>
      <c r="AP168" s="371"/>
      <c r="AQ168" s="371"/>
      <c r="AR168" s="371"/>
      <c r="AS168" s="371"/>
      <c r="AT168" s="371"/>
      <c r="AU168" s="371"/>
      <c r="AV168" s="371"/>
      <c r="AW168" s="371"/>
      <c r="AX168" s="371"/>
      <c r="AY168" s="371"/>
      <c r="AZ168" s="371"/>
      <c r="BA168" s="371"/>
      <c r="BB168" s="371"/>
      <c r="BC168" s="371"/>
      <c r="BD168" s="371"/>
      <c r="BE168" s="371"/>
      <c r="BF168" s="371"/>
      <c r="BG168" s="371"/>
      <c r="BH168" s="371"/>
      <c r="BI168" s="371"/>
      <c r="BJ168" s="371"/>
      <c r="BK168" s="371"/>
      <c r="BL168" s="371"/>
      <c r="BM168" s="371"/>
      <c r="BN168" s="371"/>
      <c r="BO168" s="371"/>
      <c r="BP168" s="371"/>
      <c r="BQ168" s="371"/>
      <c r="BR168" s="371"/>
      <c r="BS168" s="371"/>
      <c r="BT168" s="371"/>
      <c r="BU168" s="371"/>
      <c r="BV168" s="371"/>
      <c r="BW168" s="371"/>
      <c r="BX168" s="371"/>
      <c r="BY168" s="371"/>
      <c r="BZ168" s="371"/>
      <c r="CA168" s="371"/>
      <c r="CB168" s="371"/>
      <c r="CC168" s="371"/>
      <c r="CD168" s="371"/>
      <c r="CE168" s="371"/>
      <c r="CF168" s="371"/>
      <c r="CG168" s="371"/>
      <c r="CH168" s="371"/>
      <c r="CI168" s="371"/>
      <c r="CJ168" s="371"/>
      <c r="CK168" s="371"/>
      <c r="CL168" s="371"/>
      <c r="CM168" s="371"/>
      <c r="CN168" s="371"/>
      <c r="CO168" s="371"/>
      <c r="CP168" s="371"/>
      <c r="CQ168" s="371"/>
      <c r="CR168" s="371"/>
      <c r="CS168" s="371"/>
      <c r="CT168" s="371"/>
      <c r="CU168" s="371"/>
      <c r="CV168" s="371"/>
      <c r="CW168" s="371"/>
      <c r="CX168" s="371"/>
      <c r="CY168" s="371"/>
      <c r="CZ168" s="371"/>
      <c r="DA168" s="371"/>
      <c r="DB168" s="371"/>
      <c r="DC168" s="371"/>
      <c r="DD168" s="371"/>
      <c r="DE168" s="371"/>
      <c r="DF168" s="371"/>
      <c r="DG168" s="371"/>
      <c r="DH168" s="371"/>
      <c r="DI168" s="371"/>
      <c r="DJ168" s="371"/>
      <c r="DK168" s="371"/>
      <c r="DL168" s="371"/>
      <c r="DM168" s="371"/>
      <c r="DN168" s="371"/>
      <c r="DO168" s="371"/>
      <c r="DP168" s="371"/>
      <c r="DQ168" s="371"/>
      <c r="DR168" s="371"/>
      <c r="DS168" s="371"/>
      <c r="DT168" s="371"/>
      <c r="DU168" s="371"/>
      <c r="DV168" s="371"/>
      <c r="DW168" s="371"/>
      <c r="DX168" s="371"/>
      <c r="DY168" s="371"/>
      <c r="DZ168" s="371"/>
      <c r="EA168" s="371"/>
      <c r="EB168" s="371"/>
      <c r="EC168" s="371"/>
      <c r="ED168" s="371"/>
      <c r="EE168" s="371"/>
      <c r="EF168" s="371"/>
      <c r="EG168" s="371"/>
      <c r="EH168" s="371"/>
      <c r="EI168" s="371"/>
      <c r="EJ168" s="371"/>
      <c r="EK168" s="371"/>
      <c r="EL168" s="371"/>
      <c r="EM168" s="371"/>
      <c r="EN168" s="371"/>
      <c r="EO168" s="371"/>
      <c r="EP168" s="371"/>
      <c r="EQ168" s="371"/>
      <c r="ER168" s="371"/>
      <c r="ES168" s="371"/>
      <c r="ET168" s="371"/>
      <c r="EU168" s="371"/>
      <c r="EV168" s="371"/>
      <c r="EW168" s="371"/>
      <c r="EX168" s="371"/>
      <c r="EY168" s="371"/>
      <c r="EZ168" s="371"/>
      <c r="FA168" s="371"/>
      <c r="FB168" s="371"/>
      <c r="FC168" s="371"/>
      <c r="FD168" s="371"/>
      <c r="FE168" s="371"/>
      <c r="FF168" s="371"/>
      <c r="FG168" s="371"/>
      <c r="FH168" s="371"/>
      <c r="FI168" s="371"/>
      <c r="FJ168" s="371"/>
      <c r="FK168" s="371"/>
      <c r="FL168" s="371"/>
      <c r="FM168" s="371"/>
      <c r="FN168" s="371"/>
      <c r="FO168" s="371"/>
      <c r="FP168" s="371"/>
      <c r="FQ168" s="371"/>
      <c r="FR168" s="371"/>
      <c r="FS168" s="371"/>
      <c r="FT168" s="371"/>
      <c r="FU168" s="371"/>
      <c r="FV168" s="371"/>
      <c r="FW168" s="371"/>
      <c r="FX168" s="371"/>
      <c r="FY168" s="371"/>
      <c r="FZ168" s="371"/>
      <c r="GA168" s="371"/>
      <c r="GB168" s="371"/>
      <c r="GC168" s="371"/>
      <c r="GD168" s="371"/>
      <c r="GE168" s="371"/>
      <c r="GF168" s="371"/>
      <c r="GG168" s="371"/>
      <c r="GH168" s="371"/>
      <c r="GI168" s="371"/>
      <c r="GJ168" s="371"/>
      <c r="GK168" s="371"/>
      <c r="GL168" s="371"/>
      <c r="GM168" s="371"/>
      <c r="GN168" s="371"/>
      <c r="GO168" s="371"/>
      <c r="GP168" s="371"/>
      <c r="GQ168" s="371"/>
      <c r="GR168" s="371"/>
      <c r="GS168" s="371"/>
      <c r="GT168" s="371"/>
      <c r="GU168" s="371"/>
      <c r="GV168" s="371"/>
      <c r="GW168" s="371"/>
      <c r="GX168" s="371"/>
      <c r="GY168" s="371"/>
      <c r="GZ168" s="371"/>
      <c r="HA168" s="371"/>
      <c r="HB168" s="371"/>
      <c r="HC168" s="371"/>
      <c r="HD168" s="371"/>
      <c r="HE168" s="371"/>
      <c r="HF168" s="371"/>
      <c r="HG168" s="371"/>
      <c r="HH168" s="371"/>
      <c r="HI168" s="371"/>
      <c r="HJ168" s="371"/>
      <c r="HK168" s="371"/>
      <c r="HL168" s="371"/>
      <c r="HM168" s="371"/>
      <c r="HN168" s="371"/>
      <c r="HO168" s="371"/>
      <c r="HP168" s="371"/>
      <c r="HQ168" s="371"/>
      <c r="HR168" s="371"/>
      <c r="HS168" s="371"/>
      <c r="HT168" s="371"/>
      <c r="HU168" s="371"/>
      <c r="HV168" s="371"/>
      <c r="HW168" s="371"/>
      <c r="HX168" s="371"/>
      <c r="HY168" s="371"/>
      <c r="HZ168" s="371"/>
      <c r="IA168" s="371"/>
      <c r="IB168" s="371"/>
      <c r="IC168" s="371"/>
      <c r="ID168" s="371"/>
      <c r="IE168" s="371"/>
      <c r="IF168" s="371"/>
      <c r="IG168" s="371"/>
      <c r="IH168" s="371"/>
      <c r="II168" s="371"/>
      <c r="IJ168" s="371"/>
      <c r="IK168" s="371"/>
      <c r="IL168" s="371"/>
      <c r="IM168" s="371"/>
      <c r="IN168" s="371"/>
      <c r="IO168" s="371"/>
      <c r="IP168" s="371"/>
      <c r="IQ168" s="371"/>
      <c r="IR168" s="371"/>
      <c r="IS168" s="371"/>
      <c r="IT168" s="371"/>
      <c r="IU168" s="371"/>
      <c r="IV168" s="371"/>
    </row>
    <row r="169" spans="1:256" ht="14.25" x14ac:dyDescent="0.2">
      <c r="A169" s="237"/>
      <c r="B169" s="237"/>
      <c r="C169" s="237"/>
      <c r="D169" s="379" t="s">
        <v>197</v>
      </c>
      <c r="E169" s="380"/>
      <c r="F169" s="380"/>
      <c r="G169" s="380"/>
      <c r="H169" s="380"/>
      <c r="I169" s="380"/>
      <c r="J169" s="381">
        <f>J163+J168</f>
        <v>137579.14000000001</v>
      </c>
      <c r="K169" s="381"/>
      <c r="L169" s="381">
        <f>L163+L168</f>
        <v>728248.03</v>
      </c>
      <c r="M169" s="370" t="e">
        <v>#REF!</v>
      </c>
      <c r="N169" s="371"/>
      <c r="O169" s="371"/>
      <c r="P169" s="371"/>
      <c r="Q169" s="371"/>
      <c r="R169" s="371"/>
      <c r="S169" s="371"/>
      <c r="T169" s="371"/>
      <c r="U169" s="371"/>
      <c r="V169" s="371"/>
      <c r="W169" s="371"/>
      <c r="X169" s="371"/>
      <c r="Y169" s="371"/>
      <c r="Z169" s="371"/>
      <c r="AA169" s="371"/>
      <c r="AB169" s="371"/>
      <c r="AC169" s="371"/>
      <c r="AD169" s="371"/>
      <c r="AE169" s="371"/>
      <c r="AF169" s="371"/>
      <c r="AG169" s="371"/>
      <c r="AH169" s="371"/>
      <c r="AI169" s="371"/>
      <c r="AJ169" s="371"/>
      <c r="AK169" s="371"/>
      <c r="AL169" s="371"/>
      <c r="AM169" s="371"/>
      <c r="AN169" s="371"/>
      <c r="AO169" s="371"/>
      <c r="AP169" s="371"/>
      <c r="AQ169" s="371"/>
      <c r="AR169" s="371"/>
      <c r="AS169" s="371"/>
      <c r="AT169" s="371"/>
      <c r="AU169" s="371"/>
      <c r="AV169" s="371"/>
      <c r="AW169" s="371"/>
      <c r="AX169" s="371"/>
      <c r="AY169" s="371"/>
      <c r="AZ169" s="371"/>
      <c r="BA169" s="371"/>
      <c r="BB169" s="371"/>
      <c r="BC169" s="371"/>
      <c r="BD169" s="371"/>
      <c r="BE169" s="371"/>
      <c r="BF169" s="371"/>
      <c r="BG169" s="371"/>
      <c r="BH169" s="371"/>
      <c r="BI169" s="371"/>
      <c r="BJ169" s="371"/>
      <c r="BK169" s="371"/>
      <c r="BL169" s="371"/>
      <c r="BM169" s="371"/>
      <c r="BN169" s="371"/>
      <c r="BO169" s="371"/>
      <c r="BP169" s="371"/>
      <c r="BQ169" s="371"/>
      <c r="BR169" s="371"/>
      <c r="BS169" s="371"/>
      <c r="BT169" s="371"/>
      <c r="BU169" s="371"/>
      <c r="BV169" s="371"/>
      <c r="BW169" s="371"/>
      <c r="BX169" s="371"/>
      <c r="BY169" s="371"/>
      <c r="BZ169" s="371"/>
      <c r="CA169" s="371"/>
      <c r="CB169" s="371"/>
      <c r="CC169" s="371"/>
      <c r="CD169" s="371"/>
      <c r="CE169" s="371"/>
      <c r="CF169" s="371"/>
      <c r="CG169" s="371"/>
      <c r="CH169" s="371"/>
      <c r="CI169" s="371"/>
      <c r="CJ169" s="371"/>
      <c r="CK169" s="371"/>
      <c r="CL169" s="371"/>
      <c r="CM169" s="371"/>
      <c r="CN169" s="371"/>
      <c r="CO169" s="371"/>
      <c r="CP169" s="371"/>
      <c r="CQ169" s="371"/>
      <c r="CR169" s="371"/>
      <c r="CS169" s="371"/>
      <c r="CT169" s="371"/>
      <c r="CU169" s="371"/>
      <c r="CV169" s="371"/>
      <c r="CW169" s="371"/>
      <c r="CX169" s="371"/>
      <c r="CY169" s="371"/>
      <c r="CZ169" s="371"/>
      <c r="DA169" s="371"/>
      <c r="DB169" s="371"/>
      <c r="DC169" s="371"/>
      <c r="DD169" s="371"/>
      <c r="DE169" s="371"/>
      <c r="DF169" s="371"/>
      <c r="DG169" s="371"/>
      <c r="DH169" s="371"/>
      <c r="DI169" s="371"/>
      <c r="DJ169" s="371"/>
      <c r="DK169" s="371"/>
      <c r="DL169" s="371"/>
      <c r="DM169" s="371"/>
      <c r="DN169" s="371"/>
      <c r="DO169" s="371"/>
      <c r="DP169" s="371"/>
      <c r="DQ169" s="371"/>
      <c r="DR169" s="371"/>
      <c r="DS169" s="371"/>
      <c r="DT169" s="371"/>
      <c r="DU169" s="371"/>
      <c r="DV169" s="371"/>
      <c r="DW169" s="371"/>
      <c r="DX169" s="371"/>
      <c r="DY169" s="371"/>
      <c r="DZ169" s="371"/>
      <c r="EA169" s="371"/>
      <c r="EB169" s="371"/>
      <c r="EC169" s="371"/>
      <c r="ED169" s="371"/>
      <c r="EE169" s="371"/>
      <c r="EF169" s="371"/>
      <c r="EG169" s="371"/>
      <c r="EH169" s="371"/>
      <c r="EI169" s="371"/>
      <c r="EJ169" s="371"/>
      <c r="EK169" s="371"/>
      <c r="EL169" s="371"/>
      <c r="EM169" s="371"/>
      <c r="EN169" s="371"/>
      <c r="EO169" s="371"/>
      <c r="EP169" s="371"/>
      <c r="EQ169" s="371"/>
      <c r="ER169" s="371"/>
      <c r="ES169" s="371"/>
      <c r="ET169" s="371"/>
      <c r="EU169" s="371"/>
      <c r="EV169" s="371"/>
      <c r="EW169" s="371"/>
      <c r="EX169" s="371"/>
      <c r="EY169" s="371"/>
      <c r="EZ169" s="371"/>
      <c r="FA169" s="371"/>
      <c r="FB169" s="371"/>
      <c r="FC169" s="371"/>
      <c r="FD169" s="371"/>
      <c r="FE169" s="371"/>
      <c r="FF169" s="371"/>
      <c r="FG169" s="371"/>
      <c r="FH169" s="371"/>
      <c r="FI169" s="371"/>
      <c r="FJ169" s="371"/>
      <c r="FK169" s="371"/>
      <c r="FL169" s="371"/>
      <c r="FM169" s="371"/>
      <c r="FN169" s="371"/>
      <c r="FO169" s="371"/>
      <c r="FP169" s="371"/>
      <c r="FQ169" s="371"/>
      <c r="FR169" s="371"/>
      <c r="FS169" s="371"/>
      <c r="FT169" s="371"/>
      <c r="FU169" s="371"/>
      <c r="FV169" s="371"/>
      <c r="FW169" s="371"/>
      <c r="FX169" s="371"/>
      <c r="FY169" s="371"/>
      <c r="FZ169" s="371"/>
      <c r="GA169" s="371"/>
      <c r="GB169" s="371"/>
      <c r="GC169" s="371"/>
      <c r="GD169" s="371"/>
      <c r="GE169" s="371"/>
      <c r="GF169" s="371"/>
      <c r="GG169" s="371"/>
      <c r="GH169" s="371"/>
      <c r="GI169" s="371"/>
      <c r="GJ169" s="371"/>
      <c r="GK169" s="371"/>
      <c r="GL169" s="371"/>
      <c r="GM169" s="371"/>
      <c r="GN169" s="371"/>
      <c r="GO169" s="371"/>
      <c r="GP169" s="371"/>
      <c r="GQ169" s="371"/>
      <c r="GR169" s="371"/>
      <c r="GS169" s="371"/>
      <c r="GT169" s="371"/>
      <c r="GU169" s="371"/>
      <c r="GV169" s="371"/>
      <c r="GW169" s="371"/>
      <c r="GX169" s="371"/>
      <c r="GY169" s="371"/>
      <c r="GZ169" s="371"/>
      <c r="HA169" s="371"/>
      <c r="HB169" s="371"/>
      <c r="HC169" s="371"/>
      <c r="HD169" s="371"/>
      <c r="HE169" s="371"/>
      <c r="HF169" s="371"/>
      <c r="HG169" s="371"/>
      <c r="HH169" s="371"/>
      <c r="HI169" s="371"/>
      <c r="HJ169" s="371"/>
      <c r="HK169" s="371"/>
      <c r="HL169" s="371"/>
      <c r="HM169" s="371"/>
      <c r="HN169" s="371"/>
      <c r="HO169" s="371"/>
      <c r="HP169" s="371"/>
      <c r="HQ169" s="371"/>
      <c r="HR169" s="371"/>
      <c r="HS169" s="371"/>
      <c r="HT169" s="371"/>
      <c r="HU169" s="371"/>
      <c r="HV169" s="371"/>
      <c r="HW169" s="371"/>
      <c r="HX169" s="371"/>
      <c r="HY169" s="371"/>
      <c r="HZ169" s="371"/>
      <c r="IA169" s="371"/>
      <c r="IB169" s="371"/>
      <c r="IC169" s="371"/>
      <c r="ID169" s="371"/>
      <c r="IE169" s="371"/>
      <c r="IF169" s="371"/>
      <c r="IG169" s="371"/>
      <c r="IH169" s="371"/>
      <c r="II169" s="371"/>
      <c r="IJ169" s="371"/>
      <c r="IK169" s="371"/>
      <c r="IL169" s="371"/>
      <c r="IM169" s="371"/>
      <c r="IN169" s="371"/>
      <c r="IO169" s="371"/>
      <c r="IP169" s="371"/>
      <c r="IQ169" s="371"/>
      <c r="IR169" s="371"/>
      <c r="IS169" s="371"/>
      <c r="IT169" s="371"/>
      <c r="IU169" s="371"/>
      <c r="IV169" s="371"/>
    </row>
    <row r="170" spans="1:256" ht="14.25" x14ac:dyDescent="0.2">
      <c r="A170" s="241"/>
      <c r="B170" s="241"/>
      <c r="C170" s="241"/>
      <c r="D170" s="241"/>
      <c r="E170" s="241"/>
      <c r="F170" s="241"/>
      <c r="G170" s="241"/>
      <c r="H170" s="241"/>
      <c r="I170" s="241"/>
      <c r="J170" s="241"/>
      <c r="K170" s="241"/>
      <c r="L170" s="241"/>
      <c r="M170" s="374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75"/>
      <c r="AA170" s="375"/>
      <c r="AB170" s="375"/>
      <c r="AC170" s="375"/>
      <c r="AD170" s="375"/>
      <c r="AE170" s="375"/>
      <c r="AF170" s="375"/>
      <c r="AG170" s="375"/>
      <c r="AH170" s="375"/>
      <c r="AI170" s="375"/>
      <c r="AJ170" s="375"/>
      <c r="AK170" s="375"/>
      <c r="AL170" s="375"/>
      <c r="AM170" s="375"/>
      <c r="AN170" s="375"/>
      <c r="AO170" s="375"/>
      <c r="AP170" s="375"/>
      <c r="AQ170" s="375"/>
      <c r="AR170" s="375"/>
      <c r="AS170" s="375"/>
      <c r="AT170" s="375"/>
      <c r="AU170" s="375"/>
      <c r="AV170" s="375"/>
      <c r="AW170" s="375"/>
      <c r="AX170" s="375"/>
      <c r="AY170" s="375"/>
      <c r="AZ170" s="375"/>
      <c r="BA170" s="375"/>
      <c r="BB170" s="375"/>
      <c r="BC170" s="375"/>
      <c r="BD170" s="375"/>
      <c r="BE170" s="375"/>
      <c r="BF170" s="375"/>
      <c r="BG170" s="375"/>
      <c r="BH170" s="375"/>
      <c r="BI170" s="375"/>
      <c r="BJ170" s="375"/>
      <c r="BK170" s="375"/>
      <c r="BL170" s="375"/>
      <c r="BM170" s="375"/>
      <c r="BN170" s="375"/>
      <c r="BO170" s="375"/>
      <c r="BP170" s="375"/>
      <c r="BQ170" s="375"/>
      <c r="BR170" s="375"/>
      <c r="BS170" s="375"/>
      <c r="BT170" s="375"/>
      <c r="BU170" s="375"/>
      <c r="BV170" s="375"/>
      <c r="BW170" s="375"/>
      <c r="BX170" s="375"/>
      <c r="BY170" s="375"/>
      <c r="BZ170" s="375"/>
      <c r="CA170" s="375"/>
      <c r="CB170" s="375"/>
      <c r="CC170" s="375"/>
      <c r="CD170" s="375"/>
      <c r="CE170" s="375"/>
      <c r="CF170" s="375"/>
      <c r="CG170" s="375"/>
      <c r="CH170" s="375"/>
      <c r="CI170" s="375"/>
      <c r="CJ170" s="375"/>
      <c r="CK170" s="375"/>
      <c r="CL170" s="375"/>
      <c r="CM170" s="375"/>
      <c r="CN170" s="375"/>
      <c r="CO170" s="375"/>
      <c r="CP170" s="375"/>
      <c r="CQ170" s="375"/>
      <c r="CR170" s="375"/>
      <c r="CS170" s="375"/>
      <c r="CT170" s="375"/>
      <c r="CU170" s="375"/>
      <c r="CV170" s="375"/>
      <c r="CW170" s="375"/>
      <c r="CX170" s="375"/>
      <c r="CY170" s="375"/>
      <c r="CZ170" s="375"/>
      <c r="DA170" s="375"/>
      <c r="DB170" s="375"/>
      <c r="DC170" s="375"/>
      <c r="DD170" s="375"/>
      <c r="DE170" s="375"/>
      <c r="DF170" s="375"/>
      <c r="DG170" s="375"/>
      <c r="DH170" s="375"/>
      <c r="DI170" s="375"/>
      <c r="DJ170" s="375"/>
      <c r="DK170" s="375"/>
      <c r="DL170" s="375"/>
      <c r="DM170" s="375"/>
      <c r="DN170" s="375"/>
      <c r="DO170" s="375"/>
      <c r="DP170" s="375"/>
      <c r="DQ170" s="375"/>
      <c r="DR170" s="375"/>
      <c r="DS170" s="375"/>
      <c r="DT170" s="375"/>
      <c r="DU170" s="375"/>
      <c r="DV170" s="375"/>
      <c r="DW170" s="375"/>
      <c r="DX170" s="375"/>
      <c r="DY170" s="375"/>
      <c r="DZ170" s="375"/>
      <c r="EA170" s="375"/>
      <c r="EB170" s="375"/>
      <c r="EC170" s="375"/>
      <c r="ED170" s="375"/>
      <c r="EE170" s="375"/>
      <c r="EF170" s="375"/>
      <c r="EG170" s="375"/>
      <c r="EH170" s="375"/>
      <c r="EI170" s="375"/>
      <c r="EJ170" s="375"/>
      <c r="EK170" s="375"/>
      <c r="EL170" s="375"/>
      <c r="EM170" s="375"/>
      <c r="EN170" s="375"/>
      <c r="EO170" s="375"/>
      <c r="EP170" s="375"/>
      <c r="EQ170" s="375"/>
      <c r="ER170" s="375"/>
      <c r="ES170" s="375"/>
      <c r="ET170" s="375"/>
      <c r="EU170" s="375"/>
      <c r="EV170" s="375"/>
      <c r="EW170" s="375"/>
      <c r="EX170" s="375"/>
      <c r="EY170" s="375"/>
      <c r="EZ170" s="375"/>
      <c r="FA170" s="375"/>
      <c r="FB170" s="375"/>
      <c r="FC170" s="375"/>
      <c r="FD170" s="375"/>
      <c r="FE170" s="375"/>
      <c r="FF170" s="375"/>
      <c r="FG170" s="375"/>
      <c r="FH170" s="375"/>
      <c r="FI170" s="375"/>
      <c r="FJ170" s="375"/>
      <c r="FK170" s="375"/>
      <c r="FL170" s="375"/>
      <c r="FM170" s="375"/>
      <c r="FN170" s="375"/>
      <c r="FO170" s="375"/>
      <c r="FP170" s="375"/>
      <c r="FQ170" s="375"/>
      <c r="FR170" s="375"/>
      <c r="FS170" s="375"/>
      <c r="FT170" s="375"/>
      <c r="FU170" s="375"/>
      <c r="FV170" s="375"/>
      <c r="FW170" s="375"/>
      <c r="FX170" s="375"/>
      <c r="FY170" s="375"/>
      <c r="FZ170" s="375"/>
      <c r="GA170" s="375"/>
      <c r="GB170" s="375"/>
      <c r="GC170" s="375"/>
      <c r="GD170" s="375"/>
      <c r="GE170" s="375"/>
      <c r="GF170" s="375"/>
      <c r="GG170" s="375"/>
      <c r="GH170" s="375"/>
      <c r="GI170" s="375"/>
      <c r="GJ170" s="375"/>
      <c r="GK170" s="375"/>
      <c r="GL170" s="375"/>
      <c r="GM170" s="375"/>
      <c r="GN170" s="375"/>
      <c r="GO170" s="375"/>
      <c r="GP170" s="375"/>
      <c r="GQ170" s="375"/>
      <c r="GR170" s="375"/>
      <c r="GS170" s="375"/>
      <c r="GT170" s="375"/>
      <c r="GU170" s="375"/>
      <c r="GV170" s="375"/>
      <c r="GW170" s="375"/>
      <c r="GX170" s="375"/>
      <c r="GY170" s="375"/>
      <c r="GZ170" s="375"/>
      <c r="HA170" s="375"/>
      <c r="HB170" s="375"/>
      <c r="HC170" s="375"/>
      <c r="HD170" s="375"/>
      <c r="HE170" s="375"/>
      <c r="HF170" s="375"/>
      <c r="HG170" s="375"/>
      <c r="HH170" s="375"/>
      <c r="HI170" s="375"/>
      <c r="HJ170" s="375"/>
      <c r="HK170" s="375"/>
      <c r="HL170" s="375"/>
      <c r="HM170" s="375"/>
      <c r="HN170" s="375"/>
      <c r="HO170" s="375"/>
      <c r="HP170" s="375"/>
      <c r="HQ170" s="375"/>
      <c r="HR170" s="375"/>
      <c r="HS170" s="375"/>
      <c r="HT170" s="375"/>
      <c r="HU170" s="375"/>
      <c r="HV170" s="375"/>
      <c r="HW170" s="375"/>
      <c r="HX170" s="375"/>
      <c r="HY170" s="375"/>
      <c r="HZ170" s="375"/>
      <c r="IA170" s="375"/>
      <c r="IB170" s="375"/>
      <c r="IC170" s="375"/>
      <c r="ID170" s="375"/>
      <c r="IE170" s="375"/>
      <c r="IF170" s="375"/>
      <c r="IG170" s="375"/>
      <c r="IH170" s="375"/>
      <c r="II170" s="375"/>
      <c r="IJ170" s="375"/>
      <c r="IK170" s="375"/>
      <c r="IL170" s="375"/>
      <c r="IM170" s="375"/>
      <c r="IN170" s="375"/>
      <c r="IO170" s="375"/>
      <c r="IP170" s="375"/>
      <c r="IQ170" s="375"/>
      <c r="IR170" s="375"/>
      <c r="IS170" s="375"/>
      <c r="IT170" s="375"/>
      <c r="IU170" s="375"/>
      <c r="IV170" s="375"/>
    </row>
    <row r="171" spans="1:256" ht="14.25" x14ac:dyDescent="0.2">
      <c r="A171" s="241"/>
      <c r="B171" s="241"/>
      <c r="C171" s="241"/>
      <c r="D171" s="241"/>
      <c r="E171" s="241"/>
      <c r="F171" s="241"/>
      <c r="G171" s="241"/>
      <c r="H171" s="241"/>
      <c r="I171" s="241"/>
      <c r="J171" s="241"/>
      <c r="K171" s="241"/>
      <c r="L171" s="241"/>
      <c r="M171" s="374"/>
      <c r="N171" s="375"/>
      <c r="O171" s="375"/>
      <c r="P171" s="375"/>
      <c r="Q171" s="375"/>
      <c r="R171" s="375"/>
      <c r="S171" s="375"/>
      <c r="T171" s="375"/>
      <c r="U171" s="375"/>
      <c r="V171" s="375"/>
      <c r="W171" s="375"/>
      <c r="X171" s="375"/>
      <c r="Y171" s="375"/>
      <c r="Z171" s="375"/>
      <c r="AA171" s="375"/>
      <c r="AB171" s="375"/>
      <c r="AC171" s="375"/>
      <c r="AD171" s="375"/>
      <c r="AE171" s="375"/>
      <c r="AF171" s="375"/>
      <c r="AG171" s="375"/>
      <c r="AH171" s="375"/>
      <c r="AI171" s="375"/>
      <c r="AJ171" s="375"/>
      <c r="AK171" s="375"/>
      <c r="AL171" s="375"/>
      <c r="AM171" s="375"/>
      <c r="AN171" s="375"/>
      <c r="AO171" s="375"/>
      <c r="AP171" s="375"/>
      <c r="AQ171" s="375"/>
      <c r="AR171" s="375"/>
      <c r="AS171" s="375"/>
      <c r="AT171" s="375"/>
      <c r="AU171" s="375"/>
      <c r="AV171" s="375"/>
      <c r="AW171" s="375"/>
      <c r="AX171" s="375"/>
      <c r="AY171" s="375"/>
      <c r="AZ171" s="375"/>
      <c r="BA171" s="375"/>
      <c r="BB171" s="375"/>
      <c r="BC171" s="375"/>
      <c r="BD171" s="375"/>
      <c r="BE171" s="375"/>
      <c r="BF171" s="375"/>
      <c r="BG171" s="375"/>
      <c r="BH171" s="375"/>
      <c r="BI171" s="375"/>
      <c r="BJ171" s="375"/>
      <c r="BK171" s="375"/>
      <c r="BL171" s="375"/>
      <c r="BM171" s="375"/>
      <c r="BN171" s="375"/>
      <c r="BO171" s="375"/>
      <c r="BP171" s="375"/>
      <c r="BQ171" s="375"/>
      <c r="BR171" s="375"/>
      <c r="BS171" s="375"/>
      <c r="BT171" s="375"/>
      <c r="BU171" s="375"/>
      <c r="BV171" s="375"/>
      <c r="BW171" s="375"/>
      <c r="BX171" s="375"/>
      <c r="BY171" s="375"/>
      <c r="BZ171" s="375"/>
      <c r="CA171" s="375"/>
      <c r="CB171" s="375"/>
      <c r="CC171" s="375"/>
      <c r="CD171" s="375"/>
      <c r="CE171" s="375"/>
      <c r="CF171" s="375"/>
      <c r="CG171" s="375"/>
      <c r="CH171" s="375"/>
      <c r="CI171" s="375"/>
      <c r="CJ171" s="375"/>
      <c r="CK171" s="375"/>
      <c r="CL171" s="375"/>
      <c r="CM171" s="375"/>
      <c r="CN171" s="375"/>
      <c r="CO171" s="375"/>
      <c r="CP171" s="375"/>
      <c r="CQ171" s="375"/>
      <c r="CR171" s="375"/>
      <c r="CS171" s="375"/>
      <c r="CT171" s="375"/>
      <c r="CU171" s="375"/>
      <c r="CV171" s="375"/>
      <c r="CW171" s="375"/>
      <c r="CX171" s="375"/>
      <c r="CY171" s="375"/>
      <c r="CZ171" s="375"/>
      <c r="DA171" s="375"/>
      <c r="DB171" s="375"/>
      <c r="DC171" s="375"/>
      <c r="DD171" s="375"/>
      <c r="DE171" s="375"/>
      <c r="DF171" s="375"/>
      <c r="DG171" s="375"/>
      <c r="DH171" s="375"/>
      <c r="DI171" s="375"/>
      <c r="DJ171" s="375"/>
      <c r="DK171" s="375"/>
      <c r="DL171" s="375"/>
      <c r="DM171" s="375"/>
      <c r="DN171" s="375"/>
      <c r="DO171" s="375"/>
      <c r="DP171" s="375"/>
      <c r="DQ171" s="375"/>
      <c r="DR171" s="375"/>
      <c r="DS171" s="375"/>
      <c r="DT171" s="375"/>
      <c r="DU171" s="375"/>
      <c r="DV171" s="375"/>
      <c r="DW171" s="375"/>
      <c r="DX171" s="375"/>
      <c r="DY171" s="375"/>
      <c r="DZ171" s="375"/>
      <c r="EA171" s="375"/>
      <c r="EB171" s="375"/>
      <c r="EC171" s="375"/>
      <c r="ED171" s="375"/>
      <c r="EE171" s="375"/>
      <c r="EF171" s="375"/>
      <c r="EG171" s="375"/>
      <c r="EH171" s="375"/>
      <c r="EI171" s="375"/>
      <c r="EJ171" s="375"/>
      <c r="EK171" s="375"/>
      <c r="EL171" s="375"/>
      <c r="EM171" s="375"/>
      <c r="EN171" s="375"/>
      <c r="EO171" s="375"/>
      <c r="EP171" s="375"/>
      <c r="EQ171" s="375"/>
      <c r="ER171" s="375"/>
      <c r="ES171" s="375"/>
      <c r="ET171" s="375"/>
      <c r="EU171" s="375"/>
      <c r="EV171" s="375"/>
      <c r="EW171" s="375"/>
      <c r="EX171" s="375"/>
      <c r="EY171" s="375"/>
      <c r="EZ171" s="375"/>
      <c r="FA171" s="375"/>
      <c r="FB171" s="375"/>
      <c r="FC171" s="375"/>
      <c r="FD171" s="375"/>
      <c r="FE171" s="375"/>
      <c r="FF171" s="375"/>
      <c r="FG171" s="375"/>
      <c r="FH171" s="375"/>
      <c r="FI171" s="375"/>
      <c r="FJ171" s="375"/>
      <c r="FK171" s="375"/>
      <c r="FL171" s="375"/>
      <c r="FM171" s="375"/>
      <c r="FN171" s="375"/>
      <c r="FO171" s="375"/>
      <c r="FP171" s="375"/>
      <c r="FQ171" s="375"/>
      <c r="FR171" s="375"/>
      <c r="FS171" s="375"/>
      <c r="FT171" s="375"/>
      <c r="FU171" s="375"/>
      <c r="FV171" s="375"/>
      <c r="FW171" s="375"/>
      <c r="FX171" s="375"/>
      <c r="FY171" s="375"/>
      <c r="FZ171" s="375"/>
      <c r="GA171" s="375"/>
      <c r="GB171" s="375"/>
      <c r="GC171" s="375"/>
      <c r="GD171" s="375"/>
      <c r="GE171" s="375"/>
      <c r="GF171" s="375"/>
      <c r="GG171" s="375"/>
      <c r="GH171" s="375"/>
      <c r="GI171" s="375"/>
      <c r="GJ171" s="375"/>
      <c r="GK171" s="375"/>
      <c r="GL171" s="375"/>
      <c r="GM171" s="375"/>
      <c r="GN171" s="375"/>
      <c r="GO171" s="375"/>
      <c r="GP171" s="375"/>
      <c r="GQ171" s="375"/>
      <c r="GR171" s="375"/>
      <c r="GS171" s="375"/>
      <c r="GT171" s="375"/>
      <c r="GU171" s="375"/>
      <c r="GV171" s="375"/>
      <c r="GW171" s="375"/>
      <c r="GX171" s="375"/>
      <c r="GY171" s="375"/>
      <c r="GZ171" s="375"/>
      <c r="HA171" s="375"/>
      <c r="HB171" s="375"/>
      <c r="HC171" s="375"/>
      <c r="HD171" s="375"/>
      <c r="HE171" s="375"/>
      <c r="HF171" s="375"/>
      <c r="HG171" s="375"/>
      <c r="HH171" s="375"/>
      <c r="HI171" s="375"/>
      <c r="HJ171" s="375"/>
      <c r="HK171" s="375"/>
      <c r="HL171" s="375"/>
      <c r="HM171" s="375"/>
      <c r="HN171" s="375"/>
      <c r="HO171" s="375"/>
      <c r="HP171" s="375"/>
      <c r="HQ171" s="375"/>
      <c r="HR171" s="375"/>
      <c r="HS171" s="375"/>
      <c r="HT171" s="375"/>
      <c r="HU171" s="375"/>
      <c r="HV171" s="375"/>
      <c r="HW171" s="375"/>
      <c r="HX171" s="375"/>
      <c r="HY171" s="375"/>
      <c r="HZ171" s="375"/>
      <c r="IA171" s="375"/>
      <c r="IB171" s="375"/>
      <c r="IC171" s="375"/>
      <c r="ID171" s="375"/>
      <c r="IE171" s="375"/>
      <c r="IF171" s="375"/>
      <c r="IG171" s="375"/>
      <c r="IH171" s="375"/>
      <c r="II171" s="375"/>
      <c r="IJ171" s="375"/>
      <c r="IK171" s="375"/>
      <c r="IL171" s="375"/>
      <c r="IM171" s="375"/>
      <c r="IN171" s="375"/>
      <c r="IO171" s="375"/>
      <c r="IP171" s="375"/>
      <c r="IQ171" s="375"/>
      <c r="IR171" s="375"/>
      <c r="IS171" s="375"/>
      <c r="IT171" s="375"/>
      <c r="IU171" s="375"/>
      <c r="IV171" s="375"/>
    </row>
    <row r="172" spans="1:256" ht="15" x14ac:dyDescent="0.25">
      <c r="A172" s="368"/>
      <c r="B172" s="368"/>
      <c r="C172" s="368"/>
      <c r="D172" s="379" t="s">
        <v>198</v>
      </c>
      <c r="E172" s="377"/>
      <c r="F172" s="377"/>
      <c r="G172" s="377"/>
      <c r="H172" s="377"/>
      <c r="I172" s="377"/>
      <c r="J172" s="382">
        <f>(J163-J166)*0.925+J166</f>
        <v>135956.59</v>
      </c>
      <c r="K172" s="382"/>
      <c r="L172" s="382">
        <f>L163*0.925</f>
        <v>659613.1</v>
      </c>
      <c r="M172" s="287" t="e">
        <v>#REF!</v>
      </c>
      <c r="N172" s="275"/>
      <c r="O172" s="275"/>
      <c r="P172" s="275"/>
      <c r="Q172" s="275"/>
      <c r="R172" s="275"/>
      <c r="S172" s="275"/>
      <c r="T172" s="275"/>
      <c r="U172" s="275"/>
      <c r="V172" s="275"/>
      <c r="W172" s="275"/>
      <c r="X172" s="275"/>
      <c r="Y172" s="275"/>
      <c r="Z172" s="275"/>
      <c r="AA172" s="275"/>
      <c r="AB172" s="275"/>
      <c r="AC172" s="275"/>
      <c r="AD172" s="275"/>
      <c r="AE172" s="275"/>
      <c r="AF172" s="275"/>
      <c r="AG172" s="275"/>
      <c r="AH172" s="275"/>
      <c r="AI172" s="275"/>
      <c r="AJ172" s="275"/>
      <c r="AK172" s="275"/>
      <c r="AL172" s="275"/>
      <c r="AM172" s="275"/>
      <c r="AN172" s="275"/>
      <c r="AO172" s="275"/>
      <c r="AP172" s="275"/>
      <c r="AQ172" s="275"/>
      <c r="AR172" s="275"/>
      <c r="AS172" s="275"/>
      <c r="AT172" s="275"/>
      <c r="AU172" s="275"/>
      <c r="AV172" s="275"/>
      <c r="AW172" s="275"/>
      <c r="AX172" s="275"/>
      <c r="AY172" s="275"/>
      <c r="AZ172" s="275"/>
      <c r="BA172" s="275"/>
      <c r="BB172" s="275"/>
      <c r="BC172" s="275"/>
      <c r="BD172" s="275"/>
      <c r="BE172" s="275"/>
      <c r="BF172" s="275"/>
      <c r="BG172" s="275"/>
      <c r="BH172" s="275"/>
      <c r="BI172" s="275"/>
      <c r="BJ172" s="275"/>
      <c r="BK172" s="275"/>
      <c r="BL172" s="275"/>
      <c r="BM172" s="275"/>
      <c r="BN172" s="275"/>
      <c r="BO172" s="275"/>
      <c r="BP172" s="275"/>
      <c r="BQ172" s="275"/>
      <c r="BR172" s="275"/>
      <c r="BS172" s="275"/>
      <c r="BT172" s="275"/>
      <c r="BU172" s="275"/>
      <c r="BV172" s="275"/>
      <c r="BW172" s="275"/>
      <c r="BX172" s="275"/>
      <c r="BY172" s="275"/>
      <c r="BZ172" s="275"/>
      <c r="CA172" s="275"/>
      <c r="CB172" s="275"/>
      <c r="CC172" s="275"/>
      <c r="CD172" s="275"/>
      <c r="CE172" s="275"/>
      <c r="CF172" s="275"/>
      <c r="CG172" s="275"/>
      <c r="CH172" s="275"/>
      <c r="CI172" s="275"/>
      <c r="CJ172" s="275"/>
      <c r="CK172" s="275"/>
      <c r="CL172" s="275"/>
      <c r="CM172" s="275"/>
      <c r="CN172" s="275"/>
      <c r="CO172" s="275"/>
      <c r="CP172" s="275"/>
      <c r="CQ172" s="275"/>
      <c r="CR172" s="275"/>
      <c r="CS172" s="275"/>
      <c r="CT172" s="275"/>
      <c r="CU172" s="275"/>
      <c r="CV172" s="275"/>
      <c r="CW172" s="275"/>
      <c r="CX172" s="275"/>
      <c r="CY172" s="275"/>
      <c r="CZ172" s="275"/>
      <c r="DA172" s="275"/>
      <c r="DB172" s="275"/>
      <c r="DC172" s="275"/>
      <c r="DD172" s="275"/>
      <c r="DE172" s="275"/>
      <c r="DF172" s="275"/>
      <c r="DG172" s="275"/>
      <c r="DH172" s="275"/>
      <c r="DI172" s="275"/>
      <c r="DJ172" s="275"/>
      <c r="DK172" s="275"/>
      <c r="DL172" s="275"/>
      <c r="DM172" s="275"/>
      <c r="DN172" s="275"/>
      <c r="DO172" s="275"/>
      <c r="DP172" s="275"/>
      <c r="DQ172" s="275"/>
      <c r="DR172" s="275"/>
      <c r="DS172" s="275"/>
      <c r="DT172" s="275"/>
      <c r="DU172" s="275"/>
      <c r="DV172" s="275"/>
      <c r="DW172" s="275"/>
      <c r="DX172" s="275"/>
      <c r="DY172" s="275"/>
      <c r="DZ172" s="275"/>
      <c r="EA172" s="275"/>
      <c r="EB172" s="275"/>
      <c r="EC172" s="275"/>
      <c r="ED172" s="275"/>
      <c r="EE172" s="275"/>
      <c r="EF172" s="275"/>
      <c r="EG172" s="275"/>
      <c r="EH172" s="275"/>
      <c r="EI172" s="275"/>
      <c r="EJ172" s="275"/>
      <c r="EK172" s="275"/>
      <c r="EL172" s="275"/>
      <c r="EM172" s="275"/>
      <c r="EN172" s="275"/>
      <c r="EO172" s="275"/>
      <c r="EP172" s="275"/>
      <c r="EQ172" s="275"/>
      <c r="ER172" s="275"/>
      <c r="ES172" s="275"/>
      <c r="ET172" s="275"/>
      <c r="EU172" s="275"/>
      <c r="EV172" s="275"/>
      <c r="EW172" s="275"/>
      <c r="EX172" s="275"/>
      <c r="EY172" s="275"/>
      <c r="EZ172" s="275"/>
      <c r="FA172" s="275"/>
      <c r="FB172" s="275"/>
      <c r="FC172" s="275"/>
      <c r="FD172" s="275"/>
      <c r="FE172" s="275"/>
      <c r="FF172" s="275"/>
      <c r="FG172" s="275"/>
      <c r="FH172" s="275"/>
      <c r="FI172" s="275"/>
      <c r="FJ172" s="275"/>
      <c r="FK172" s="275"/>
      <c r="FL172" s="275"/>
      <c r="FM172" s="275"/>
      <c r="FN172" s="275"/>
      <c r="FO172" s="275"/>
      <c r="FP172" s="275"/>
      <c r="FQ172" s="275"/>
      <c r="FR172" s="275"/>
      <c r="FS172" s="275"/>
      <c r="FT172" s="275"/>
      <c r="FU172" s="275"/>
      <c r="FV172" s="275"/>
      <c r="FW172" s="275"/>
      <c r="FX172" s="275"/>
      <c r="FY172" s="275"/>
      <c r="FZ172" s="275"/>
      <c r="GA172" s="275"/>
      <c r="GB172" s="275"/>
      <c r="GC172" s="275"/>
      <c r="GD172" s="275"/>
      <c r="GE172" s="275"/>
      <c r="GF172" s="275"/>
      <c r="GG172" s="275"/>
      <c r="GH172" s="275"/>
      <c r="GI172" s="275"/>
      <c r="GJ172" s="275"/>
      <c r="GK172" s="275"/>
      <c r="GL172" s="275"/>
      <c r="GM172" s="275"/>
      <c r="GN172" s="275"/>
      <c r="GO172" s="275"/>
      <c r="GP172" s="275"/>
      <c r="GQ172" s="275"/>
      <c r="GR172" s="275"/>
      <c r="GS172" s="275"/>
      <c r="GT172" s="275"/>
      <c r="GU172" s="275"/>
      <c r="GV172" s="275"/>
      <c r="GW172" s="275"/>
      <c r="GX172" s="275"/>
      <c r="GY172" s="275"/>
      <c r="GZ172" s="275"/>
      <c r="HA172" s="275"/>
      <c r="HB172" s="275"/>
      <c r="HC172" s="275"/>
      <c r="HD172" s="275"/>
      <c r="HE172" s="275"/>
      <c r="HF172" s="275"/>
      <c r="HG172" s="275"/>
      <c r="HH172" s="275"/>
      <c r="HI172" s="275"/>
      <c r="HJ172" s="275"/>
      <c r="HK172" s="275"/>
      <c r="HL172" s="275"/>
      <c r="HM172" s="275"/>
      <c r="HN172" s="275"/>
      <c r="HO172" s="275"/>
      <c r="HP172" s="275"/>
      <c r="HQ172" s="275"/>
      <c r="HR172" s="275"/>
      <c r="HS172" s="275"/>
      <c r="HT172" s="275"/>
      <c r="HU172" s="275"/>
      <c r="HV172" s="275"/>
      <c r="HW172" s="275"/>
      <c r="HX172" s="275"/>
      <c r="HY172" s="275"/>
      <c r="HZ172" s="275"/>
      <c r="IA172" s="275"/>
      <c r="IB172" s="275"/>
      <c r="IC172" s="275"/>
      <c r="ID172" s="275"/>
      <c r="IE172" s="275"/>
      <c r="IF172" s="275"/>
      <c r="IG172" s="275"/>
      <c r="IH172" s="275"/>
      <c r="II172" s="275"/>
      <c r="IJ172" s="275"/>
      <c r="IK172" s="275"/>
      <c r="IL172" s="275"/>
      <c r="IM172" s="275"/>
      <c r="IN172" s="275"/>
      <c r="IO172" s="275"/>
      <c r="IP172" s="275"/>
      <c r="IQ172" s="275"/>
      <c r="IR172" s="275"/>
      <c r="IS172" s="275"/>
      <c r="IT172" s="275"/>
      <c r="IU172" s="275"/>
      <c r="IV172" s="275"/>
    </row>
    <row r="173" spans="1:256" ht="15" x14ac:dyDescent="0.25">
      <c r="A173" s="368"/>
      <c r="B173" s="368"/>
      <c r="C173" s="368"/>
      <c r="D173" s="377" t="s">
        <v>69</v>
      </c>
      <c r="E173" s="377"/>
      <c r="F173" s="377"/>
      <c r="G173" s="377"/>
      <c r="H173" s="377"/>
      <c r="I173" s="377"/>
      <c r="J173" s="378">
        <f>J172</f>
        <v>135956.59</v>
      </c>
      <c r="K173" s="378"/>
      <c r="L173" s="378">
        <f>L172</f>
        <v>659613.1</v>
      </c>
      <c r="M173" s="287"/>
      <c r="N173" s="275"/>
      <c r="O173" s="275"/>
      <c r="P173" s="275"/>
      <c r="Q173" s="275"/>
      <c r="R173" s="275"/>
      <c r="S173" s="275"/>
      <c r="T173" s="275"/>
      <c r="U173" s="275"/>
      <c r="V173" s="275"/>
      <c r="W173" s="275"/>
      <c r="X173" s="275"/>
      <c r="Y173" s="275"/>
      <c r="Z173" s="275"/>
      <c r="AA173" s="275"/>
      <c r="AB173" s="275"/>
      <c r="AC173" s="275"/>
      <c r="AD173" s="275"/>
      <c r="AE173" s="275"/>
      <c r="AF173" s="275"/>
      <c r="AG173" s="275"/>
      <c r="AH173" s="275"/>
      <c r="AI173" s="275"/>
      <c r="AJ173" s="275"/>
      <c r="AK173" s="275"/>
      <c r="AL173" s="275"/>
      <c r="AM173" s="275"/>
      <c r="AN173" s="275"/>
      <c r="AO173" s="275"/>
      <c r="AP173" s="275"/>
      <c r="AQ173" s="275"/>
      <c r="AR173" s="275"/>
      <c r="AS173" s="275"/>
      <c r="AT173" s="275"/>
      <c r="AU173" s="275"/>
      <c r="AV173" s="275"/>
      <c r="AW173" s="275"/>
      <c r="AX173" s="275"/>
      <c r="AY173" s="275"/>
      <c r="AZ173" s="275"/>
      <c r="BA173" s="275"/>
      <c r="BB173" s="275"/>
      <c r="BC173" s="275"/>
      <c r="BD173" s="275"/>
      <c r="BE173" s="275"/>
      <c r="BF173" s="275"/>
      <c r="BG173" s="275"/>
      <c r="BH173" s="275"/>
      <c r="BI173" s="275"/>
      <c r="BJ173" s="275"/>
      <c r="BK173" s="275"/>
      <c r="BL173" s="275"/>
      <c r="BM173" s="275"/>
      <c r="BN173" s="275"/>
      <c r="BO173" s="275"/>
      <c r="BP173" s="275"/>
      <c r="BQ173" s="275"/>
      <c r="BR173" s="275"/>
      <c r="BS173" s="275"/>
      <c r="BT173" s="275"/>
      <c r="BU173" s="275"/>
      <c r="BV173" s="275"/>
      <c r="BW173" s="275"/>
      <c r="BX173" s="275"/>
      <c r="BY173" s="275"/>
      <c r="BZ173" s="275"/>
      <c r="CA173" s="275"/>
      <c r="CB173" s="275"/>
      <c r="CC173" s="275"/>
      <c r="CD173" s="275"/>
      <c r="CE173" s="275"/>
      <c r="CF173" s="275"/>
      <c r="CG173" s="275"/>
      <c r="CH173" s="275"/>
      <c r="CI173" s="275"/>
      <c r="CJ173" s="275"/>
      <c r="CK173" s="275"/>
      <c r="CL173" s="275"/>
      <c r="CM173" s="275"/>
      <c r="CN173" s="275"/>
      <c r="CO173" s="275"/>
      <c r="CP173" s="275"/>
      <c r="CQ173" s="275"/>
      <c r="CR173" s="275"/>
      <c r="CS173" s="275"/>
      <c r="CT173" s="275"/>
      <c r="CU173" s="275"/>
      <c r="CV173" s="275"/>
      <c r="CW173" s="275"/>
      <c r="CX173" s="275"/>
      <c r="CY173" s="275"/>
      <c r="CZ173" s="275"/>
      <c r="DA173" s="275"/>
      <c r="DB173" s="275"/>
      <c r="DC173" s="275"/>
      <c r="DD173" s="275"/>
      <c r="DE173" s="275"/>
      <c r="DF173" s="275"/>
      <c r="DG173" s="275"/>
      <c r="DH173" s="275"/>
      <c r="DI173" s="275"/>
      <c r="DJ173" s="275"/>
      <c r="DK173" s="275"/>
      <c r="DL173" s="275"/>
      <c r="DM173" s="275"/>
      <c r="DN173" s="275"/>
      <c r="DO173" s="275"/>
      <c r="DP173" s="275"/>
      <c r="DQ173" s="275"/>
      <c r="DR173" s="275"/>
      <c r="DS173" s="275"/>
      <c r="DT173" s="275"/>
      <c r="DU173" s="275"/>
      <c r="DV173" s="275"/>
      <c r="DW173" s="275"/>
      <c r="DX173" s="275"/>
      <c r="DY173" s="275"/>
      <c r="DZ173" s="275"/>
      <c r="EA173" s="275"/>
      <c r="EB173" s="275"/>
      <c r="EC173" s="275"/>
      <c r="ED173" s="275"/>
      <c r="EE173" s="275"/>
      <c r="EF173" s="275"/>
      <c r="EG173" s="275"/>
      <c r="EH173" s="275"/>
      <c r="EI173" s="275"/>
      <c r="EJ173" s="275"/>
      <c r="EK173" s="275"/>
      <c r="EL173" s="275"/>
      <c r="EM173" s="275"/>
      <c r="EN173" s="275"/>
      <c r="EO173" s="275"/>
      <c r="EP173" s="275"/>
      <c r="EQ173" s="275"/>
      <c r="ER173" s="275"/>
      <c r="ES173" s="275"/>
      <c r="ET173" s="275"/>
      <c r="EU173" s="275"/>
      <c r="EV173" s="275"/>
      <c r="EW173" s="275"/>
      <c r="EX173" s="275"/>
      <c r="EY173" s="275"/>
      <c r="EZ173" s="275"/>
      <c r="FA173" s="275"/>
      <c r="FB173" s="275"/>
      <c r="FC173" s="275"/>
      <c r="FD173" s="275"/>
      <c r="FE173" s="275"/>
      <c r="FF173" s="275"/>
      <c r="FG173" s="275"/>
      <c r="FH173" s="275"/>
      <c r="FI173" s="275"/>
      <c r="FJ173" s="275"/>
      <c r="FK173" s="275"/>
      <c r="FL173" s="275"/>
      <c r="FM173" s="275"/>
      <c r="FN173" s="275"/>
      <c r="FO173" s="275"/>
      <c r="FP173" s="275"/>
      <c r="FQ173" s="275"/>
      <c r="FR173" s="275"/>
      <c r="FS173" s="275"/>
      <c r="FT173" s="275"/>
      <c r="FU173" s="275"/>
      <c r="FV173" s="275"/>
      <c r="FW173" s="275"/>
      <c r="FX173" s="275"/>
      <c r="FY173" s="275"/>
      <c r="FZ173" s="275"/>
      <c r="GA173" s="275"/>
      <c r="GB173" s="275"/>
      <c r="GC173" s="275"/>
      <c r="GD173" s="275"/>
      <c r="GE173" s="275"/>
      <c r="GF173" s="275"/>
      <c r="GG173" s="275"/>
      <c r="GH173" s="275"/>
      <c r="GI173" s="275"/>
      <c r="GJ173" s="275"/>
      <c r="GK173" s="275"/>
      <c r="GL173" s="275"/>
      <c r="GM173" s="275"/>
      <c r="GN173" s="275"/>
      <c r="GO173" s="275"/>
      <c r="GP173" s="275"/>
      <c r="GQ173" s="275"/>
      <c r="GR173" s="275"/>
      <c r="GS173" s="275"/>
      <c r="GT173" s="275"/>
      <c r="GU173" s="275"/>
      <c r="GV173" s="275"/>
      <c r="GW173" s="275"/>
      <c r="GX173" s="275"/>
      <c r="GY173" s="275"/>
      <c r="GZ173" s="275"/>
      <c r="HA173" s="275"/>
      <c r="HB173" s="275"/>
      <c r="HC173" s="275"/>
      <c r="HD173" s="275"/>
      <c r="HE173" s="275"/>
      <c r="HF173" s="275"/>
      <c r="HG173" s="275"/>
      <c r="HH173" s="275"/>
      <c r="HI173" s="275"/>
      <c r="HJ173" s="275"/>
      <c r="HK173" s="275"/>
      <c r="HL173" s="275"/>
      <c r="HM173" s="275"/>
      <c r="HN173" s="275"/>
      <c r="HO173" s="275"/>
      <c r="HP173" s="275"/>
      <c r="HQ173" s="275"/>
      <c r="HR173" s="275"/>
      <c r="HS173" s="275"/>
      <c r="HT173" s="275"/>
      <c r="HU173" s="275"/>
      <c r="HV173" s="275"/>
      <c r="HW173" s="275"/>
      <c r="HX173" s="275"/>
      <c r="HY173" s="275"/>
      <c r="HZ173" s="275"/>
      <c r="IA173" s="275"/>
      <c r="IB173" s="275"/>
      <c r="IC173" s="275"/>
      <c r="ID173" s="275"/>
      <c r="IE173" s="275"/>
      <c r="IF173" s="275"/>
      <c r="IG173" s="275"/>
      <c r="IH173" s="275"/>
      <c r="II173" s="275"/>
      <c r="IJ173" s="275"/>
      <c r="IK173" s="275"/>
      <c r="IL173" s="275"/>
      <c r="IM173" s="275"/>
      <c r="IN173" s="275"/>
      <c r="IO173" s="275"/>
      <c r="IP173" s="275"/>
      <c r="IQ173" s="275"/>
      <c r="IR173" s="275"/>
      <c r="IS173" s="275"/>
      <c r="IT173" s="275"/>
      <c r="IU173" s="275"/>
      <c r="IV173" s="275"/>
    </row>
    <row r="174" spans="1:256" ht="15" x14ac:dyDescent="0.25">
      <c r="A174" s="368"/>
      <c r="B174" s="368"/>
      <c r="C174" s="368"/>
      <c r="D174" s="377" t="s">
        <v>70</v>
      </c>
      <c r="E174" s="377"/>
      <c r="F174" s="377"/>
      <c r="G174" s="377"/>
      <c r="H174" s="377"/>
      <c r="I174" s="377"/>
      <c r="J174" s="378">
        <f>J165*0.925</f>
        <v>3856.47</v>
      </c>
      <c r="K174" s="378"/>
      <c r="L174" s="378">
        <f>L165*0.925</f>
        <v>93442.21</v>
      </c>
      <c r="M174" s="287">
        <v>21718.35</v>
      </c>
      <c r="N174" s="275"/>
      <c r="O174" s="275"/>
      <c r="P174" s="275"/>
      <c r="Q174" s="275"/>
      <c r="R174" s="275"/>
      <c r="S174" s="275"/>
      <c r="T174" s="275"/>
      <c r="U174" s="275"/>
      <c r="V174" s="275"/>
      <c r="W174" s="275"/>
      <c r="X174" s="275"/>
      <c r="Y174" s="275"/>
      <c r="Z174" s="275"/>
      <c r="AA174" s="275"/>
      <c r="AB174" s="275"/>
      <c r="AC174" s="275"/>
      <c r="AD174" s="275"/>
      <c r="AE174" s="275"/>
      <c r="AF174" s="275"/>
      <c r="AG174" s="275"/>
      <c r="AH174" s="275"/>
      <c r="AI174" s="275"/>
      <c r="AJ174" s="275"/>
      <c r="AK174" s="275"/>
      <c r="AL174" s="275"/>
      <c r="AM174" s="275"/>
      <c r="AN174" s="275"/>
      <c r="AO174" s="275"/>
      <c r="AP174" s="275"/>
      <c r="AQ174" s="275"/>
      <c r="AR174" s="275"/>
      <c r="AS174" s="275"/>
      <c r="AT174" s="275"/>
      <c r="AU174" s="275"/>
      <c r="AV174" s="275"/>
      <c r="AW174" s="275"/>
      <c r="AX174" s="275"/>
      <c r="AY174" s="275"/>
      <c r="AZ174" s="275"/>
      <c r="BA174" s="275"/>
      <c r="BB174" s="275"/>
      <c r="BC174" s="275"/>
      <c r="BD174" s="275"/>
      <c r="BE174" s="275"/>
      <c r="BF174" s="275"/>
      <c r="BG174" s="275"/>
      <c r="BH174" s="275"/>
      <c r="BI174" s="275"/>
      <c r="BJ174" s="275"/>
      <c r="BK174" s="275"/>
      <c r="BL174" s="275"/>
      <c r="BM174" s="275"/>
      <c r="BN174" s="275"/>
      <c r="BO174" s="275"/>
      <c r="BP174" s="275"/>
      <c r="BQ174" s="275"/>
      <c r="BR174" s="275"/>
      <c r="BS174" s="275"/>
      <c r="BT174" s="275"/>
      <c r="BU174" s="275"/>
      <c r="BV174" s="275"/>
      <c r="BW174" s="275"/>
      <c r="BX174" s="275"/>
      <c r="BY174" s="275"/>
      <c r="BZ174" s="275"/>
      <c r="CA174" s="275"/>
      <c r="CB174" s="275"/>
      <c r="CC174" s="275"/>
      <c r="CD174" s="275"/>
      <c r="CE174" s="275"/>
      <c r="CF174" s="275"/>
      <c r="CG174" s="275"/>
      <c r="CH174" s="275"/>
      <c r="CI174" s="275"/>
      <c r="CJ174" s="275"/>
      <c r="CK174" s="275"/>
      <c r="CL174" s="275"/>
      <c r="CM174" s="275"/>
      <c r="CN174" s="275"/>
      <c r="CO174" s="275"/>
      <c r="CP174" s="275"/>
      <c r="CQ174" s="275"/>
      <c r="CR174" s="275"/>
      <c r="CS174" s="275"/>
      <c r="CT174" s="275"/>
      <c r="CU174" s="275"/>
      <c r="CV174" s="275"/>
      <c r="CW174" s="275"/>
      <c r="CX174" s="275"/>
      <c r="CY174" s="275"/>
      <c r="CZ174" s="275"/>
      <c r="DA174" s="275"/>
      <c r="DB174" s="275"/>
      <c r="DC174" s="275"/>
      <c r="DD174" s="275"/>
      <c r="DE174" s="275"/>
      <c r="DF174" s="275"/>
      <c r="DG174" s="275"/>
      <c r="DH174" s="275"/>
      <c r="DI174" s="275"/>
      <c r="DJ174" s="275"/>
      <c r="DK174" s="275"/>
      <c r="DL174" s="275"/>
      <c r="DM174" s="275"/>
      <c r="DN174" s="275"/>
      <c r="DO174" s="275"/>
      <c r="DP174" s="275"/>
      <c r="DQ174" s="275"/>
      <c r="DR174" s="275"/>
      <c r="DS174" s="275"/>
      <c r="DT174" s="275"/>
      <c r="DU174" s="275"/>
      <c r="DV174" s="275"/>
      <c r="DW174" s="275"/>
      <c r="DX174" s="275"/>
      <c r="DY174" s="275"/>
      <c r="DZ174" s="275"/>
      <c r="EA174" s="275"/>
      <c r="EB174" s="275"/>
      <c r="EC174" s="275"/>
      <c r="ED174" s="275"/>
      <c r="EE174" s="275"/>
      <c r="EF174" s="275"/>
      <c r="EG174" s="275"/>
      <c r="EH174" s="275"/>
      <c r="EI174" s="275"/>
      <c r="EJ174" s="275"/>
      <c r="EK174" s="275"/>
      <c r="EL174" s="275"/>
      <c r="EM174" s="275"/>
      <c r="EN174" s="275"/>
      <c r="EO174" s="275"/>
      <c r="EP174" s="275"/>
      <c r="EQ174" s="275"/>
      <c r="ER174" s="275"/>
      <c r="ES174" s="275"/>
      <c r="ET174" s="275"/>
      <c r="EU174" s="275"/>
      <c r="EV174" s="275"/>
      <c r="EW174" s="275"/>
      <c r="EX174" s="275"/>
      <c r="EY174" s="275"/>
      <c r="EZ174" s="275"/>
      <c r="FA174" s="275"/>
      <c r="FB174" s="275"/>
      <c r="FC174" s="275"/>
      <c r="FD174" s="275"/>
      <c r="FE174" s="275"/>
      <c r="FF174" s="275"/>
      <c r="FG174" s="275"/>
      <c r="FH174" s="275"/>
      <c r="FI174" s="275"/>
      <c r="FJ174" s="275"/>
      <c r="FK174" s="275"/>
      <c r="FL174" s="275"/>
      <c r="FM174" s="275"/>
      <c r="FN174" s="275"/>
      <c r="FO174" s="275"/>
      <c r="FP174" s="275"/>
      <c r="FQ174" s="275"/>
      <c r="FR174" s="275"/>
      <c r="FS174" s="275"/>
      <c r="FT174" s="275"/>
      <c r="FU174" s="275"/>
      <c r="FV174" s="275"/>
      <c r="FW174" s="275"/>
      <c r="FX174" s="275"/>
      <c r="FY174" s="275"/>
      <c r="FZ174" s="275"/>
      <c r="GA174" s="275"/>
      <c r="GB174" s="275"/>
      <c r="GC174" s="275"/>
      <c r="GD174" s="275"/>
      <c r="GE174" s="275"/>
      <c r="GF174" s="275"/>
      <c r="GG174" s="275"/>
      <c r="GH174" s="275"/>
      <c r="GI174" s="275"/>
      <c r="GJ174" s="275"/>
      <c r="GK174" s="275"/>
      <c r="GL174" s="275"/>
      <c r="GM174" s="275"/>
      <c r="GN174" s="275"/>
      <c r="GO174" s="275"/>
      <c r="GP174" s="275"/>
      <c r="GQ174" s="275"/>
      <c r="GR174" s="275"/>
      <c r="GS174" s="275"/>
      <c r="GT174" s="275"/>
      <c r="GU174" s="275"/>
      <c r="GV174" s="275"/>
      <c r="GW174" s="275"/>
      <c r="GX174" s="275"/>
      <c r="GY174" s="275"/>
      <c r="GZ174" s="275"/>
      <c r="HA174" s="275"/>
      <c r="HB174" s="275"/>
      <c r="HC174" s="275"/>
      <c r="HD174" s="275"/>
      <c r="HE174" s="275"/>
      <c r="HF174" s="275"/>
      <c r="HG174" s="275"/>
      <c r="HH174" s="275"/>
      <c r="HI174" s="275"/>
      <c r="HJ174" s="275"/>
      <c r="HK174" s="275"/>
      <c r="HL174" s="275"/>
      <c r="HM174" s="275"/>
      <c r="HN174" s="275"/>
      <c r="HO174" s="275"/>
      <c r="HP174" s="275"/>
      <c r="HQ174" s="275"/>
      <c r="HR174" s="275"/>
      <c r="HS174" s="275"/>
      <c r="HT174" s="275"/>
      <c r="HU174" s="275"/>
      <c r="HV174" s="275"/>
      <c r="HW174" s="275"/>
      <c r="HX174" s="275"/>
      <c r="HY174" s="275"/>
      <c r="HZ174" s="275"/>
      <c r="IA174" s="275"/>
      <c r="IB174" s="275"/>
      <c r="IC174" s="275"/>
      <c r="ID174" s="275"/>
      <c r="IE174" s="275"/>
      <c r="IF174" s="275"/>
      <c r="IG174" s="275"/>
      <c r="IH174" s="275"/>
      <c r="II174" s="275"/>
      <c r="IJ174" s="275"/>
      <c r="IK174" s="275"/>
      <c r="IL174" s="275"/>
      <c r="IM174" s="275"/>
      <c r="IN174" s="275"/>
      <c r="IO174" s="275"/>
      <c r="IP174" s="275"/>
      <c r="IQ174" s="275"/>
      <c r="IR174" s="275"/>
      <c r="IS174" s="275"/>
      <c r="IT174" s="275"/>
      <c r="IU174" s="275"/>
      <c r="IV174" s="275"/>
    </row>
    <row r="175" spans="1:256" ht="15" x14ac:dyDescent="0.25">
      <c r="A175" s="368"/>
      <c r="B175" s="368"/>
      <c r="C175" s="368"/>
      <c r="D175" s="377" t="s">
        <v>195</v>
      </c>
      <c r="E175" s="377"/>
      <c r="F175" s="377"/>
      <c r="G175" s="377"/>
      <c r="H175" s="377"/>
      <c r="I175" s="377"/>
      <c r="J175" s="378">
        <f>J166</f>
        <v>123658.09</v>
      </c>
      <c r="K175" s="378"/>
      <c r="L175" s="378">
        <f>L166*0.925</f>
        <v>435230.42</v>
      </c>
      <c r="M175" s="287"/>
    </row>
    <row r="176" spans="1:256" ht="15" x14ac:dyDescent="0.25">
      <c r="A176" s="368"/>
      <c r="B176" s="368"/>
      <c r="C176" s="368"/>
      <c r="D176" s="383" t="s">
        <v>157</v>
      </c>
      <c r="E176" s="377"/>
      <c r="F176" s="377"/>
      <c r="G176" s="377"/>
      <c r="H176" s="377"/>
      <c r="I176" s="377"/>
      <c r="J176" s="384">
        <v>0</v>
      </c>
      <c r="K176" s="378"/>
      <c r="L176" s="384">
        <v>0</v>
      </c>
      <c r="M176" s="287"/>
    </row>
    <row r="177" spans="1:13" ht="15" x14ac:dyDescent="0.25">
      <c r="A177" s="368"/>
      <c r="B177" s="368"/>
      <c r="C177" s="368"/>
      <c r="D177" s="377" t="s">
        <v>196</v>
      </c>
      <c r="E177" s="377"/>
      <c r="F177" s="377"/>
      <c r="G177" s="377"/>
      <c r="H177" s="377"/>
      <c r="I177" s="377"/>
      <c r="J177" s="378">
        <f>J174*0.15</f>
        <v>578.47</v>
      </c>
      <c r="K177" s="378"/>
      <c r="L177" s="378">
        <f>L174*0.15</f>
        <v>14016.33</v>
      </c>
      <c r="M177" s="287">
        <v>3257.75</v>
      </c>
    </row>
    <row r="178" spans="1:13" ht="15" x14ac:dyDescent="0.25">
      <c r="A178" s="368"/>
      <c r="B178" s="368"/>
      <c r="C178" s="368"/>
      <c r="D178" s="379" t="s">
        <v>199</v>
      </c>
      <c r="E178" s="380"/>
      <c r="F178" s="380"/>
      <c r="G178" s="380"/>
      <c r="H178" s="380"/>
      <c r="I178" s="380"/>
      <c r="J178" s="382">
        <f>J177+J172</f>
        <v>136535.06</v>
      </c>
      <c r="K178" s="380"/>
      <c r="L178" s="382">
        <f>L177+L172</f>
        <v>673629.43</v>
      </c>
      <c r="M178" s="287" t="e">
        <v>#REF!</v>
      </c>
    </row>
    <row r="179" spans="1:13" ht="15" x14ac:dyDescent="0.25">
      <c r="A179" s="368"/>
      <c r="B179" s="368"/>
      <c r="C179" s="368"/>
      <c r="D179" s="385"/>
      <c r="E179" s="385"/>
      <c r="F179" s="385"/>
      <c r="G179" s="385"/>
      <c r="H179" s="385"/>
      <c r="I179" s="385"/>
      <c r="J179" s="385"/>
      <c r="K179" s="385"/>
      <c r="L179" s="385"/>
      <c r="M179" s="287"/>
    </row>
    <row r="180" spans="1:13" ht="15" x14ac:dyDescent="0.25">
      <c r="A180" s="368"/>
      <c r="B180" s="368"/>
      <c r="C180" s="368"/>
      <c r="D180" s="385"/>
      <c r="E180" s="385"/>
      <c r="F180" s="385"/>
      <c r="G180" s="385"/>
      <c r="H180" s="385"/>
      <c r="I180" s="385"/>
      <c r="J180" s="385"/>
      <c r="K180" s="385"/>
      <c r="L180" s="385"/>
      <c r="M180" s="287"/>
    </row>
    <row r="181" spans="1:13" ht="15" x14ac:dyDescent="0.25">
      <c r="A181" s="368"/>
      <c r="B181" s="368"/>
      <c r="C181" s="368"/>
      <c r="D181" s="386" t="s">
        <v>200</v>
      </c>
      <c r="E181" s="387"/>
      <c r="F181" s="387"/>
      <c r="G181" s="387"/>
      <c r="H181" s="387"/>
      <c r="I181" s="388"/>
      <c r="J181" s="389">
        <f>J178</f>
        <v>136535.06</v>
      </c>
      <c r="K181" s="390"/>
      <c r="L181" s="389">
        <f>L178</f>
        <v>673629.43</v>
      </c>
      <c r="M181" s="287"/>
    </row>
    <row r="182" spans="1:13" ht="15" x14ac:dyDescent="0.25">
      <c r="A182" s="368"/>
      <c r="B182" s="368"/>
      <c r="C182" s="368"/>
      <c r="D182" s="391" t="s">
        <v>201</v>
      </c>
      <c r="E182" s="392"/>
      <c r="F182" s="392"/>
      <c r="G182" s="392"/>
      <c r="H182" s="392"/>
      <c r="I182" s="393"/>
      <c r="J182" s="394">
        <f>J173</f>
        <v>135956.59</v>
      </c>
      <c r="K182" s="395"/>
      <c r="L182" s="394">
        <f>L173</f>
        <v>659613.1</v>
      </c>
      <c r="M182" s="287"/>
    </row>
    <row r="183" spans="1:13" ht="15" x14ac:dyDescent="0.25">
      <c r="A183" s="368"/>
      <c r="B183" s="368"/>
      <c r="C183" s="368"/>
      <c r="D183" s="391" t="s">
        <v>202</v>
      </c>
      <c r="E183" s="392"/>
      <c r="F183" s="392"/>
      <c r="G183" s="392"/>
      <c r="H183" s="392"/>
      <c r="I183" s="393"/>
      <c r="J183" s="394">
        <f>J177</f>
        <v>578.47</v>
      </c>
      <c r="K183" s="396"/>
      <c r="L183" s="394">
        <f>L177</f>
        <v>14016.33</v>
      </c>
      <c r="M183" s="287"/>
    </row>
    <row r="184" spans="1:13" ht="15" x14ac:dyDescent="0.25">
      <c r="A184" s="368"/>
      <c r="B184" s="368"/>
      <c r="C184" s="368"/>
      <c r="D184" s="391" t="s">
        <v>203</v>
      </c>
      <c r="E184" s="392"/>
      <c r="F184" s="392"/>
      <c r="G184" s="392"/>
      <c r="H184" s="392"/>
      <c r="I184" s="393"/>
      <c r="J184" s="394">
        <v>0</v>
      </c>
      <c r="K184" s="394"/>
      <c r="L184" s="394">
        <v>0</v>
      </c>
      <c r="M184" s="287"/>
    </row>
    <row r="185" spans="1:13" ht="15" x14ac:dyDescent="0.25">
      <c r="A185" s="368"/>
      <c r="B185" s="368"/>
      <c r="C185" s="368"/>
      <c r="D185" s="391" t="s">
        <v>204</v>
      </c>
      <c r="E185" s="392"/>
      <c r="F185" s="392"/>
      <c r="G185" s="392"/>
      <c r="H185" s="392"/>
      <c r="I185" s="393"/>
      <c r="J185" s="397">
        <v>0</v>
      </c>
      <c r="K185" s="397"/>
      <c r="L185" s="397">
        <v>0</v>
      </c>
      <c r="M185" s="287"/>
    </row>
    <row r="186" spans="1:13" ht="14.25" x14ac:dyDescent="0.2">
      <c r="A186" s="327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</row>
    <row r="187" spans="1:13" ht="14.25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</row>
  </sheetData>
  <mergeCells count="117">
    <mergeCell ref="I2:L2"/>
    <mergeCell ref="I3:L3"/>
    <mergeCell ref="I4:L4"/>
    <mergeCell ref="J6:L6"/>
    <mergeCell ref="J7:L7"/>
    <mergeCell ref="J8:L9"/>
    <mergeCell ref="C14:H14"/>
    <mergeCell ref="J14:L15"/>
    <mergeCell ref="C15:H15"/>
    <mergeCell ref="C16:H16"/>
    <mergeCell ref="C17:H17"/>
    <mergeCell ref="C18:H18"/>
    <mergeCell ref="J18:L19"/>
    <mergeCell ref="C19:H19"/>
    <mergeCell ref="C9:H9"/>
    <mergeCell ref="C10:H10"/>
    <mergeCell ref="J10:L11"/>
    <mergeCell ref="C11:H11"/>
    <mergeCell ref="C12:H12"/>
    <mergeCell ref="J12:L13"/>
    <mergeCell ref="C13:H13"/>
    <mergeCell ref="J24:L24"/>
    <mergeCell ref="G26:G27"/>
    <mergeCell ref="H26:H27"/>
    <mergeCell ref="I26:J26"/>
    <mergeCell ref="A30:L30"/>
    <mergeCell ref="A31:L31"/>
    <mergeCell ref="C20:H20"/>
    <mergeCell ref="G21:I21"/>
    <mergeCell ref="J21:L21"/>
    <mergeCell ref="G22:H22"/>
    <mergeCell ref="J22:L22"/>
    <mergeCell ref="J23:L23"/>
    <mergeCell ref="J35:J39"/>
    <mergeCell ref="K35:K39"/>
    <mergeCell ref="L35:L39"/>
    <mergeCell ref="A36:A39"/>
    <mergeCell ref="B36:B39"/>
    <mergeCell ref="A34:L34"/>
    <mergeCell ref="A35:B35"/>
    <mergeCell ref="C35:C39"/>
    <mergeCell ref="D35:D39"/>
    <mergeCell ref="E35:E39"/>
    <mergeCell ref="F35:F39"/>
    <mergeCell ref="G35:G39"/>
    <mergeCell ref="H35:H39"/>
    <mergeCell ref="I35:I39"/>
    <mergeCell ref="I68:J68"/>
    <mergeCell ref="K68:L68"/>
    <mergeCell ref="I78:J78"/>
    <mergeCell ref="K78:L78"/>
    <mergeCell ref="I83:J83"/>
    <mergeCell ref="K83:L83"/>
    <mergeCell ref="A50:L50"/>
    <mergeCell ref="I61:J61"/>
    <mergeCell ref="K61:L61"/>
    <mergeCell ref="I66:J66"/>
    <mergeCell ref="K66:L66"/>
    <mergeCell ref="I91:J91"/>
    <mergeCell ref="K91:L91"/>
    <mergeCell ref="I93:J93"/>
    <mergeCell ref="K93:L93"/>
    <mergeCell ref="I95:J95"/>
    <mergeCell ref="K95:L95"/>
    <mergeCell ref="I85:J85"/>
    <mergeCell ref="K85:L85"/>
    <mergeCell ref="I87:J87"/>
    <mergeCell ref="K87:L87"/>
    <mergeCell ref="I89:J89"/>
    <mergeCell ref="K89:L89"/>
    <mergeCell ref="I115:J115"/>
    <mergeCell ref="K115:L115"/>
    <mergeCell ref="I117:J117"/>
    <mergeCell ref="K117:L117"/>
    <mergeCell ref="I127:J127"/>
    <mergeCell ref="K127:L127"/>
    <mergeCell ref="I106:J106"/>
    <mergeCell ref="K106:L106"/>
    <mergeCell ref="I111:J111"/>
    <mergeCell ref="K111:L111"/>
    <mergeCell ref="I113:J113"/>
    <mergeCell ref="K113:L113"/>
    <mergeCell ref="I138:J138"/>
    <mergeCell ref="K138:L138"/>
    <mergeCell ref="A145:H145"/>
    <mergeCell ref="I145:J145"/>
    <mergeCell ref="K145:L145"/>
    <mergeCell ref="I132:J132"/>
    <mergeCell ref="K132:L132"/>
    <mergeCell ref="I134:J134"/>
    <mergeCell ref="K134:L134"/>
    <mergeCell ref="I136:J136"/>
    <mergeCell ref="K136:L136"/>
    <mergeCell ref="D159:H159"/>
    <mergeCell ref="D160:H160"/>
    <mergeCell ref="A32:L32"/>
    <mergeCell ref="A33:L33"/>
    <mergeCell ref="A42:L42"/>
    <mergeCell ref="A43:L43"/>
    <mergeCell ref="A44:L44"/>
    <mergeCell ref="A45:L45"/>
    <mergeCell ref="A46:L46"/>
    <mergeCell ref="A47:L47"/>
    <mergeCell ref="I151:J151"/>
    <mergeCell ref="K151:L151"/>
    <mergeCell ref="I152:J152"/>
    <mergeCell ref="K152:L152"/>
    <mergeCell ref="A154:H154"/>
    <mergeCell ref="I154:J154"/>
    <mergeCell ref="K154:L154"/>
    <mergeCell ref="I148:J148"/>
    <mergeCell ref="K148:L148"/>
    <mergeCell ref="I149:J149"/>
    <mergeCell ref="K149:L149"/>
    <mergeCell ref="I150:J150"/>
    <mergeCell ref="K150:L150"/>
    <mergeCell ref="A138:H138"/>
  </mergeCells>
  <pageMargins left="0.4" right="0.2" top="0.2" bottom="0.4" header="0.2" footer="0.2"/>
  <pageSetup paperSize="9" scale="59" fitToHeight="0" orientation="portrait" r:id="rId1"/>
  <headerFooter>
    <oddHeader>&amp;L&amp;8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V204"/>
  <sheetViews>
    <sheetView view="pageBreakPreview" topLeftCell="A144" zoomScale="85" zoomScaleNormal="70" zoomScaleSheetLayoutView="85" workbookViewId="0">
      <selection activeCell="J159" sqref="J159"/>
    </sheetView>
  </sheetViews>
  <sheetFormatPr defaultRowHeight="12.75" x14ac:dyDescent="0.2"/>
  <cols>
    <col min="1" max="2" width="5.7109375" style="422" customWidth="1"/>
    <col min="3" max="3" width="11.7109375" style="422" customWidth="1"/>
    <col min="4" max="4" width="40.7109375" style="422" customWidth="1"/>
    <col min="5" max="6" width="11.7109375" style="422" customWidth="1"/>
    <col min="7" max="7" width="13.5703125" style="422" customWidth="1"/>
    <col min="8" max="8" width="12.7109375" style="422" customWidth="1"/>
    <col min="9" max="9" width="12.5703125" style="422" customWidth="1"/>
    <col min="10" max="10" width="14.85546875" style="422" customWidth="1"/>
    <col min="11" max="11" width="12.7109375" style="422" customWidth="1"/>
    <col min="12" max="12" width="14.7109375" style="422" customWidth="1"/>
    <col min="13" max="14" width="9.140625" style="422"/>
    <col min="15" max="35" width="0" style="422" hidden="1" customWidth="1"/>
    <col min="36" max="36" width="99.7109375" style="422" hidden="1" customWidth="1"/>
    <col min="37" max="37" width="155.7109375" style="422" hidden="1" customWidth="1"/>
    <col min="38" max="38" width="109.7109375" style="422" hidden="1" customWidth="1"/>
    <col min="39" max="39" width="0" style="422" hidden="1" customWidth="1"/>
    <col min="40" max="40" width="110.7109375" style="422" hidden="1" customWidth="1"/>
    <col min="41" max="42" width="0" style="422" hidden="1" customWidth="1"/>
    <col min="43" max="16384" width="9.140625" style="422"/>
  </cols>
  <sheetData>
    <row r="1" spans="1:12" hidden="1" x14ac:dyDescent="0.2">
      <c r="A1" s="449" t="str">
        <f>[86]Source!B1</f>
        <v>Smeta.RU  (495) 974-1589</v>
      </c>
    </row>
    <row r="2" spans="1:12" ht="15" hidden="1" x14ac:dyDescent="0.25">
      <c r="A2" s="423"/>
      <c r="B2" s="423"/>
      <c r="C2" s="450"/>
      <c r="D2" s="450"/>
      <c r="E2" s="450"/>
      <c r="F2" s="423"/>
      <c r="G2" s="423"/>
      <c r="H2" s="423"/>
      <c r="I2" s="713" t="s">
        <v>0</v>
      </c>
      <c r="J2" s="713"/>
      <c r="K2" s="713"/>
      <c r="L2" s="713"/>
    </row>
    <row r="3" spans="1:12" ht="14.25" hidden="1" x14ac:dyDescent="0.2">
      <c r="A3" s="423"/>
      <c r="B3" s="423"/>
      <c r="C3" s="423"/>
      <c r="D3" s="423"/>
      <c r="E3" s="423"/>
      <c r="F3" s="423"/>
      <c r="G3" s="423"/>
      <c r="H3" s="423"/>
      <c r="I3" s="713" t="s">
        <v>1</v>
      </c>
      <c r="J3" s="713"/>
      <c r="K3" s="713"/>
      <c r="L3" s="713"/>
    </row>
    <row r="4" spans="1:12" ht="14.25" hidden="1" x14ac:dyDescent="0.2">
      <c r="A4" s="423"/>
      <c r="B4" s="423"/>
      <c r="C4" s="423"/>
      <c r="D4" s="423"/>
      <c r="E4" s="423"/>
      <c r="F4" s="423"/>
      <c r="G4" s="423"/>
      <c r="H4" s="423"/>
      <c r="I4" s="713" t="s">
        <v>2</v>
      </c>
      <c r="J4" s="713"/>
      <c r="K4" s="713"/>
      <c r="L4" s="713"/>
    </row>
    <row r="5" spans="1:12" ht="14.25" hidden="1" x14ac:dyDescent="0.2">
      <c r="A5" s="423"/>
      <c r="B5" s="423"/>
      <c r="C5" s="423"/>
      <c r="D5" s="423"/>
      <c r="E5" s="423"/>
      <c r="F5" s="423"/>
      <c r="G5" s="423"/>
      <c r="H5" s="423"/>
      <c r="I5" s="423"/>
      <c r="J5" s="423"/>
      <c r="K5" s="423"/>
      <c r="L5" s="423"/>
    </row>
    <row r="6" spans="1:12" ht="15" hidden="1" x14ac:dyDescent="0.25">
      <c r="A6" s="423"/>
      <c r="B6" s="423"/>
      <c r="C6" s="450"/>
      <c r="D6" s="450"/>
      <c r="E6" s="450"/>
      <c r="F6" s="423"/>
      <c r="G6" s="423"/>
      <c r="H6" s="423"/>
      <c r="I6" s="713" t="s">
        <v>0</v>
      </c>
      <c r="J6" s="713"/>
      <c r="K6" s="713"/>
      <c r="L6" s="713"/>
    </row>
    <row r="7" spans="1:12" ht="14.25" hidden="1" x14ac:dyDescent="0.2">
      <c r="A7" s="423"/>
      <c r="B7" s="423"/>
      <c r="C7" s="423"/>
      <c r="D7" s="423"/>
      <c r="E7" s="423"/>
      <c r="F7" s="423"/>
      <c r="G7" s="423"/>
      <c r="H7" s="423"/>
      <c r="I7" s="713" t="s">
        <v>1</v>
      </c>
      <c r="J7" s="713"/>
      <c r="K7" s="713"/>
      <c r="L7" s="713"/>
    </row>
    <row r="8" spans="1:12" ht="14.25" hidden="1" x14ac:dyDescent="0.2">
      <c r="A8" s="423"/>
      <c r="B8" s="423"/>
      <c r="C8" s="423"/>
      <c r="D8" s="423"/>
      <c r="E8" s="423"/>
      <c r="F8" s="423"/>
      <c r="G8" s="423"/>
      <c r="H8" s="423"/>
      <c r="I8" s="713" t="s">
        <v>2</v>
      </c>
      <c r="J8" s="713"/>
      <c r="K8" s="713"/>
      <c r="L8" s="713"/>
    </row>
    <row r="9" spans="1:12" ht="14.25" hidden="1" x14ac:dyDescent="0.2">
      <c r="A9" s="423"/>
      <c r="B9" s="423"/>
      <c r="C9" s="423"/>
      <c r="D9" s="423"/>
      <c r="E9" s="423"/>
      <c r="F9" s="423"/>
      <c r="G9" s="423"/>
      <c r="H9" s="423"/>
      <c r="I9" s="423"/>
      <c r="J9" s="423"/>
      <c r="K9" s="423"/>
      <c r="L9" s="423"/>
    </row>
    <row r="10" spans="1:12" ht="14.25" hidden="1" x14ac:dyDescent="0.2">
      <c r="A10" s="423"/>
      <c r="B10" s="423"/>
      <c r="C10" s="423"/>
      <c r="D10" s="423"/>
      <c r="E10" s="423"/>
      <c r="F10" s="423"/>
      <c r="G10" s="423"/>
      <c r="H10" s="423"/>
      <c r="I10" s="423"/>
      <c r="J10" s="690" t="s">
        <v>3</v>
      </c>
      <c r="K10" s="690"/>
      <c r="L10" s="690"/>
    </row>
    <row r="11" spans="1:12" ht="14.25" hidden="1" x14ac:dyDescent="0.2">
      <c r="A11" s="423"/>
      <c r="B11" s="423"/>
      <c r="C11" s="423"/>
      <c r="D11" s="423"/>
      <c r="E11" s="423"/>
      <c r="F11" s="423"/>
      <c r="G11" s="423"/>
      <c r="H11" s="423"/>
      <c r="I11" s="436" t="s">
        <v>4</v>
      </c>
      <c r="J11" s="712" t="s">
        <v>5</v>
      </c>
      <c r="K11" s="712"/>
      <c r="L11" s="712"/>
    </row>
    <row r="12" spans="1:12" ht="14.25" hidden="1" x14ac:dyDescent="0.2">
      <c r="A12" s="423"/>
      <c r="B12" s="423"/>
      <c r="C12" s="423"/>
      <c r="D12" s="423"/>
      <c r="E12" s="423"/>
      <c r="F12" s="423"/>
      <c r="G12" s="423"/>
      <c r="H12" s="423"/>
      <c r="I12" s="423"/>
      <c r="J12" s="711" t="s">
        <v>6</v>
      </c>
      <c r="K12" s="711"/>
      <c r="L12" s="711"/>
    </row>
    <row r="13" spans="1:12" ht="14.25" hidden="1" x14ac:dyDescent="0.2">
      <c r="A13" s="423" t="s">
        <v>218</v>
      </c>
      <c r="B13" s="423"/>
      <c r="C13" s="689" t="s">
        <v>219</v>
      </c>
      <c r="D13" s="689"/>
      <c r="E13" s="689"/>
      <c r="F13" s="689"/>
      <c r="G13" s="689"/>
      <c r="H13" s="689"/>
      <c r="I13" s="436" t="s">
        <v>9</v>
      </c>
      <c r="J13" s="711"/>
      <c r="K13" s="711"/>
      <c r="L13" s="711"/>
    </row>
    <row r="14" spans="1:12" ht="14.25" hidden="1" x14ac:dyDescent="0.2">
      <c r="A14" s="423"/>
      <c r="B14" s="423"/>
      <c r="C14" s="699" t="s">
        <v>10</v>
      </c>
      <c r="D14" s="699"/>
      <c r="E14" s="699"/>
      <c r="F14" s="699"/>
      <c r="G14" s="699"/>
      <c r="H14" s="699"/>
      <c r="I14" s="423"/>
      <c r="J14" s="704" t="s">
        <v>11</v>
      </c>
      <c r="K14" s="705"/>
      <c r="L14" s="706"/>
    </row>
    <row r="15" spans="1:12" ht="14.25" hidden="1" x14ac:dyDescent="0.2">
      <c r="A15" s="423" t="s">
        <v>220</v>
      </c>
      <c r="B15" s="423"/>
      <c r="C15" s="689" t="s">
        <v>221</v>
      </c>
      <c r="D15" s="689"/>
      <c r="E15" s="689"/>
      <c r="F15" s="689"/>
      <c r="G15" s="689"/>
      <c r="H15" s="689"/>
      <c r="I15" s="436" t="s">
        <v>9</v>
      </c>
      <c r="J15" s="707"/>
      <c r="K15" s="708"/>
      <c r="L15" s="709"/>
    </row>
    <row r="16" spans="1:12" ht="14.25" hidden="1" x14ac:dyDescent="0.2">
      <c r="A16" s="423"/>
      <c r="B16" s="423"/>
      <c r="C16" s="699" t="s">
        <v>10</v>
      </c>
      <c r="D16" s="699"/>
      <c r="E16" s="699"/>
      <c r="F16" s="699"/>
      <c r="G16" s="699"/>
      <c r="H16" s="699"/>
      <c r="I16" s="423"/>
      <c r="J16" s="711">
        <v>29478604</v>
      </c>
      <c r="K16" s="711"/>
      <c r="L16" s="711"/>
    </row>
    <row r="17" spans="1:36" ht="14.25" hidden="1" x14ac:dyDescent="0.2">
      <c r="A17" s="423" t="s">
        <v>15</v>
      </c>
      <c r="B17" s="423"/>
      <c r="C17" s="689" t="s">
        <v>222</v>
      </c>
      <c r="D17" s="689"/>
      <c r="E17" s="689"/>
      <c r="F17" s="689"/>
      <c r="G17" s="689"/>
      <c r="H17" s="689"/>
      <c r="I17" s="436" t="s">
        <v>9</v>
      </c>
      <c r="J17" s="711"/>
      <c r="K17" s="711"/>
      <c r="L17" s="711"/>
    </row>
    <row r="18" spans="1:36" ht="14.25" hidden="1" x14ac:dyDescent="0.2">
      <c r="A18" s="423"/>
      <c r="B18" s="423"/>
      <c r="C18" s="699" t="s">
        <v>10</v>
      </c>
      <c r="D18" s="699"/>
      <c r="E18" s="699"/>
      <c r="F18" s="699"/>
      <c r="G18" s="699"/>
      <c r="H18" s="699"/>
      <c r="I18" s="423"/>
      <c r="J18" s="704" t="s">
        <v>132</v>
      </c>
      <c r="K18" s="705"/>
      <c r="L18" s="706"/>
    </row>
    <row r="19" spans="1:36" ht="14.25" hidden="1" customHeight="1" x14ac:dyDescent="0.2">
      <c r="A19" s="423" t="s">
        <v>185</v>
      </c>
      <c r="B19" s="423"/>
      <c r="C19" s="689" t="s">
        <v>213</v>
      </c>
      <c r="D19" s="689"/>
      <c r="E19" s="689"/>
      <c r="F19" s="689"/>
      <c r="G19" s="689"/>
      <c r="H19" s="689"/>
      <c r="I19" s="436" t="s">
        <v>9</v>
      </c>
      <c r="J19" s="707"/>
      <c r="K19" s="708"/>
      <c r="L19" s="709"/>
    </row>
    <row r="20" spans="1:36" ht="14.25" hidden="1" x14ac:dyDescent="0.2">
      <c r="A20" s="423"/>
      <c r="B20" s="423"/>
      <c r="C20" s="699" t="s">
        <v>10</v>
      </c>
      <c r="D20" s="699"/>
      <c r="E20" s="699"/>
      <c r="F20" s="699"/>
      <c r="G20" s="699"/>
      <c r="H20" s="699"/>
      <c r="I20" s="423"/>
      <c r="J20" s="704"/>
      <c r="K20" s="705"/>
      <c r="L20" s="706"/>
    </row>
    <row r="21" spans="1:36" ht="29.25" hidden="1" customHeight="1" x14ac:dyDescent="0.2">
      <c r="A21" s="423" t="s">
        <v>17</v>
      </c>
      <c r="B21" s="423"/>
      <c r="C21" s="710" t="s">
        <v>271</v>
      </c>
      <c r="D21" s="710"/>
      <c r="E21" s="710"/>
      <c r="F21" s="710"/>
      <c r="G21" s="710"/>
      <c r="H21" s="710"/>
      <c r="I21" s="423"/>
      <c r="J21" s="707"/>
      <c r="K21" s="708"/>
      <c r="L21" s="709"/>
      <c r="AJ21" s="451" t="s">
        <v>224</v>
      </c>
    </row>
    <row r="22" spans="1:36" ht="14.25" hidden="1" x14ac:dyDescent="0.2">
      <c r="A22" s="423"/>
      <c r="B22" s="423"/>
      <c r="C22" s="699" t="s">
        <v>20</v>
      </c>
      <c r="D22" s="699"/>
      <c r="E22" s="699"/>
      <c r="F22" s="699"/>
      <c r="G22" s="699"/>
      <c r="H22" s="699"/>
      <c r="I22" s="423"/>
      <c r="J22" s="711"/>
      <c r="K22" s="711"/>
      <c r="L22" s="711"/>
    </row>
    <row r="23" spans="1:36" ht="29.25" hidden="1" customHeight="1" x14ac:dyDescent="0.2">
      <c r="A23" s="423" t="s">
        <v>21</v>
      </c>
      <c r="B23" s="423"/>
      <c r="C23" s="710" t="s">
        <v>271</v>
      </c>
      <c r="D23" s="710"/>
      <c r="E23" s="710"/>
      <c r="F23" s="710"/>
      <c r="G23" s="710"/>
      <c r="H23" s="710"/>
      <c r="I23" s="423"/>
      <c r="J23" s="711"/>
      <c r="K23" s="711"/>
      <c r="L23" s="711"/>
      <c r="AJ23" s="452" t="e">
        <f>IF([80]Source!G16&lt;&gt;"Новый объект", [80]Source!G16, "")</f>
        <v>#REF!</v>
      </c>
    </row>
    <row r="24" spans="1:36" ht="14.25" hidden="1" x14ac:dyDescent="0.2">
      <c r="A24" s="423"/>
      <c r="B24" s="423"/>
      <c r="C24" s="699" t="s">
        <v>22</v>
      </c>
      <c r="D24" s="699"/>
      <c r="E24" s="699"/>
      <c r="F24" s="699"/>
      <c r="G24" s="699"/>
      <c r="H24" s="699"/>
      <c r="I24" s="423"/>
      <c r="J24" s="423"/>
      <c r="K24" s="423"/>
      <c r="L24" s="423"/>
    </row>
    <row r="25" spans="1:36" ht="14.25" hidden="1" x14ac:dyDescent="0.2">
      <c r="A25" s="423"/>
      <c r="B25" s="423"/>
      <c r="C25" s="423"/>
      <c r="D25" s="423"/>
      <c r="E25" s="423"/>
      <c r="F25" s="423"/>
      <c r="G25" s="700" t="s">
        <v>23</v>
      </c>
      <c r="H25" s="700"/>
      <c r="I25" s="701"/>
      <c r="J25" s="690"/>
      <c r="K25" s="690"/>
      <c r="L25" s="690"/>
    </row>
    <row r="26" spans="1:36" ht="14.25" hidden="1" x14ac:dyDescent="0.2">
      <c r="A26" s="423"/>
      <c r="B26" s="423"/>
      <c r="C26" s="423"/>
      <c r="D26" s="423"/>
      <c r="E26" s="423"/>
      <c r="F26" s="423"/>
      <c r="G26" s="700" t="s">
        <v>24</v>
      </c>
      <c r="H26" s="702"/>
      <c r="I26" s="453" t="s">
        <v>25</v>
      </c>
      <c r="J26" s="690" t="s">
        <v>225</v>
      </c>
      <c r="K26" s="690"/>
      <c r="L26" s="690"/>
    </row>
    <row r="27" spans="1:36" ht="14.25" hidden="1" x14ac:dyDescent="0.2">
      <c r="A27" s="423"/>
      <c r="B27" s="423"/>
      <c r="C27" s="423"/>
      <c r="D27" s="423"/>
      <c r="E27" s="423"/>
      <c r="F27" s="423"/>
      <c r="G27" s="423"/>
      <c r="H27" s="423"/>
      <c r="I27" s="454" t="s">
        <v>26</v>
      </c>
      <c r="J27" s="703">
        <v>43713</v>
      </c>
      <c r="K27" s="703"/>
      <c r="L27" s="703"/>
    </row>
    <row r="28" spans="1:36" ht="14.25" hidden="1" x14ac:dyDescent="0.2">
      <c r="A28" s="423"/>
      <c r="B28" s="423"/>
      <c r="C28" s="423"/>
      <c r="D28" s="423"/>
      <c r="E28" s="423"/>
      <c r="F28" s="423"/>
      <c r="G28" s="423"/>
      <c r="H28" s="423"/>
      <c r="I28" s="436" t="s">
        <v>27</v>
      </c>
      <c r="J28" s="690"/>
      <c r="K28" s="690"/>
      <c r="L28" s="690"/>
    </row>
    <row r="29" spans="1:36" ht="14.25" hidden="1" x14ac:dyDescent="0.2">
      <c r="A29" s="423"/>
      <c r="B29" s="423"/>
      <c r="C29" s="423"/>
      <c r="D29" s="423"/>
      <c r="E29" s="423"/>
      <c r="F29" s="423"/>
      <c r="G29" s="423"/>
      <c r="H29" s="423"/>
      <c r="I29" s="423"/>
      <c r="J29" s="423"/>
      <c r="K29" s="423"/>
      <c r="L29" s="423"/>
    </row>
    <row r="30" spans="1:36" ht="14.25" hidden="1" x14ac:dyDescent="0.2">
      <c r="A30" s="423"/>
      <c r="B30" s="423"/>
      <c r="C30" s="423"/>
      <c r="D30" s="423"/>
      <c r="E30" s="423"/>
      <c r="F30" s="423"/>
      <c r="G30" s="691" t="s">
        <v>28</v>
      </c>
      <c r="H30" s="693" t="s">
        <v>29</v>
      </c>
      <c r="I30" s="693" t="s">
        <v>30</v>
      </c>
      <c r="J30" s="695"/>
      <c r="K30" s="423"/>
      <c r="L30" s="423"/>
    </row>
    <row r="31" spans="1:36" ht="14.25" hidden="1" x14ac:dyDescent="0.2">
      <c r="A31" s="423"/>
      <c r="B31" s="423"/>
      <c r="C31" s="423"/>
      <c r="D31" s="423"/>
      <c r="E31" s="423"/>
      <c r="F31" s="423"/>
      <c r="G31" s="692"/>
      <c r="H31" s="694"/>
      <c r="I31" s="438" t="s">
        <v>31</v>
      </c>
      <c r="J31" s="455" t="s">
        <v>32</v>
      </c>
      <c r="K31" s="423"/>
      <c r="L31" s="423"/>
    </row>
    <row r="32" spans="1:36" ht="14.25" hidden="1" x14ac:dyDescent="0.2">
      <c r="A32" s="423"/>
      <c r="B32" s="423"/>
      <c r="C32" s="423"/>
      <c r="D32" s="423"/>
      <c r="E32" s="423"/>
      <c r="F32" s="423"/>
      <c r="G32" s="424">
        <v>44075</v>
      </c>
      <c r="H32" s="424">
        <v>44104</v>
      </c>
      <c r="I32" s="424">
        <v>44075</v>
      </c>
      <c r="J32" s="456">
        <f>H32</f>
        <v>44104</v>
      </c>
      <c r="K32" s="423"/>
      <c r="L32" s="423"/>
    </row>
    <row r="33" spans="1:37" ht="14.25" hidden="1" x14ac:dyDescent="0.2">
      <c r="A33" s="423"/>
      <c r="B33" s="423"/>
      <c r="C33" s="423"/>
      <c r="D33" s="423"/>
      <c r="E33" s="423"/>
      <c r="F33" s="423"/>
      <c r="G33" s="423"/>
      <c r="H33" s="423"/>
      <c r="I33" s="423"/>
      <c r="J33" s="423"/>
      <c r="K33" s="423"/>
      <c r="L33" s="423"/>
    </row>
    <row r="34" spans="1:37" ht="18" hidden="1" x14ac:dyDescent="0.25">
      <c r="A34" s="696" t="s">
        <v>34</v>
      </c>
      <c r="B34" s="696"/>
      <c r="C34" s="696"/>
      <c r="D34" s="696"/>
      <c r="E34" s="696"/>
      <c r="F34" s="696"/>
      <c r="G34" s="696"/>
      <c r="H34" s="696"/>
      <c r="I34" s="696"/>
      <c r="J34" s="696"/>
      <c r="K34" s="696"/>
      <c r="L34" s="696"/>
    </row>
    <row r="35" spans="1:37" ht="18" hidden="1" x14ac:dyDescent="0.25">
      <c r="A35" s="696" t="s">
        <v>35</v>
      </c>
      <c r="B35" s="696"/>
      <c r="C35" s="696"/>
      <c r="D35" s="696"/>
      <c r="E35" s="696"/>
      <c r="F35" s="696"/>
      <c r="G35" s="696"/>
      <c r="H35" s="696"/>
      <c r="I35" s="696"/>
      <c r="J35" s="696"/>
      <c r="K35" s="696"/>
      <c r="L35" s="696"/>
    </row>
    <row r="36" spans="1:37" ht="15" x14ac:dyDescent="0.25">
      <c r="A36" s="697" t="s">
        <v>387</v>
      </c>
      <c r="B36" s="697"/>
      <c r="C36" s="697"/>
      <c r="D36" s="697"/>
      <c r="E36" s="697"/>
      <c r="F36" s="697"/>
      <c r="G36" s="697"/>
      <c r="H36" s="697"/>
      <c r="I36" s="697"/>
      <c r="J36" s="697"/>
      <c r="K36" s="697"/>
      <c r="L36" s="697"/>
    </row>
    <row r="37" spans="1:37" ht="15" x14ac:dyDescent="0.2">
      <c r="A37" s="698" t="s">
        <v>253</v>
      </c>
      <c r="B37" s="698"/>
      <c r="C37" s="698"/>
      <c r="D37" s="698"/>
      <c r="E37" s="698"/>
      <c r="F37" s="698"/>
      <c r="G37" s="698"/>
      <c r="H37" s="698"/>
      <c r="I37" s="698"/>
      <c r="J37" s="698"/>
      <c r="K37" s="698"/>
      <c r="L37" s="698"/>
    </row>
    <row r="38" spans="1:37" ht="28.5" x14ac:dyDescent="0.2">
      <c r="A38" s="689" t="s">
        <v>418</v>
      </c>
      <c r="B38" s="689"/>
      <c r="C38" s="689"/>
      <c r="D38" s="689"/>
      <c r="E38" s="689"/>
      <c r="F38" s="689"/>
      <c r="G38" s="689"/>
      <c r="H38" s="689"/>
      <c r="I38" s="689"/>
      <c r="J38" s="689"/>
      <c r="K38" s="689"/>
      <c r="L38" s="689"/>
      <c r="M38" s="457" t="s">
        <v>414</v>
      </c>
      <c r="AK38" s="451" t="s">
        <v>226</v>
      </c>
    </row>
    <row r="39" spans="1:37" ht="14.25" x14ac:dyDescent="0.2">
      <c r="A39" s="687" t="s">
        <v>36</v>
      </c>
      <c r="B39" s="687"/>
      <c r="C39" s="687" t="s">
        <v>37</v>
      </c>
      <c r="D39" s="687" t="s">
        <v>38</v>
      </c>
      <c r="E39" s="687" t="s">
        <v>39</v>
      </c>
      <c r="F39" s="687" t="s">
        <v>40</v>
      </c>
      <c r="G39" s="687" t="s">
        <v>41</v>
      </c>
      <c r="H39" s="684" t="s">
        <v>42</v>
      </c>
      <c r="I39" s="684" t="s">
        <v>43</v>
      </c>
      <c r="J39" s="687" t="s">
        <v>227</v>
      </c>
      <c r="K39" s="687" t="s">
        <v>44</v>
      </c>
      <c r="L39" s="687" t="s">
        <v>45</v>
      </c>
    </row>
    <row r="40" spans="1:37" x14ac:dyDescent="0.2">
      <c r="A40" s="684" t="s">
        <v>46</v>
      </c>
      <c r="B40" s="684" t="s">
        <v>47</v>
      </c>
      <c r="C40" s="687"/>
      <c r="D40" s="687"/>
      <c r="E40" s="687"/>
      <c r="F40" s="687"/>
      <c r="G40" s="687"/>
      <c r="H40" s="685"/>
      <c r="I40" s="685"/>
      <c r="J40" s="687"/>
      <c r="K40" s="687"/>
      <c r="L40" s="687"/>
    </row>
    <row r="41" spans="1:37" x14ac:dyDescent="0.2">
      <c r="A41" s="685"/>
      <c r="B41" s="685"/>
      <c r="C41" s="687"/>
      <c r="D41" s="687"/>
      <c r="E41" s="687"/>
      <c r="F41" s="687"/>
      <c r="G41" s="687"/>
      <c r="H41" s="685"/>
      <c r="I41" s="685"/>
      <c r="J41" s="687"/>
      <c r="K41" s="687"/>
      <c r="L41" s="687"/>
    </row>
    <row r="42" spans="1:37" ht="20.100000000000001" customHeight="1" x14ac:dyDescent="0.2">
      <c r="A42" s="685"/>
      <c r="B42" s="685"/>
      <c r="C42" s="687"/>
      <c r="D42" s="687"/>
      <c r="E42" s="687"/>
      <c r="F42" s="687"/>
      <c r="G42" s="687"/>
      <c r="H42" s="685"/>
      <c r="I42" s="685"/>
      <c r="J42" s="687"/>
      <c r="K42" s="687"/>
      <c r="L42" s="687"/>
    </row>
    <row r="43" spans="1:37" ht="20.100000000000001" customHeight="1" x14ac:dyDescent="0.2">
      <c r="A43" s="686"/>
      <c r="B43" s="686"/>
      <c r="C43" s="687"/>
      <c r="D43" s="687"/>
      <c r="E43" s="687"/>
      <c r="F43" s="687"/>
      <c r="G43" s="687"/>
      <c r="H43" s="686"/>
      <c r="I43" s="686"/>
      <c r="J43" s="687"/>
      <c r="K43" s="687"/>
      <c r="L43" s="687"/>
    </row>
    <row r="44" spans="1:37" ht="14.25" x14ac:dyDescent="0.2">
      <c r="A44" s="425">
        <v>1</v>
      </c>
      <c r="B44" s="425">
        <v>2</v>
      </c>
      <c r="C44" s="425">
        <v>3</v>
      </c>
      <c r="D44" s="425">
        <v>4</v>
      </c>
      <c r="E44" s="425">
        <v>5</v>
      </c>
      <c r="F44" s="425">
        <v>6</v>
      </c>
      <c r="G44" s="425">
        <v>7</v>
      </c>
      <c r="H44" s="425">
        <v>8</v>
      </c>
      <c r="I44" s="425">
        <v>9</v>
      </c>
      <c r="J44" s="425">
        <v>10</v>
      </c>
      <c r="K44" s="425">
        <v>11</v>
      </c>
      <c r="L44" s="425">
        <v>12</v>
      </c>
    </row>
    <row r="46" spans="1:37" ht="15.75" x14ac:dyDescent="0.25">
      <c r="A46" s="688" t="s">
        <v>48</v>
      </c>
      <c r="B46" s="688"/>
      <c r="C46" s="688"/>
      <c r="D46" s="688"/>
      <c r="E46" s="688"/>
      <c r="F46" s="688"/>
      <c r="G46" s="688"/>
      <c r="H46" s="688"/>
      <c r="I46" s="688"/>
      <c r="J46" s="688"/>
      <c r="K46" s="688"/>
      <c r="L46" s="688"/>
    </row>
    <row r="47" spans="1:37" ht="15.75" x14ac:dyDescent="0.25">
      <c r="A47" s="688" t="s">
        <v>388</v>
      </c>
      <c r="B47" s="688"/>
      <c r="C47" s="688"/>
      <c r="D47" s="688"/>
      <c r="E47" s="688"/>
      <c r="F47" s="688"/>
      <c r="G47" s="688"/>
      <c r="H47" s="688"/>
      <c r="I47" s="688"/>
      <c r="J47" s="688"/>
      <c r="K47" s="688"/>
      <c r="L47" s="688"/>
    </row>
    <row r="48" spans="1:37" ht="15.75" x14ac:dyDescent="0.25">
      <c r="A48" s="688" t="s">
        <v>389</v>
      </c>
      <c r="B48" s="688"/>
      <c r="C48" s="688"/>
      <c r="D48" s="688"/>
      <c r="E48" s="688"/>
      <c r="F48" s="688"/>
      <c r="G48" s="688"/>
      <c r="H48" s="688"/>
      <c r="I48" s="688"/>
      <c r="J48" s="688"/>
      <c r="K48" s="688"/>
      <c r="L48" s="688"/>
    </row>
    <row r="49" spans="1:37" ht="15.75" hidden="1" x14ac:dyDescent="0.25">
      <c r="A49" s="680" t="s">
        <v>49</v>
      </c>
      <c r="B49" s="681"/>
      <c r="C49" s="681"/>
      <c r="D49" s="681"/>
      <c r="E49" s="681"/>
      <c r="F49" s="681"/>
      <c r="G49" s="681"/>
      <c r="H49" s="681"/>
      <c r="I49" s="681"/>
      <c r="J49" s="681"/>
      <c r="K49" s="681"/>
      <c r="L49" s="682"/>
    </row>
    <row r="50" spans="1:37" ht="15.75" hidden="1" x14ac:dyDescent="0.2">
      <c r="A50" s="683" t="s">
        <v>50</v>
      </c>
      <c r="B50" s="683"/>
      <c r="C50" s="683"/>
      <c r="D50" s="683"/>
      <c r="E50" s="683"/>
      <c r="F50" s="683"/>
      <c r="G50" s="683"/>
      <c r="H50" s="683"/>
      <c r="I50" s="683"/>
      <c r="J50" s="683"/>
      <c r="K50" s="683"/>
      <c r="L50" s="683"/>
    </row>
    <row r="51" spans="1:37" ht="15.75" hidden="1" x14ac:dyDescent="0.2">
      <c r="A51" s="683" t="s">
        <v>51</v>
      </c>
      <c r="B51" s="683"/>
      <c r="C51" s="683"/>
      <c r="D51" s="683"/>
      <c r="E51" s="683"/>
      <c r="F51" s="683"/>
      <c r="G51" s="683"/>
      <c r="H51" s="683"/>
      <c r="I51" s="683"/>
      <c r="J51" s="683"/>
      <c r="K51" s="683"/>
      <c r="L51" s="683"/>
    </row>
    <row r="52" spans="1:37" ht="14.25" x14ac:dyDescent="0.2">
      <c r="A52" s="458" t="s">
        <v>379</v>
      </c>
      <c r="B52" s="426"/>
      <c r="C52" s="426"/>
      <c r="D52" s="426"/>
      <c r="E52" s="426"/>
      <c r="F52" s="426"/>
      <c r="G52" s="426"/>
      <c r="H52" s="426"/>
      <c r="I52" s="426"/>
      <c r="J52" s="426"/>
      <c r="K52" s="426"/>
      <c r="L52" s="426"/>
    </row>
    <row r="54" spans="1:37" ht="33" x14ac:dyDescent="0.25">
      <c r="A54" s="679" t="str">
        <f>CONCATENATE("Раздел: ",IF([86]Source!G26&lt;&gt;"Новый раздел", [86]Source!G26, ""))</f>
        <v>Раздел: ТОННЕЛИ ЗА СТ. "АМИНЬЕВСКОЕ ШОССЕ". ХОЗЯЙСТВЕННО-ПИТЬЕВОЙ, ПРОИЗВОДСТВЕННЫЙ И ПРОТИВОПОЖАРНЫЙ ТОННЕЛЬНЫЙ ВОДОПРОВОД В1Т</v>
      </c>
      <c r="B54" s="679"/>
      <c r="C54" s="679"/>
      <c r="D54" s="679"/>
      <c r="E54" s="679"/>
      <c r="F54" s="679"/>
      <c r="G54" s="679"/>
      <c r="H54" s="679"/>
      <c r="I54" s="679"/>
      <c r="J54" s="679"/>
      <c r="K54" s="679"/>
      <c r="L54" s="679"/>
      <c r="AK54" s="459" t="str">
        <f>CONCATENATE("Раздел: ",IF([86]Source!G26&lt;&gt;"Новый раздел", [86]Source!G26, ""))</f>
        <v>Раздел: ТОННЕЛИ ЗА СТ. "АМИНЬЕВСКОЕ ШОССЕ". ХОЗЯЙСТВЕННО-ПИТЬЕВОЙ, ПРОИЗВОДСТВЕННЫЙ И ПРОТИВОПОЖАРНЫЙ ТОННЕЛЬНЫЙ ВОДОПРОВОД В1Т</v>
      </c>
    </row>
    <row r="55" spans="1:37" ht="65.25" x14ac:dyDescent="0.2">
      <c r="A55" s="400">
        <v>1</v>
      </c>
      <c r="B55" s="400" t="str">
        <f>[86]Source!E109</f>
        <v>35</v>
      </c>
      <c r="C55" s="460" t="s">
        <v>272</v>
      </c>
      <c r="D55" s="460" t="s">
        <v>273</v>
      </c>
      <c r="E55" s="428" t="str">
        <f>[86]Source!H109</f>
        <v>100 м трубопровода</v>
      </c>
      <c r="F55" s="436">
        <f>[86]Source!I109</f>
        <v>1.69</v>
      </c>
      <c r="G55" s="461"/>
      <c r="H55" s="427"/>
      <c r="I55" s="436"/>
      <c r="J55" s="437"/>
      <c r="K55" s="436"/>
      <c r="L55" s="437"/>
      <c r="Q55" s="422">
        <f>ROUND(([86]Source!DN109/100)*ROUND((ROUND(([86]Source!AF109*[86]Source!AV109*[86]Source!I109),2)),2), 2)</f>
        <v>3408.6</v>
      </c>
      <c r="R55" s="422">
        <f>[86]Source!X109</f>
        <v>66072.3</v>
      </c>
      <c r="S55" s="422">
        <f>ROUND(([86]Source!DO109/100)*ROUND((ROUND(([86]Source!AF109*[86]Source!AV109*[86]Source!I109),2)),2), 2)</f>
        <v>2563.27</v>
      </c>
      <c r="T55" s="422">
        <f>[86]Source!Y109</f>
        <v>29732.54</v>
      </c>
      <c r="U55" s="422">
        <f>ROUND((175/100)*ROUND((ROUND(([86]Source!AE109*[86]Source!AV109*[86]Source!I109),2)),2), 2)</f>
        <v>163.52000000000001</v>
      </c>
      <c r="V55" s="422">
        <f>ROUND((157/100)*ROUND(ROUND((ROUND(([86]Source!AE109*[86]Source!AV109*[86]Source!I109),2)*[86]Source!BS109),2), 2), 2)</f>
        <v>3554.56</v>
      </c>
    </row>
    <row r="56" spans="1:37" ht="14.25" x14ac:dyDescent="0.2">
      <c r="A56" s="400"/>
      <c r="B56" s="400"/>
      <c r="C56" s="460"/>
      <c r="D56" s="460" t="s">
        <v>52</v>
      </c>
      <c r="E56" s="428"/>
      <c r="F56" s="436"/>
      <c r="G56" s="461">
        <f>[86]Source!AO109</f>
        <v>905.52</v>
      </c>
      <c r="H56" s="427" t="str">
        <f>[86]Source!DG109</f>
        <v>)*1,67</v>
      </c>
      <c r="I56" s="436">
        <f>[86]Source!AV109</f>
        <v>1.0669999999999999</v>
      </c>
      <c r="J56" s="437">
        <f>ROUND((ROUND(([86]Source!AF109*[86]Source!AV109*[86]Source!I109),2)),2)</f>
        <v>2726.88</v>
      </c>
      <c r="K56" s="436">
        <f>IF([86]Source!BA109&lt;&gt; 0, [86]Source!BA109, 1)</f>
        <v>24.23</v>
      </c>
      <c r="L56" s="437">
        <v>66072.240000000005</v>
      </c>
      <c r="W56" s="422">
        <f>J56</f>
        <v>2726.88</v>
      </c>
    </row>
    <row r="57" spans="1:37" ht="14.25" x14ac:dyDescent="0.2">
      <c r="A57" s="400"/>
      <c r="B57" s="400"/>
      <c r="C57" s="460"/>
      <c r="D57" s="460" t="s">
        <v>53</v>
      </c>
      <c r="E57" s="428"/>
      <c r="F57" s="436"/>
      <c r="G57" s="461">
        <f>[86]Source!AM109</f>
        <v>218.14</v>
      </c>
      <c r="H57" s="427"/>
      <c r="I57" s="436">
        <f>[86]Source!AV109</f>
        <v>1.0669999999999999</v>
      </c>
      <c r="J57" s="437">
        <f>(ROUND((ROUND((([86]Source!ET109)*[86]Source!AV109*[86]Source!I109),2)),2)+ROUND((ROUND((([86]Source!AE109-([86]Source!EU109))*[86]Source!AV109*[86]Source!I109),2)),2))-J66</f>
        <v>393.36</v>
      </c>
      <c r="K57" s="436">
        <f>IF([86]Source!BB109&lt;&gt; 0, [86]Source!BB109, 1)</f>
        <v>8.2200000000000006</v>
      </c>
      <c r="L57" s="437">
        <v>3233.39</v>
      </c>
    </row>
    <row r="58" spans="1:37" ht="14.25" x14ac:dyDescent="0.2">
      <c r="A58" s="400"/>
      <c r="B58" s="400"/>
      <c r="C58" s="460"/>
      <c r="D58" s="460" t="s">
        <v>54</v>
      </c>
      <c r="E58" s="428"/>
      <c r="F58" s="436"/>
      <c r="G58" s="461">
        <f>[86]Source!AN109</f>
        <v>31.03</v>
      </c>
      <c r="H58" s="427"/>
      <c r="I58" s="436">
        <f>[86]Source!AV109</f>
        <v>1.0669999999999999</v>
      </c>
      <c r="J58" s="435">
        <f>ROUND((ROUND(([86]Source!AE109*[86]Source!AV109*[86]Source!I109),2)),2)-J67</f>
        <v>55.95</v>
      </c>
      <c r="K58" s="436">
        <f>IF([86]Source!BS109&lt;&gt; 0, [86]Source!BS109, 1)</f>
        <v>24.23</v>
      </c>
      <c r="L58" s="435">
        <v>1355.77</v>
      </c>
      <c r="W58" s="422">
        <f>J58</f>
        <v>55.95</v>
      </c>
    </row>
    <row r="59" spans="1:37" ht="14.25" x14ac:dyDescent="0.2">
      <c r="A59" s="400"/>
      <c r="B59" s="400"/>
      <c r="C59" s="460"/>
      <c r="D59" s="460" t="s">
        <v>55</v>
      </c>
      <c r="E59" s="428"/>
      <c r="F59" s="436"/>
      <c r="G59" s="461">
        <f>[86]Source!AL109</f>
        <v>51.59</v>
      </c>
      <c r="H59" s="427"/>
      <c r="I59" s="436">
        <f>[86]Source!AW109</f>
        <v>1</v>
      </c>
      <c r="J59" s="437">
        <f>ROUND((ROUND(([86]Source!AC109*[86]Source!AW109*[86]Source!I109),2)),2)</f>
        <v>87.19</v>
      </c>
      <c r="K59" s="436">
        <f>IF([86]Source!BC109&lt;&gt; 0, [86]Source!BC109, 1)</f>
        <v>5.58</v>
      </c>
      <c r="L59" s="437">
        <v>486.5</v>
      </c>
    </row>
    <row r="60" spans="1:37" ht="14.25" x14ac:dyDescent="0.2">
      <c r="A60" s="400"/>
      <c r="B60" s="400"/>
      <c r="C60" s="460"/>
      <c r="D60" s="460" t="s">
        <v>56</v>
      </c>
      <c r="E60" s="428" t="s">
        <v>57</v>
      </c>
      <c r="F60" s="436">
        <f>[86]Source!DN109</f>
        <v>125</v>
      </c>
      <c r="G60" s="461"/>
      <c r="H60" s="427"/>
      <c r="I60" s="436"/>
      <c r="J60" s="437">
        <f>SUM(Q55:Q59)</f>
        <v>3408.6</v>
      </c>
      <c r="K60" s="436">
        <f>[86]Source!BZ109</f>
        <v>100</v>
      </c>
      <c r="L60" s="437">
        <v>66072.240000000005</v>
      </c>
    </row>
    <row r="61" spans="1:37" ht="14.25" x14ac:dyDescent="0.2">
      <c r="A61" s="400"/>
      <c r="B61" s="400"/>
      <c r="C61" s="460"/>
      <c r="D61" s="460" t="s">
        <v>58</v>
      </c>
      <c r="E61" s="428" t="s">
        <v>57</v>
      </c>
      <c r="F61" s="436">
        <f>[86]Source!DO109</f>
        <v>94</v>
      </c>
      <c r="G61" s="461"/>
      <c r="H61" s="427"/>
      <c r="I61" s="436"/>
      <c r="J61" s="437">
        <f>SUM(S55:S60)</f>
        <v>2563.27</v>
      </c>
      <c r="K61" s="436">
        <f>[86]Source!CA109</f>
        <v>45</v>
      </c>
      <c r="L61" s="437">
        <v>29732.51</v>
      </c>
    </row>
    <row r="62" spans="1:37" ht="14.25" x14ac:dyDescent="0.2">
      <c r="A62" s="400"/>
      <c r="B62" s="400"/>
      <c r="C62" s="460"/>
      <c r="D62" s="460" t="s">
        <v>59</v>
      </c>
      <c r="E62" s="428" t="s">
        <v>57</v>
      </c>
      <c r="F62" s="436">
        <f>175</f>
        <v>175</v>
      </c>
      <c r="G62" s="461"/>
      <c r="H62" s="427"/>
      <c r="I62" s="436"/>
      <c r="J62" s="437">
        <f>SUM(U55:U61)-J68</f>
        <v>97.91</v>
      </c>
      <c r="K62" s="436">
        <f>157</f>
        <v>157</v>
      </c>
      <c r="L62" s="437">
        <v>2128.56</v>
      </c>
    </row>
    <row r="63" spans="1:37" ht="14.25" x14ac:dyDescent="0.2">
      <c r="A63" s="400"/>
      <c r="B63" s="400"/>
      <c r="C63" s="460"/>
      <c r="D63" s="460" t="s">
        <v>60</v>
      </c>
      <c r="E63" s="428" t="s">
        <v>61</v>
      </c>
      <c r="F63" s="436">
        <f>[86]Source!AQ109</f>
        <v>72.5</v>
      </c>
      <c r="G63" s="461"/>
      <c r="H63" s="427"/>
      <c r="I63" s="436">
        <f>[86]Source!AV109</f>
        <v>1.0669999999999999</v>
      </c>
      <c r="J63" s="437">
        <f>[86]Source!U109</f>
        <v>130.72999999999999</v>
      </c>
      <c r="K63" s="436"/>
      <c r="L63" s="437"/>
    </row>
    <row r="64" spans="1:37" ht="15" x14ac:dyDescent="0.25">
      <c r="I64" s="678">
        <f>J56+J57+J59+J60+J61+J62</f>
        <v>9277.2099999999991</v>
      </c>
      <c r="J64" s="678"/>
      <c r="K64" s="678">
        <f>L56+L57+L59+L60+L61+L62</f>
        <v>167725.44</v>
      </c>
      <c r="L64" s="678"/>
      <c r="O64" s="462">
        <f>J56+J57+J59+J60+J61+J62</f>
        <v>9277.2099999999991</v>
      </c>
      <c r="P64" s="462">
        <f>L56+L57+L59+L60+L61+L62</f>
        <v>167725.44</v>
      </c>
      <c r="X64" s="422">
        <f>IF([86]Source!BI109&lt;=1,J56+J57+J59+J60+J61+J62-0, 0)</f>
        <v>9277.2099999999991</v>
      </c>
      <c r="Y64" s="422">
        <f>IF([86]Source!BI109=2,J56+J57+J59+J60+J61+J62-0, 0)</f>
        <v>0</v>
      </c>
      <c r="Z64" s="422">
        <f>IF([86]Source!BI109=3,J56+J57+J59+J60+J61+J62-0, 0)</f>
        <v>0</v>
      </c>
      <c r="AA64" s="422">
        <f>IF([86]Source!BI109=4,J56+J57+J59+J60+J61+J62,0)</f>
        <v>0</v>
      </c>
    </row>
    <row r="65" spans="1:27" ht="28.5" x14ac:dyDescent="0.2">
      <c r="A65" s="463"/>
      <c r="B65" s="463"/>
      <c r="C65" s="464"/>
      <c r="D65" s="464" t="s">
        <v>62</v>
      </c>
      <c r="E65" s="428"/>
      <c r="F65" s="434"/>
      <c r="G65" s="465"/>
      <c r="H65" s="428"/>
      <c r="I65" s="434"/>
      <c r="J65" s="435"/>
      <c r="K65" s="434"/>
      <c r="L65" s="435"/>
    </row>
    <row r="66" spans="1:27" ht="14.25" x14ac:dyDescent="0.2">
      <c r="A66" s="463"/>
      <c r="B66" s="463"/>
      <c r="C66" s="464"/>
      <c r="D66" s="464" t="s">
        <v>53</v>
      </c>
      <c r="E66" s="428"/>
      <c r="F66" s="434"/>
      <c r="G66" s="465">
        <f t="shared" ref="G66:L66" si="0">G67</f>
        <v>31.03</v>
      </c>
      <c r="H66" s="429" t="str">
        <f t="shared" si="0"/>
        <v>)*(1.67-1)</v>
      </c>
      <c r="I66" s="434">
        <f t="shared" si="0"/>
        <v>1.0669999999999999</v>
      </c>
      <c r="J66" s="435">
        <f t="shared" si="0"/>
        <v>37.49</v>
      </c>
      <c r="K66" s="434">
        <f t="shared" si="0"/>
        <v>24.23</v>
      </c>
      <c r="L66" s="435">
        <f t="shared" si="0"/>
        <v>908.37</v>
      </c>
    </row>
    <row r="67" spans="1:27" ht="14.25" x14ac:dyDescent="0.2">
      <c r="A67" s="463"/>
      <c r="B67" s="463"/>
      <c r="C67" s="464"/>
      <c r="D67" s="464" t="s">
        <v>54</v>
      </c>
      <c r="E67" s="428"/>
      <c r="F67" s="434"/>
      <c r="G67" s="465">
        <f>[86]Source!AN109</f>
        <v>31.03</v>
      </c>
      <c r="H67" s="429" t="s">
        <v>63</v>
      </c>
      <c r="I67" s="434">
        <f>[86]Source!AV109</f>
        <v>1.0669999999999999</v>
      </c>
      <c r="J67" s="435">
        <f>ROUND(F55*G67*I67*(1.67-1), 2)</f>
        <v>37.49</v>
      </c>
      <c r="K67" s="434">
        <f>IF([86]Source!BS109&lt;&gt; 0, [86]Source!BS109, 1)</f>
        <v>24.23</v>
      </c>
      <c r="L67" s="435">
        <f>ROUND(F55*G67*I67*(1.67-1)*K67, 2)</f>
        <v>908.37</v>
      </c>
      <c r="W67" s="422">
        <f>J67</f>
        <v>37.49</v>
      </c>
    </row>
    <row r="68" spans="1:27" ht="14.25" x14ac:dyDescent="0.2">
      <c r="A68" s="463"/>
      <c r="B68" s="463"/>
      <c r="C68" s="464"/>
      <c r="D68" s="464" t="s">
        <v>59</v>
      </c>
      <c r="E68" s="428" t="s">
        <v>57</v>
      </c>
      <c r="F68" s="434">
        <f>175</f>
        <v>175</v>
      </c>
      <c r="G68" s="465"/>
      <c r="H68" s="428"/>
      <c r="I68" s="434"/>
      <c r="J68" s="435">
        <f>ROUND(J67*(F68/100), 2)</f>
        <v>65.61</v>
      </c>
      <c r="K68" s="434">
        <f>157</f>
        <v>157</v>
      </c>
      <c r="L68" s="435">
        <f>ROUND(L67*(K68/100), 2)</f>
        <v>1426.14</v>
      </c>
    </row>
    <row r="69" spans="1:27" ht="15" x14ac:dyDescent="0.25">
      <c r="I69" s="678">
        <f>J68+J67</f>
        <v>103.1</v>
      </c>
      <c r="J69" s="678"/>
      <c r="K69" s="678">
        <f>L68+L67</f>
        <v>2334.5100000000002</v>
      </c>
      <c r="L69" s="678"/>
      <c r="O69" s="462">
        <f>I69</f>
        <v>103.1</v>
      </c>
      <c r="P69" s="462">
        <f>K69</f>
        <v>2334.5100000000002</v>
      </c>
      <c r="X69" s="422">
        <f>IF([86]Source!BI109&lt;=1,I69, 0)</f>
        <v>103.1</v>
      </c>
      <c r="Y69" s="422">
        <f>IF([86]Source!BI109=2,I69, 0)</f>
        <v>0</v>
      </c>
      <c r="Z69" s="422">
        <f>IF([86]Source!BI109=3,I69, 0)</f>
        <v>0</v>
      </c>
      <c r="AA69" s="422">
        <f>IF([86]Source!BI109=4,I69, 0)</f>
        <v>0</v>
      </c>
    </row>
    <row r="71" spans="1:27" ht="15" x14ac:dyDescent="0.25">
      <c r="A71" s="466"/>
      <c r="B71" s="466"/>
      <c r="C71" s="467"/>
      <c r="D71" s="467" t="s">
        <v>64</v>
      </c>
      <c r="E71" s="468"/>
      <c r="F71" s="469"/>
      <c r="G71" s="470"/>
      <c r="H71" s="430"/>
      <c r="I71" s="678">
        <f>I64+I69</f>
        <v>9380.31</v>
      </c>
      <c r="J71" s="678"/>
      <c r="K71" s="678">
        <f>K64+K69</f>
        <v>170059.95</v>
      </c>
      <c r="L71" s="678"/>
    </row>
    <row r="72" spans="1:27" ht="71.25" x14ac:dyDescent="0.2">
      <c r="A72" s="400">
        <v>2</v>
      </c>
      <c r="B72" s="400" t="str">
        <f>[86]Source!E111</f>
        <v>36</v>
      </c>
      <c r="C72" s="460" t="str">
        <f>[86]Source!F111</f>
        <v>1.12-7-138</v>
      </c>
      <c r="D72" s="460" t="s">
        <v>274</v>
      </c>
      <c r="E72" s="428" t="str">
        <f>[86]Source!H111</f>
        <v>м</v>
      </c>
      <c r="F72" s="436">
        <f>[86]Source!I111</f>
        <v>169</v>
      </c>
      <c r="G72" s="461">
        <f>[86]Source!AL111</f>
        <v>1286.57</v>
      </c>
      <c r="H72" s="427"/>
      <c r="I72" s="436">
        <f>[86]Source!AW111</f>
        <v>1</v>
      </c>
      <c r="J72" s="437">
        <f>ROUND((ROUND(([86]Source!AC111*[86]Source!AW111*[86]Source!I111),2)),2)</f>
        <v>217430.33</v>
      </c>
      <c r="K72" s="436">
        <f>IF([86]Source!BC111&lt;&gt; 0, [86]Source!BC111, 1)</f>
        <v>3.31</v>
      </c>
      <c r="L72" s="437">
        <f>[86]Source!P111</f>
        <v>719694.39</v>
      </c>
      <c r="Q72" s="422">
        <f>ROUND(([86]Source!DN111/100)*ROUND((ROUND(([86]Source!AF111*[86]Source!AV111*[86]Source!I111),2)),2), 2)</f>
        <v>0</v>
      </c>
      <c r="R72" s="422">
        <f>[86]Source!X111</f>
        <v>0</v>
      </c>
      <c r="S72" s="422">
        <f>ROUND(([86]Source!DO111/100)*ROUND((ROUND(([86]Source!AF111*[86]Source!AV111*[86]Source!I111),2)),2), 2)</f>
        <v>0</v>
      </c>
      <c r="T72" s="422">
        <f>[86]Source!Y111</f>
        <v>0</v>
      </c>
      <c r="U72" s="422">
        <f>ROUND((175/100)*ROUND((ROUND(([86]Source!AE111*[86]Source!AV111*[86]Source!I111),2)),2), 2)</f>
        <v>0</v>
      </c>
      <c r="V72" s="422">
        <f>ROUND((157/100)*ROUND(ROUND((ROUND(([86]Source!AE111*[86]Source!AV111*[86]Source!I111),2)*[86]Source!BS111),2), 2), 2)</f>
        <v>0</v>
      </c>
    </row>
    <row r="73" spans="1:27" ht="15" x14ac:dyDescent="0.25">
      <c r="A73" s="431"/>
      <c r="B73" s="431"/>
      <c r="C73" s="431"/>
      <c r="D73" s="431"/>
      <c r="E73" s="431"/>
      <c r="F73" s="431"/>
      <c r="G73" s="431"/>
      <c r="H73" s="431"/>
      <c r="I73" s="678">
        <f>J72</f>
        <v>217430.33</v>
      </c>
      <c r="J73" s="678"/>
      <c r="K73" s="678">
        <f>L72</f>
        <v>719694.39</v>
      </c>
      <c r="L73" s="678"/>
      <c r="O73" s="462">
        <f>J72</f>
        <v>217430.33</v>
      </c>
      <c r="P73" s="462">
        <f>L72</f>
        <v>719694.39</v>
      </c>
      <c r="X73" s="422">
        <f>IF([86]Source!BI111&lt;=1,J72-0, 0)</f>
        <v>217430.33</v>
      </c>
      <c r="Y73" s="422">
        <f>IF([86]Source!BI111=2,J72-0, 0)</f>
        <v>0</v>
      </c>
      <c r="Z73" s="422">
        <f>IF([86]Source!BI111=3,J72-0, 0)</f>
        <v>0</v>
      </c>
      <c r="AA73" s="422">
        <f>IF([86]Source!BI111=4,J72,0)</f>
        <v>0</v>
      </c>
    </row>
    <row r="74" spans="1:27" ht="14.25" x14ac:dyDescent="0.2">
      <c r="A74" s="400">
        <v>3</v>
      </c>
      <c r="B74" s="400">
        <v>54</v>
      </c>
      <c r="C74" s="460" t="str">
        <f>[86]Source!F151</f>
        <v>1.1-1-1002</v>
      </c>
      <c r="D74" s="460" t="s">
        <v>275</v>
      </c>
      <c r="E74" s="428" t="str">
        <f>[86]Source!H151</f>
        <v>кг</v>
      </c>
      <c r="F74" s="436">
        <f>[86]Source!I151</f>
        <v>9.64</v>
      </c>
      <c r="G74" s="461">
        <f>[86]Source!AL151</f>
        <v>20.89</v>
      </c>
      <c r="H74" s="427"/>
      <c r="I74" s="436">
        <f>[86]Source!AW151</f>
        <v>1</v>
      </c>
      <c r="J74" s="437">
        <f>ROUND((ROUND(([86]Source!AC151*[86]Source!AW151*[86]Source!I151),2)),2)</f>
        <v>201.38</v>
      </c>
      <c r="K74" s="436">
        <f>IF([86]Source!BC151&lt;&gt; 0, [86]Source!BC151, 1)</f>
        <v>12.53</v>
      </c>
      <c r="L74" s="437">
        <f>[86]Source!P151</f>
        <v>2523.29</v>
      </c>
      <c r="Q74" s="422">
        <f>ROUND(([86]Source!DN151/100)*ROUND((ROUND(([86]Source!AF151*[86]Source!AV151*[86]Source!I151),2)),2), 2)</f>
        <v>0</v>
      </c>
      <c r="R74" s="422">
        <f>[86]Source!X151</f>
        <v>0</v>
      </c>
      <c r="S74" s="422">
        <f>ROUND(([86]Source!DO151/100)*ROUND((ROUND(([86]Source!AF151*[86]Source!AV151*[86]Source!I151),2)),2), 2)</f>
        <v>0</v>
      </c>
      <c r="T74" s="422">
        <f>[86]Source!Y151</f>
        <v>0</v>
      </c>
      <c r="U74" s="422">
        <f>ROUND((175/100)*ROUND((ROUND(([86]Source!AE151*[86]Source!AV151*[86]Source!I151),2)),2), 2)</f>
        <v>0</v>
      </c>
      <c r="V74" s="422">
        <f>ROUND((157/100)*ROUND(ROUND((ROUND(([86]Source!AE151*[86]Source!AV151*[86]Source!I151),2)*[86]Source!BS151),2), 2), 2)</f>
        <v>0</v>
      </c>
    </row>
    <row r="75" spans="1:27" ht="15" x14ac:dyDescent="0.25">
      <c r="A75" s="431"/>
      <c r="B75" s="431"/>
      <c r="C75" s="431"/>
      <c r="D75" s="431"/>
      <c r="E75" s="431"/>
      <c r="F75" s="431"/>
      <c r="G75" s="431"/>
      <c r="H75" s="431"/>
      <c r="I75" s="678">
        <f>J74</f>
        <v>201.38</v>
      </c>
      <c r="J75" s="678"/>
      <c r="K75" s="678">
        <f>L74</f>
        <v>2523.29</v>
      </c>
      <c r="L75" s="678"/>
      <c r="O75" s="462">
        <f>J74</f>
        <v>201.38</v>
      </c>
      <c r="P75" s="462">
        <f>L74</f>
        <v>2523.29</v>
      </c>
      <c r="X75" s="422">
        <f>IF([86]Source!BI151&lt;=1,J74-0, 0)</f>
        <v>201.38</v>
      </c>
      <c r="Y75" s="422">
        <f>IF([86]Source!BI151=2,J74-0, 0)</f>
        <v>0</v>
      </c>
      <c r="Z75" s="422">
        <f>IF([86]Source!BI151=3,J74-0, 0)</f>
        <v>0</v>
      </c>
      <c r="AA75" s="422">
        <f>IF([86]Source!BI151=4,J74,0)</f>
        <v>0</v>
      </c>
    </row>
    <row r="76" spans="1:27" ht="28.5" x14ac:dyDescent="0.2">
      <c r="A76" s="400">
        <v>4</v>
      </c>
      <c r="B76" s="400">
        <v>55</v>
      </c>
      <c r="C76" s="460" t="str">
        <f>[86]Source!F153</f>
        <v>1.1-1-3732</v>
      </c>
      <c r="D76" s="460" t="s">
        <v>247</v>
      </c>
      <c r="E76" s="428" t="str">
        <f>[86]Source!H153</f>
        <v>100 шт.</v>
      </c>
      <c r="F76" s="436">
        <f>[86]Source!I153</f>
        <v>2.8239999999999998</v>
      </c>
      <c r="G76" s="461">
        <f>[86]Source!AL153</f>
        <v>679.91</v>
      </c>
      <c r="H76" s="427"/>
      <c r="I76" s="436">
        <f>[86]Source!AW153</f>
        <v>1</v>
      </c>
      <c r="J76" s="437">
        <f>ROUND((ROUND(([86]Source!AC153*[86]Source!AW153*[86]Source!I153),2)),2)</f>
        <v>1920.07</v>
      </c>
      <c r="K76" s="436">
        <f>IF([86]Source!BC153&lt;&gt; 0, [86]Source!BC153, 1)</f>
        <v>1.21</v>
      </c>
      <c r="L76" s="437">
        <f>[86]Source!P153</f>
        <v>2323.2800000000002</v>
      </c>
      <c r="Q76" s="422">
        <f>ROUND(([86]Source!DN153/100)*ROUND((ROUND(([86]Source!AF153*[86]Source!AV153*[86]Source!I153),2)),2), 2)</f>
        <v>0</v>
      </c>
      <c r="R76" s="422">
        <f>[86]Source!X153</f>
        <v>0</v>
      </c>
      <c r="S76" s="422">
        <f>ROUND(([86]Source!DO153/100)*ROUND((ROUND(([86]Source!AF153*[86]Source!AV153*[86]Source!I153),2)),2), 2)</f>
        <v>0</v>
      </c>
      <c r="T76" s="422">
        <f>[86]Source!Y153</f>
        <v>0</v>
      </c>
      <c r="U76" s="422">
        <f>ROUND((175/100)*ROUND((ROUND(([86]Source!AE153*[86]Source!AV153*[86]Source!I153),2)),2), 2)</f>
        <v>0</v>
      </c>
      <c r="V76" s="422">
        <f>ROUND((157/100)*ROUND(ROUND((ROUND(([86]Source!AE153*[86]Source!AV153*[86]Source!I153),2)*[86]Source!BS153),2), 2), 2)</f>
        <v>0</v>
      </c>
    </row>
    <row r="77" spans="1:27" ht="15" x14ac:dyDescent="0.25">
      <c r="A77" s="431"/>
      <c r="B77" s="431"/>
      <c r="C77" s="431"/>
      <c r="D77" s="431"/>
      <c r="E77" s="431"/>
      <c r="F77" s="431"/>
      <c r="G77" s="431"/>
      <c r="H77" s="431"/>
      <c r="I77" s="678">
        <f>J76</f>
        <v>1920.07</v>
      </c>
      <c r="J77" s="678"/>
      <c r="K77" s="678">
        <f>L76</f>
        <v>2323.2800000000002</v>
      </c>
      <c r="L77" s="678"/>
      <c r="O77" s="462">
        <f>J76</f>
        <v>1920.07</v>
      </c>
      <c r="P77" s="462">
        <f>L76</f>
        <v>2323.2800000000002</v>
      </c>
      <c r="X77" s="422">
        <f>IF([86]Source!BI153&lt;=1,J76-0, 0)</f>
        <v>1920.07</v>
      </c>
      <c r="Y77" s="422">
        <f>IF([86]Source!BI153=2,J76-0, 0)</f>
        <v>0</v>
      </c>
      <c r="Z77" s="422">
        <f>IF([86]Source!BI153=3,J76-0, 0)</f>
        <v>0</v>
      </c>
      <c r="AA77" s="422">
        <f>IF([86]Source!BI153=4,J76,0)</f>
        <v>0</v>
      </c>
    </row>
    <row r="78" spans="1:27" ht="28.5" x14ac:dyDescent="0.2">
      <c r="A78" s="400">
        <v>5</v>
      </c>
      <c r="B78" s="400">
        <v>56</v>
      </c>
      <c r="C78" s="460" t="str">
        <f>[86]Source!F155</f>
        <v>1.1-1-3733</v>
      </c>
      <c r="D78" s="460" t="s">
        <v>248</v>
      </c>
      <c r="E78" s="428" t="str">
        <f>[86]Source!H155</f>
        <v>100 шт.</v>
      </c>
      <c r="F78" s="436">
        <f>[86]Source!I155</f>
        <v>1.3759999999999999</v>
      </c>
      <c r="G78" s="461">
        <f>[86]Source!AL155</f>
        <v>98.74</v>
      </c>
      <c r="H78" s="427"/>
      <c r="I78" s="436">
        <f>[86]Source!AW155</f>
        <v>1</v>
      </c>
      <c r="J78" s="437">
        <f>ROUND((ROUND(([86]Source!AC155*[86]Source!AW155*[86]Source!I155),2)),2)</f>
        <v>135.87</v>
      </c>
      <c r="K78" s="436">
        <f>IF([86]Source!BC155&lt;&gt; 0, [86]Source!BC155, 1)</f>
        <v>1.95</v>
      </c>
      <c r="L78" s="437">
        <v>264.94</v>
      </c>
      <c r="Q78" s="422">
        <f>ROUND(([86]Source!DN155/100)*ROUND((ROUND(([86]Source!AF155*[86]Source!AV155*[86]Source!I155),2)),2), 2)</f>
        <v>0</v>
      </c>
      <c r="R78" s="422">
        <f>[86]Source!X155</f>
        <v>0</v>
      </c>
      <c r="S78" s="422">
        <f>ROUND(([86]Source!DO155/100)*ROUND((ROUND(([86]Source!AF155*[86]Source!AV155*[86]Source!I155),2)),2), 2)</f>
        <v>0</v>
      </c>
      <c r="T78" s="422">
        <f>[86]Source!Y155</f>
        <v>0</v>
      </c>
      <c r="U78" s="422">
        <f>ROUND((175/100)*ROUND((ROUND(([86]Source!AE155*[86]Source!AV155*[86]Source!I155),2)),2), 2)</f>
        <v>0</v>
      </c>
      <c r="V78" s="422">
        <f>ROUND((157/100)*ROUND(ROUND((ROUND(([86]Source!AE155*[86]Source!AV155*[86]Source!I155),2)*[86]Source!BS155),2), 2), 2)</f>
        <v>0</v>
      </c>
    </row>
    <row r="79" spans="1:27" ht="15" x14ac:dyDescent="0.25">
      <c r="A79" s="431"/>
      <c r="B79" s="431"/>
      <c r="C79" s="431"/>
      <c r="D79" s="431"/>
      <c r="E79" s="431"/>
      <c r="F79" s="431"/>
      <c r="G79" s="431"/>
      <c r="H79" s="431"/>
      <c r="I79" s="678">
        <f>J78</f>
        <v>135.87</v>
      </c>
      <c r="J79" s="678"/>
      <c r="K79" s="678">
        <f>L78</f>
        <v>264.94</v>
      </c>
      <c r="L79" s="678"/>
      <c r="O79" s="462">
        <f>J78</f>
        <v>135.87</v>
      </c>
      <c r="P79" s="462">
        <f>L78</f>
        <v>264.94</v>
      </c>
      <c r="X79" s="422">
        <f>IF([86]Source!BI155&lt;=1,J78-0, 0)</f>
        <v>135.87</v>
      </c>
      <c r="Y79" s="422">
        <f>IF([86]Source!BI155=2,J78-0, 0)</f>
        <v>0</v>
      </c>
      <c r="Z79" s="422">
        <f>IF([86]Source!BI155=3,J78-0, 0)</f>
        <v>0</v>
      </c>
      <c r="AA79" s="422">
        <f>IF([86]Source!BI155=4,J78,0)</f>
        <v>0</v>
      </c>
    </row>
    <row r="80" spans="1:27" ht="14.25" x14ac:dyDescent="0.2">
      <c r="A80" s="400">
        <v>6</v>
      </c>
      <c r="B80" s="400">
        <v>66</v>
      </c>
      <c r="C80" s="460" t="str">
        <f>[86]Source!F175</f>
        <v>1.1-1-1002</v>
      </c>
      <c r="D80" s="460" t="s">
        <v>275</v>
      </c>
      <c r="E80" s="428" t="str">
        <f>[86]Source!H175</f>
        <v>кг</v>
      </c>
      <c r="F80" s="436">
        <f>[86]Source!I175</f>
        <v>20.239999999999998</v>
      </c>
      <c r="G80" s="461">
        <f>[86]Source!AL175</f>
        <v>20.89</v>
      </c>
      <c r="H80" s="427"/>
      <c r="I80" s="436">
        <f>[86]Source!AW175</f>
        <v>1</v>
      </c>
      <c r="J80" s="437">
        <f>ROUND((ROUND(([86]Source!AC175*[86]Source!AW175*[86]Source!I175),2)),2)</f>
        <v>422.81</v>
      </c>
      <c r="K80" s="436">
        <f>IF([86]Source!BC175&lt;&gt; 0, [86]Source!BC175, 1)</f>
        <v>12.53</v>
      </c>
      <c r="L80" s="437">
        <v>5297.85</v>
      </c>
      <c r="Q80" s="422">
        <f>ROUND(([86]Source!DN175/100)*ROUND((ROUND(([86]Source!AF175*[86]Source!AV175*[86]Source!I175),2)),2), 2)</f>
        <v>0</v>
      </c>
      <c r="R80" s="422">
        <f>[86]Source!X175</f>
        <v>0</v>
      </c>
      <c r="S80" s="422">
        <f>ROUND(([86]Source!DO175/100)*ROUND((ROUND(([86]Source!AF175*[86]Source!AV175*[86]Source!I175),2)),2), 2)</f>
        <v>0</v>
      </c>
      <c r="T80" s="422">
        <f>[86]Source!Y175</f>
        <v>0</v>
      </c>
      <c r="U80" s="422">
        <f>ROUND((175/100)*ROUND((ROUND(([86]Source!AE175*[86]Source!AV175*[86]Source!I175),2)),2), 2)</f>
        <v>0</v>
      </c>
      <c r="V80" s="422">
        <f>ROUND((157/100)*ROUND(ROUND((ROUND(([86]Source!AE175*[86]Source!AV175*[86]Source!I175),2)*[86]Source!BS175),2), 2), 2)</f>
        <v>0</v>
      </c>
    </row>
    <row r="81" spans="1:38" ht="15" x14ac:dyDescent="0.25">
      <c r="A81" s="431"/>
      <c r="B81" s="431"/>
      <c r="C81" s="431"/>
      <c r="D81" s="431"/>
      <c r="E81" s="431"/>
      <c r="F81" s="431"/>
      <c r="G81" s="431"/>
      <c r="H81" s="431"/>
      <c r="I81" s="678">
        <f>J80</f>
        <v>422.81</v>
      </c>
      <c r="J81" s="678"/>
      <c r="K81" s="678">
        <f>L80</f>
        <v>5297.85</v>
      </c>
      <c r="L81" s="678"/>
      <c r="O81" s="462">
        <f>J80</f>
        <v>422.81</v>
      </c>
      <c r="P81" s="462">
        <f>L80</f>
        <v>5297.85</v>
      </c>
      <c r="X81" s="422">
        <f>IF([86]Source!BI175&lt;=1,J80-0, 0)</f>
        <v>422.81</v>
      </c>
      <c r="Y81" s="422">
        <f>IF([86]Source!BI175=2,J80-0, 0)</f>
        <v>0</v>
      </c>
      <c r="Z81" s="422">
        <f>IF([86]Source!BI175=3,J80-0, 0)</f>
        <v>0</v>
      </c>
      <c r="AA81" s="422">
        <f>IF([86]Source!BI175=4,J80,0)</f>
        <v>0</v>
      </c>
    </row>
    <row r="82" spans="1:38" ht="28.5" x14ac:dyDescent="0.2">
      <c r="A82" s="400">
        <v>7</v>
      </c>
      <c r="B82" s="400">
        <v>67</v>
      </c>
      <c r="C82" s="460" t="str">
        <f>[86]Source!F177</f>
        <v>1.1-1-3732</v>
      </c>
      <c r="D82" s="460" t="s">
        <v>247</v>
      </c>
      <c r="E82" s="428" t="str">
        <f>[86]Source!H177</f>
        <v>100 шт.</v>
      </c>
      <c r="F82" s="436">
        <f>[86]Source!I177</f>
        <v>7.36</v>
      </c>
      <c r="G82" s="461">
        <f>[86]Source!AL177</f>
        <v>679.91</v>
      </c>
      <c r="H82" s="427"/>
      <c r="I82" s="436">
        <f>[86]Source!AW177</f>
        <v>1</v>
      </c>
      <c r="J82" s="437">
        <f>ROUND((ROUND(([86]Source!AC177*[86]Source!AW177*[86]Source!I177),2)),2)</f>
        <v>5004.1400000000003</v>
      </c>
      <c r="K82" s="436">
        <f>IF([86]Source!BC177&lt;&gt; 0, [86]Source!BC177, 1)</f>
        <v>1.21</v>
      </c>
      <c r="L82" s="437">
        <f>[86]Source!P177</f>
        <v>6055.01</v>
      </c>
      <c r="Q82" s="422">
        <f>ROUND(([86]Source!DN177/100)*ROUND((ROUND(([86]Source!AF177*[86]Source!AV177*[86]Source!I177),2)),2), 2)</f>
        <v>0</v>
      </c>
      <c r="R82" s="422">
        <f>[86]Source!X177</f>
        <v>0</v>
      </c>
      <c r="S82" s="422">
        <f>ROUND(([86]Source!DO177/100)*ROUND((ROUND(([86]Source!AF177*[86]Source!AV177*[86]Source!I177),2)),2), 2)</f>
        <v>0</v>
      </c>
      <c r="T82" s="422">
        <f>[86]Source!Y177</f>
        <v>0</v>
      </c>
      <c r="U82" s="422">
        <f>ROUND((175/100)*ROUND((ROUND(([86]Source!AE177*[86]Source!AV177*[86]Source!I177),2)),2), 2)</f>
        <v>0</v>
      </c>
      <c r="V82" s="422">
        <f>ROUND((157/100)*ROUND(ROUND((ROUND(([86]Source!AE177*[86]Source!AV177*[86]Source!I177),2)*[86]Source!BS177),2), 2), 2)</f>
        <v>0</v>
      </c>
    </row>
    <row r="83" spans="1:38" ht="15" x14ac:dyDescent="0.25">
      <c r="A83" s="431"/>
      <c r="B83" s="431"/>
      <c r="C83" s="431"/>
      <c r="D83" s="431"/>
      <c r="E83" s="431"/>
      <c r="F83" s="431"/>
      <c r="G83" s="431"/>
      <c r="H83" s="431"/>
      <c r="I83" s="678">
        <f>J82</f>
        <v>5004.1400000000003</v>
      </c>
      <c r="J83" s="678"/>
      <c r="K83" s="678">
        <f>L82</f>
        <v>6055.01</v>
      </c>
      <c r="L83" s="678"/>
      <c r="O83" s="462">
        <f>J82</f>
        <v>5004.1400000000003</v>
      </c>
      <c r="P83" s="462">
        <f>L82</f>
        <v>6055.01</v>
      </c>
      <c r="X83" s="422">
        <f>IF([86]Source!BI177&lt;=1,J82-0, 0)</f>
        <v>5004.1400000000003</v>
      </c>
      <c r="Y83" s="422">
        <f>IF([86]Source!BI177=2,J82-0, 0)</f>
        <v>0</v>
      </c>
      <c r="Z83" s="422">
        <f>IF([86]Source!BI177=3,J82-0, 0)</f>
        <v>0</v>
      </c>
      <c r="AA83" s="422">
        <f>IF([86]Source!BI177=4,J82,0)</f>
        <v>0</v>
      </c>
    </row>
    <row r="84" spans="1:38" ht="28.5" x14ac:dyDescent="0.2">
      <c r="A84" s="400">
        <v>8</v>
      </c>
      <c r="B84" s="400">
        <v>68</v>
      </c>
      <c r="C84" s="460" t="str">
        <f>[86]Source!F179</f>
        <v>1.1-1-3733</v>
      </c>
      <c r="D84" s="460" t="s">
        <v>248</v>
      </c>
      <c r="E84" s="428" t="str">
        <f>[86]Source!H179</f>
        <v>100 шт.</v>
      </c>
      <c r="F84" s="436">
        <f>[86]Source!I179</f>
        <v>3.68</v>
      </c>
      <c r="G84" s="461">
        <f>[86]Source!AL179</f>
        <v>98.74</v>
      </c>
      <c r="H84" s="427"/>
      <c r="I84" s="436">
        <f>[86]Source!AW179</f>
        <v>1</v>
      </c>
      <c r="J84" s="437">
        <f>ROUND((ROUND(([86]Source!AC179*[86]Source!AW179*[86]Source!I179),2)),2)</f>
        <v>363.36</v>
      </c>
      <c r="K84" s="436">
        <f>IF([86]Source!BC179&lt;&gt; 0, [86]Source!BC179, 1)</f>
        <v>1.95</v>
      </c>
      <c r="L84" s="437">
        <v>708.56</v>
      </c>
      <c r="Q84" s="422">
        <f>ROUND(([86]Source!DN179/100)*ROUND((ROUND(([86]Source!AF179*[86]Source!AV179*[86]Source!I179),2)),2), 2)</f>
        <v>0</v>
      </c>
      <c r="R84" s="422">
        <f>[86]Source!X179</f>
        <v>0</v>
      </c>
      <c r="S84" s="422">
        <f>ROUND(([86]Source!DO179/100)*ROUND((ROUND(([86]Source!AF179*[86]Source!AV179*[86]Source!I179),2)),2), 2)</f>
        <v>0</v>
      </c>
      <c r="T84" s="422">
        <f>[86]Source!Y179</f>
        <v>0</v>
      </c>
      <c r="U84" s="422">
        <f>ROUND((175/100)*ROUND((ROUND(([86]Source!AE179*[86]Source!AV179*[86]Source!I179),2)),2), 2)</f>
        <v>0</v>
      </c>
      <c r="V84" s="422">
        <f>ROUND((157/100)*ROUND(ROUND((ROUND(([86]Source!AE179*[86]Source!AV179*[86]Source!I179),2)*[86]Source!BS179),2), 2), 2)</f>
        <v>0</v>
      </c>
    </row>
    <row r="85" spans="1:38" ht="15" x14ac:dyDescent="0.25">
      <c r="A85" s="431"/>
      <c r="B85" s="431"/>
      <c r="C85" s="431"/>
      <c r="D85" s="431"/>
      <c r="E85" s="431"/>
      <c r="F85" s="431"/>
      <c r="G85" s="431"/>
      <c r="H85" s="431"/>
      <c r="I85" s="678">
        <f>J84</f>
        <v>363.36</v>
      </c>
      <c r="J85" s="678"/>
      <c r="K85" s="678">
        <f>L84</f>
        <v>708.56</v>
      </c>
      <c r="L85" s="678"/>
      <c r="O85" s="462">
        <f>J84</f>
        <v>363.36</v>
      </c>
      <c r="P85" s="462">
        <f>L84</f>
        <v>708.56</v>
      </c>
      <c r="X85" s="422">
        <f>IF([86]Source!BI179&lt;=1,J84-0, 0)</f>
        <v>363.36</v>
      </c>
      <c r="Y85" s="422">
        <f>IF([86]Source!BI179=2,J84-0, 0)</f>
        <v>0</v>
      </c>
      <c r="Z85" s="422">
        <f>IF([86]Source!BI179=3,J84-0, 0)</f>
        <v>0</v>
      </c>
      <c r="AA85" s="422">
        <f>IF([86]Source!BI179=4,J84,0)</f>
        <v>0</v>
      </c>
    </row>
    <row r="87" spans="1:38" ht="30" x14ac:dyDescent="0.25">
      <c r="A87" s="677" t="str">
        <f>CONCATENATE("Итого по разделу: ",IF([86]Source!G231&lt;&gt;"Новый раздел", [86]Source!G231, ""))</f>
        <v>Итого по разделу: ТОННЕЛИ ЗА СТ. "АМИНЬЕВСКОЕ ШОССЕ". ХОЗЯЙСТВЕННО-ПИТЬЕВОЙ, ПРОИЗВОДСТВЕННЫЙ И ПРОТИВОПОЖАРНЫЙ ТОННЕЛЬНЫЙ ВОДОПРОВОД В1Т</v>
      </c>
      <c r="B87" s="677"/>
      <c r="C87" s="677"/>
      <c r="D87" s="677"/>
      <c r="E87" s="677"/>
      <c r="F87" s="677"/>
      <c r="G87" s="677"/>
      <c r="H87" s="677"/>
      <c r="I87" s="675">
        <f>SUM(O54:O86)</f>
        <v>234858.27</v>
      </c>
      <c r="J87" s="676"/>
      <c r="K87" s="675">
        <f>SUM(P54:P86)</f>
        <v>906927.27</v>
      </c>
      <c r="L87" s="676"/>
      <c r="AL87" s="471" t="str">
        <f>CONCATENATE("Итого по разделу: ",IF([86]Source!G231&lt;&gt;"Новый раздел", [86]Source!G231, ""))</f>
        <v>Итого по разделу: ТОННЕЛИ ЗА СТ. "АМИНЬЕВСКОЕ ШОССЕ". ХОЗЯЙСТВЕННО-ПИТЬЕВОЙ, ПРОИЗВОДСТВЕННЫЙ И ПРОТИВОПОЖАРНЫЙ ТОННЕЛЬНЫЙ ВОДОПРОВОД В1Т</v>
      </c>
    </row>
    <row r="88" spans="1:38" hidden="1" x14ac:dyDescent="0.2">
      <c r="A88" s="422" t="s">
        <v>67</v>
      </c>
      <c r="J88" s="422">
        <f>SUM(AC54:AC87)</f>
        <v>0</v>
      </c>
      <c r="K88" s="422">
        <f>SUM(AD54:AD87)</f>
        <v>0</v>
      </c>
    </row>
    <row r="89" spans="1:38" hidden="1" x14ac:dyDescent="0.2">
      <c r="A89" s="422" t="s">
        <v>68</v>
      </c>
      <c r="J89" s="422">
        <f>SUM(AE54:AE88)</f>
        <v>0</v>
      </c>
      <c r="K89" s="422">
        <f>SUM(AF54:AF88)</f>
        <v>0</v>
      </c>
    </row>
    <row r="91" spans="1:38" ht="33" x14ac:dyDescent="0.25">
      <c r="A91" s="679" t="str">
        <f>CONCATENATE("Раздел: ",IF([86]Source!G260&lt;&gt;"Новый раздел", [86]Source!G260, ""))</f>
        <v>Раздел: ТУПИК ЗА СТ."АМИНЬЕВСКОЕ ШОССЕ". ХОЗЯЙСТВЕННО-ПИТЬЕВОЙ, ПРОИЗВОДСТВЕННЫЙ И ПРОТИВОПОЖАРНЫЙ ТОННЕЛЬНЫЙ ВОДОПРОВОД В1Т</v>
      </c>
      <c r="B91" s="679"/>
      <c r="C91" s="679"/>
      <c r="D91" s="679"/>
      <c r="E91" s="679"/>
      <c r="F91" s="679"/>
      <c r="G91" s="679"/>
      <c r="H91" s="679"/>
      <c r="I91" s="679"/>
      <c r="J91" s="679"/>
      <c r="K91" s="679"/>
      <c r="L91" s="679"/>
      <c r="AK91" s="459" t="str">
        <f>CONCATENATE("Раздел: ",IF([86]Source!G260&lt;&gt;"Новый раздел", [86]Source!G260, ""))</f>
        <v>Раздел: ТУПИК ЗА СТ."АМИНЬЕВСКОЕ ШОССЕ". ХОЗЯЙСТВЕННО-ПИТЬЕВОЙ, ПРОИЗВОДСТВЕННЫЙ И ПРОТИВОПОЖАРНЫЙ ТОННЕЛЬНЫЙ ВОДОПРОВОД В1Т</v>
      </c>
    </row>
    <row r="92" spans="1:38" ht="71.25" x14ac:dyDescent="0.2">
      <c r="A92" s="400">
        <v>9</v>
      </c>
      <c r="B92" s="400">
        <v>92</v>
      </c>
      <c r="C92" s="460" t="str">
        <f>[86]Source!F277</f>
        <v>1.12-7-98</v>
      </c>
      <c r="D92" s="460" t="s">
        <v>235</v>
      </c>
      <c r="E92" s="428" t="str">
        <f>[86]Source!H277</f>
        <v>м</v>
      </c>
      <c r="F92" s="436">
        <f>[86]Source!I277</f>
        <v>1</v>
      </c>
      <c r="G92" s="461">
        <f>[86]Source!AL277</f>
        <v>451.61</v>
      </c>
      <c r="H92" s="427"/>
      <c r="I92" s="436">
        <f>[86]Source!AW277</f>
        <v>1</v>
      </c>
      <c r="J92" s="437">
        <f>ROUND((ROUND(([86]Source!AC277*[86]Source!AW277*[86]Source!I277),2)),2)</f>
        <v>451.61</v>
      </c>
      <c r="K92" s="436">
        <f>IF([86]Source!BC277&lt;&gt; 0, [86]Source!BC277, 1)</f>
        <v>3.41</v>
      </c>
      <c r="L92" s="437">
        <f>[86]Source!P277</f>
        <v>1539.99</v>
      </c>
      <c r="Q92" s="422">
        <f>ROUND(([86]Source!DN277/100)*ROUND((ROUND(([86]Source!AF277*[86]Source!AV277*[86]Source!I277),2)),2), 2)</f>
        <v>0</v>
      </c>
      <c r="R92" s="422">
        <f>[86]Source!X277</f>
        <v>0</v>
      </c>
      <c r="S92" s="422">
        <f>ROUND(([86]Source!DO277/100)*ROUND((ROUND(([86]Source!AF277*[86]Source!AV277*[86]Source!I277),2)),2), 2)</f>
        <v>0</v>
      </c>
      <c r="T92" s="422">
        <f>[86]Source!Y277</f>
        <v>0</v>
      </c>
      <c r="U92" s="422">
        <f>ROUND((175/100)*ROUND((ROUND(([86]Source!AE277*[86]Source!AV277*[86]Source!I277),2)),2), 2)</f>
        <v>0</v>
      </c>
      <c r="V92" s="422">
        <f>ROUND((157/100)*ROUND(ROUND((ROUND(([86]Source!AE277*[86]Source!AV277*[86]Source!I277),2)*[86]Source!BS277),2), 2), 2)</f>
        <v>0</v>
      </c>
    </row>
    <row r="93" spans="1:38" ht="15" x14ac:dyDescent="0.25">
      <c r="A93" s="431"/>
      <c r="B93" s="431"/>
      <c r="C93" s="431"/>
      <c r="D93" s="431"/>
      <c r="E93" s="431"/>
      <c r="F93" s="431"/>
      <c r="G93" s="431"/>
      <c r="H93" s="431"/>
      <c r="I93" s="678">
        <f>J92</f>
        <v>451.61</v>
      </c>
      <c r="J93" s="678"/>
      <c r="K93" s="678">
        <f>L92</f>
        <v>1539.99</v>
      </c>
      <c r="L93" s="678"/>
      <c r="O93" s="462">
        <f>J92</f>
        <v>451.61</v>
      </c>
      <c r="P93" s="462">
        <f>L92</f>
        <v>1539.99</v>
      </c>
      <c r="X93" s="422">
        <f>IF([86]Source!BI277&lt;=1,J92-0, 0)</f>
        <v>451.61</v>
      </c>
      <c r="Y93" s="422">
        <f>IF([86]Source!BI277=2,J92-0, 0)</f>
        <v>0</v>
      </c>
      <c r="Z93" s="422">
        <f>IF([86]Source!BI277=3,J92-0, 0)</f>
        <v>0</v>
      </c>
      <c r="AA93" s="422">
        <f>IF([86]Source!BI277=4,J92,0)</f>
        <v>0</v>
      </c>
    </row>
    <row r="94" spans="1:38" ht="71.25" x14ac:dyDescent="0.2">
      <c r="A94" s="400">
        <v>10</v>
      </c>
      <c r="B94" s="400">
        <v>99</v>
      </c>
      <c r="C94" s="460" t="str">
        <f>[86]Source!F295</f>
        <v>1.12-7-62</v>
      </c>
      <c r="D94" s="460" t="s">
        <v>276</v>
      </c>
      <c r="E94" s="428" t="str">
        <f>[86]Source!H295</f>
        <v>м</v>
      </c>
      <c r="F94" s="436">
        <f>[86]Source!I295</f>
        <v>1</v>
      </c>
      <c r="G94" s="461">
        <f>[86]Source!AL295</f>
        <v>153.78</v>
      </c>
      <c r="H94" s="427"/>
      <c r="I94" s="436">
        <f>[86]Source!AW295</f>
        <v>1</v>
      </c>
      <c r="J94" s="437">
        <f>ROUND((ROUND(([86]Source!AC295*[86]Source!AW295*[86]Source!I295),2)),2)</f>
        <v>153.78</v>
      </c>
      <c r="K94" s="436">
        <f>IF([86]Source!BC295&lt;&gt; 0, [86]Source!BC295, 1)</f>
        <v>3.44</v>
      </c>
      <c r="L94" s="437">
        <f>[86]Source!P295</f>
        <v>529</v>
      </c>
      <c r="Q94" s="422">
        <f>ROUND(([86]Source!DN295/100)*ROUND((ROUND(([86]Source!AF295*[86]Source!AV295*[86]Source!I295),2)),2), 2)</f>
        <v>0</v>
      </c>
      <c r="R94" s="422">
        <f>[86]Source!X295</f>
        <v>0</v>
      </c>
      <c r="S94" s="422">
        <f>ROUND(([86]Source!DO295/100)*ROUND((ROUND(([86]Source!AF295*[86]Source!AV295*[86]Source!I295),2)),2), 2)</f>
        <v>0</v>
      </c>
      <c r="T94" s="422">
        <f>[86]Source!Y295</f>
        <v>0</v>
      </c>
      <c r="U94" s="422">
        <f>ROUND((175/100)*ROUND((ROUND(([86]Source!AE295*[86]Source!AV295*[86]Source!I295),2)),2), 2)</f>
        <v>0</v>
      </c>
      <c r="V94" s="422">
        <f>ROUND((157/100)*ROUND(ROUND((ROUND(([86]Source!AE295*[86]Source!AV295*[86]Source!I295),2)*[86]Source!BS295),2), 2), 2)</f>
        <v>0</v>
      </c>
    </row>
    <row r="95" spans="1:38" ht="15" x14ac:dyDescent="0.25">
      <c r="A95" s="431"/>
      <c r="B95" s="431"/>
      <c r="C95" s="431"/>
      <c r="D95" s="431"/>
      <c r="E95" s="431"/>
      <c r="F95" s="431"/>
      <c r="G95" s="431"/>
      <c r="H95" s="431"/>
      <c r="I95" s="678">
        <f>J94</f>
        <v>153.78</v>
      </c>
      <c r="J95" s="678"/>
      <c r="K95" s="678">
        <f>L94</f>
        <v>529</v>
      </c>
      <c r="L95" s="678"/>
      <c r="O95" s="462">
        <f>J94</f>
        <v>153.78</v>
      </c>
      <c r="P95" s="462">
        <f>L94</f>
        <v>529</v>
      </c>
      <c r="X95" s="422">
        <f>IF([86]Source!BI295&lt;=1,J94-0, 0)</f>
        <v>153.78</v>
      </c>
      <c r="Y95" s="422">
        <f>IF([86]Source!BI295=2,J94-0, 0)</f>
        <v>0</v>
      </c>
      <c r="Z95" s="422">
        <f>IF([86]Source!BI295=3,J94-0, 0)</f>
        <v>0</v>
      </c>
      <c r="AA95" s="422">
        <f>IF([86]Source!BI295=4,J94,0)</f>
        <v>0</v>
      </c>
    </row>
    <row r="96" spans="1:38" ht="71.25" x14ac:dyDescent="0.2">
      <c r="A96" s="400">
        <v>11</v>
      </c>
      <c r="B96" s="400">
        <v>105</v>
      </c>
      <c r="C96" s="460" t="str">
        <f>[86]Source!F309</f>
        <v>1.12-7-98</v>
      </c>
      <c r="D96" s="460" t="s">
        <v>277</v>
      </c>
      <c r="E96" s="428" t="str">
        <f>[86]Source!H309</f>
        <v>м</v>
      </c>
      <c r="F96" s="436">
        <f>[86]Source!I309</f>
        <v>0.2</v>
      </c>
      <c r="G96" s="461">
        <f>[86]Source!AL309</f>
        <v>451.61</v>
      </c>
      <c r="H96" s="427"/>
      <c r="I96" s="436">
        <f>[86]Source!AW309</f>
        <v>1</v>
      </c>
      <c r="J96" s="437">
        <f>ROUND((ROUND(([86]Source!AC309*[86]Source!AW309*[86]Source!I309),2)),2)</f>
        <v>90.32</v>
      </c>
      <c r="K96" s="436">
        <f>IF([86]Source!BC309&lt;&gt; 0, [86]Source!BC309, 1)</f>
        <v>3.41</v>
      </c>
      <c r="L96" s="437">
        <v>308</v>
      </c>
      <c r="Q96" s="422">
        <f>ROUND(([86]Source!DN309/100)*ROUND((ROUND(([86]Source!AF309*[86]Source!AV309*[86]Source!I309),2)),2), 2)</f>
        <v>0</v>
      </c>
      <c r="R96" s="422">
        <f>[86]Source!X309</f>
        <v>0</v>
      </c>
      <c r="S96" s="422">
        <f>ROUND(([86]Source!DO309/100)*ROUND((ROUND(([86]Source!AF309*[86]Source!AV309*[86]Source!I309),2)),2), 2)</f>
        <v>0</v>
      </c>
      <c r="T96" s="422">
        <f>[86]Source!Y309</f>
        <v>0</v>
      </c>
      <c r="U96" s="422">
        <f>ROUND((175/100)*ROUND((ROUND(([86]Source!AE309*[86]Source!AV309*[86]Source!I309),2)),2), 2)</f>
        <v>0</v>
      </c>
      <c r="V96" s="422">
        <f>ROUND((157/100)*ROUND(ROUND((ROUND(([86]Source!AE309*[86]Source!AV309*[86]Source!I309),2)*[86]Source!BS309),2), 2), 2)</f>
        <v>0</v>
      </c>
    </row>
    <row r="97" spans="1:27" ht="15" x14ac:dyDescent="0.25">
      <c r="A97" s="431"/>
      <c r="B97" s="431"/>
      <c r="C97" s="431"/>
      <c r="D97" s="431"/>
      <c r="E97" s="431"/>
      <c r="F97" s="431"/>
      <c r="G97" s="431"/>
      <c r="H97" s="431"/>
      <c r="I97" s="678">
        <f>J96</f>
        <v>90.32</v>
      </c>
      <c r="J97" s="678"/>
      <c r="K97" s="678">
        <f>L96</f>
        <v>308</v>
      </c>
      <c r="L97" s="678"/>
      <c r="O97" s="462">
        <f>J96</f>
        <v>90.32</v>
      </c>
      <c r="P97" s="462">
        <f>L96</f>
        <v>308</v>
      </c>
      <c r="X97" s="422">
        <f>IF([86]Source!BI309&lt;=1,J96-0, 0)</f>
        <v>90.32</v>
      </c>
      <c r="Y97" s="422">
        <f>IF([86]Source!BI309=2,J96-0, 0)</f>
        <v>0</v>
      </c>
      <c r="Z97" s="422">
        <f>IF([86]Source!BI309=3,J96-0, 0)</f>
        <v>0</v>
      </c>
      <c r="AA97" s="422">
        <f>IF([86]Source!BI309=4,J96,0)</f>
        <v>0</v>
      </c>
    </row>
    <row r="98" spans="1:27" ht="65.25" x14ac:dyDescent="0.2">
      <c r="A98" s="400">
        <v>12</v>
      </c>
      <c r="B98" s="400">
        <v>114</v>
      </c>
      <c r="C98" s="460" t="s">
        <v>272</v>
      </c>
      <c r="D98" s="460" t="s">
        <v>273</v>
      </c>
      <c r="E98" s="428" t="str">
        <f>[86]Source!H329</f>
        <v>100 м трубопровода</v>
      </c>
      <c r="F98" s="436">
        <f>[86]Source!I329</f>
        <v>2.39</v>
      </c>
      <c r="G98" s="461"/>
      <c r="H98" s="427"/>
      <c r="I98" s="436"/>
      <c r="J98" s="437"/>
      <c r="K98" s="436"/>
      <c r="L98" s="437"/>
      <c r="Q98" s="422">
        <f>ROUND(([86]Source!DN329/100)*ROUND((ROUND(([86]Source!AF329*[86]Source!AV329*[86]Source!I329),2)),2), 2)</f>
        <v>4820.4399999999996</v>
      </c>
      <c r="R98" s="422">
        <f>[86]Source!X329</f>
        <v>93439.360000000001</v>
      </c>
      <c r="S98" s="422">
        <f>ROUND(([86]Source!DO329/100)*ROUND((ROUND(([86]Source!AF329*[86]Source!AV329*[86]Source!I329),2)),2), 2)</f>
        <v>3624.97</v>
      </c>
      <c r="T98" s="422">
        <f>[86]Source!Y329</f>
        <v>42047.71</v>
      </c>
      <c r="U98" s="422">
        <f>ROUND((175/100)*ROUND((ROUND(([86]Source!AE329*[86]Source!AV329*[86]Source!I329),2)),2), 2)</f>
        <v>231.26</v>
      </c>
      <c r="V98" s="422">
        <f>ROUND((157/100)*ROUND(ROUND((ROUND(([86]Source!AE329*[86]Source!AV329*[86]Source!I329),2)*[86]Source!BS329),2), 2), 2)</f>
        <v>5027.12</v>
      </c>
    </row>
    <row r="99" spans="1:27" ht="14.25" x14ac:dyDescent="0.2">
      <c r="A99" s="400"/>
      <c r="B99" s="400"/>
      <c r="C99" s="460"/>
      <c r="D99" s="460" t="s">
        <v>52</v>
      </c>
      <c r="E99" s="428"/>
      <c r="F99" s="436"/>
      <c r="G99" s="461">
        <f>[86]Source!AO329</f>
        <v>905.52</v>
      </c>
      <c r="H99" s="427" t="str">
        <f>[86]Source!DG329</f>
        <v>)*1,67</v>
      </c>
      <c r="I99" s="436">
        <f>[86]Source!AV329</f>
        <v>1.0669999999999999</v>
      </c>
      <c r="J99" s="437">
        <f>ROUND((ROUND(([86]Source!AF329*[86]Source!AV329*[86]Source!I329),2)),2)</f>
        <v>3856.35</v>
      </c>
      <c r="K99" s="436">
        <f>IF([86]Source!BA329&lt;&gt; 0, [86]Source!BA329, 1)</f>
        <v>24.23</v>
      </c>
      <c r="L99" s="437">
        <v>93439.45</v>
      </c>
      <c r="W99" s="422">
        <f>J99</f>
        <v>3856.35</v>
      </c>
    </row>
    <row r="100" spans="1:27" ht="14.25" x14ac:dyDescent="0.2">
      <c r="A100" s="400"/>
      <c r="B100" s="400"/>
      <c r="C100" s="460"/>
      <c r="D100" s="460" t="s">
        <v>53</v>
      </c>
      <c r="E100" s="428"/>
      <c r="F100" s="436"/>
      <c r="G100" s="461">
        <f>[86]Source!AM329</f>
        <v>218.14</v>
      </c>
      <c r="H100" s="427"/>
      <c r="I100" s="436">
        <f>[86]Source!AV329</f>
        <v>1.0669999999999999</v>
      </c>
      <c r="J100" s="437">
        <f>(ROUND((ROUND((([86]Source!ET329)*[86]Source!AV329*[86]Source!I329),2)),2)+ROUND((ROUND((([86]Source!AE329-([86]Source!EU329))*[86]Source!AV329*[86]Source!I329),2)),2))-J109</f>
        <v>556.29</v>
      </c>
      <c r="K100" s="436">
        <f>IF([86]Source!BB329&lt;&gt; 0, [86]Source!BB329, 1)</f>
        <v>8.2200000000000006</v>
      </c>
      <c r="L100" s="437">
        <v>4572.67</v>
      </c>
    </row>
    <row r="101" spans="1:27" ht="14.25" x14ac:dyDescent="0.2">
      <c r="A101" s="400"/>
      <c r="B101" s="400"/>
      <c r="C101" s="460"/>
      <c r="D101" s="460" t="s">
        <v>54</v>
      </c>
      <c r="E101" s="428"/>
      <c r="F101" s="436"/>
      <c r="G101" s="461">
        <f>[86]Source!AN329</f>
        <v>31.03</v>
      </c>
      <c r="H101" s="427"/>
      <c r="I101" s="436">
        <f>[86]Source!AV329</f>
        <v>1.0669999999999999</v>
      </c>
      <c r="J101" s="435">
        <f>ROUND((ROUND(([86]Source!AE329*[86]Source!AV329*[86]Source!I329),2)),2)-J110</f>
        <v>79.13</v>
      </c>
      <c r="K101" s="436">
        <f>IF([86]Source!BS329&lt;&gt; 0, [86]Source!BS329, 1)</f>
        <v>24.23</v>
      </c>
      <c r="L101" s="435">
        <v>1917.34</v>
      </c>
      <c r="W101" s="422">
        <f>J101</f>
        <v>79.13</v>
      </c>
    </row>
    <row r="102" spans="1:27" ht="14.25" x14ac:dyDescent="0.2">
      <c r="A102" s="400"/>
      <c r="B102" s="400"/>
      <c r="C102" s="460"/>
      <c r="D102" s="460" t="s">
        <v>55</v>
      </c>
      <c r="E102" s="428"/>
      <c r="F102" s="436"/>
      <c r="G102" s="461">
        <f>[86]Source!AL329</f>
        <v>51.59</v>
      </c>
      <c r="H102" s="427"/>
      <c r="I102" s="436">
        <f>[86]Source!AW329</f>
        <v>1</v>
      </c>
      <c r="J102" s="437">
        <f>ROUND((ROUND(([86]Source!AC329*[86]Source!AW329*[86]Source!I329),2)),2)</f>
        <v>123.3</v>
      </c>
      <c r="K102" s="436">
        <f>IF([86]Source!BC329&lt;&gt; 0, [86]Source!BC329, 1)</f>
        <v>5.58</v>
      </c>
      <c r="L102" s="437">
        <v>688.01</v>
      </c>
    </row>
    <row r="103" spans="1:27" ht="14.25" x14ac:dyDescent="0.2">
      <c r="A103" s="400"/>
      <c r="B103" s="400"/>
      <c r="C103" s="460"/>
      <c r="D103" s="460" t="s">
        <v>56</v>
      </c>
      <c r="E103" s="428" t="s">
        <v>57</v>
      </c>
      <c r="F103" s="436">
        <f>[86]Source!DN329</f>
        <v>125</v>
      </c>
      <c r="G103" s="461"/>
      <c r="H103" s="427"/>
      <c r="I103" s="436"/>
      <c r="J103" s="437">
        <f>SUM(Q98:Q102)</f>
        <v>4820.4399999999996</v>
      </c>
      <c r="K103" s="436">
        <f>[86]Source!BZ329</f>
        <v>100</v>
      </c>
      <c r="L103" s="437">
        <v>93439.45</v>
      </c>
    </row>
    <row r="104" spans="1:27" ht="14.25" x14ac:dyDescent="0.2">
      <c r="A104" s="400"/>
      <c r="B104" s="400"/>
      <c r="C104" s="460"/>
      <c r="D104" s="460" t="s">
        <v>58</v>
      </c>
      <c r="E104" s="428" t="s">
        <v>57</v>
      </c>
      <c r="F104" s="436">
        <f>[86]Source!DO329</f>
        <v>94</v>
      </c>
      <c r="G104" s="461"/>
      <c r="H104" s="427"/>
      <c r="I104" s="436"/>
      <c r="J104" s="437">
        <f>SUM(S98:S103)</f>
        <v>3624.97</v>
      </c>
      <c r="K104" s="436">
        <f>[86]Source!CA329</f>
        <v>45</v>
      </c>
      <c r="L104" s="437">
        <v>42047.75</v>
      </c>
    </row>
    <row r="105" spans="1:27" ht="14.25" x14ac:dyDescent="0.2">
      <c r="A105" s="400"/>
      <c r="B105" s="400"/>
      <c r="C105" s="460"/>
      <c r="D105" s="460" t="s">
        <v>59</v>
      </c>
      <c r="E105" s="428" t="s">
        <v>57</v>
      </c>
      <c r="F105" s="436">
        <f>175</f>
        <v>175</v>
      </c>
      <c r="G105" s="461"/>
      <c r="H105" s="427"/>
      <c r="I105" s="436"/>
      <c r="J105" s="437">
        <v>138.46</v>
      </c>
      <c r="K105" s="436">
        <f>157</f>
        <v>157</v>
      </c>
      <c r="L105" s="437">
        <v>3010.22</v>
      </c>
    </row>
    <row r="106" spans="1:27" ht="14.25" x14ac:dyDescent="0.2">
      <c r="A106" s="400"/>
      <c r="B106" s="400"/>
      <c r="C106" s="460"/>
      <c r="D106" s="460" t="s">
        <v>60</v>
      </c>
      <c r="E106" s="428" t="s">
        <v>61</v>
      </c>
      <c r="F106" s="436">
        <f>[86]Source!AQ329</f>
        <v>72.5</v>
      </c>
      <c r="G106" s="461"/>
      <c r="H106" s="427"/>
      <c r="I106" s="436">
        <f>[86]Source!AV329</f>
        <v>1.0669999999999999</v>
      </c>
      <c r="J106" s="437">
        <f>[86]Source!U329</f>
        <v>184.88</v>
      </c>
      <c r="K106" s="436"/>
      <c r="L106" s="437"/>
    </row>
    <row r="107" spans="1:27" ht="15" x14ac:dyDescent="0.25">
      <c r="I107" s="678">
        <f>J99+J100+J102+J103+J104+J105</f>
        <v>13119.81</v>
      </c>
      <c r="J107" s="678"/>
      <c r="K107" s="678">
        <f>L99+L100+L102+L103+L104+L105</f>
        <v>237197.55</v>
      </c>
      <c r="L107" s="678"/>
      <c r="O107" s="462">
        <f>J99+J100+J102+J103+J104+J105</f>
        <v>13119.81</v>
      </c>
      <c r="P107" s="462">
        <f>L99+L100+L102+L103+L104+L105</f>
        <v>237197.55</v>
      </c>
      <c r="X107" s="422">
        <f>IF([86]Source!BI329&lt;=1,J99+J100+J102+J103+J104+J105-0, 0)</f>
        <v>13119.81</v>
      </c>
      <c r="Y107" s="422">
        <f>IF([86]Source!BI329=2,J99+J100+J102+J103+J104+J105-0, 0)</f>
        <v>0</v>
      </c>
      <c r="Z107" s="422">
        <f>IF([86]Source!BI329=3,J99+J100+J102+J103+J104+J105-0, 0)</f>
        <v>0</v>
      </c>
      <c r="AA107" s="422">
        <f>IF([86]Source!BI329=4,J99+J100+J102+J103+J104+J105,0)</f>
        <v>0</v>
      </c>
    </row>
    <row r="108" spans="1:27" ht="28.5" x14ac:dyDescent="0.2">
      <c r="A108" s="463"/>
      <c r="B108" s="463"/>
      <c r="C108" s="464"/>
      <c r="D108" s="464" t="s">
        <v>62</v>
      </c>
      <c r="E108" s="428"/>
      <c r="F108" s="434"/>
      <c r="G108" s="465"/>
      <c r="H108" s="428"/>
      <c r="I108" s="434"/>
      <c r="J108" s="435"/>
      <c r="K108" s="434"/>
      <c r="L108" s="435"/>
    </row>
    <row r="109" spans="1:27" ht="14.25" x14ac:dyDescent="0.2">
      <c r="A109" s="463"/>
      <c r="B109" s="463"/>
      <c r="C109" s="464"/>
      <c r="D109" s="464" t="s">
        <v>53</v>
      </c>
      <c r="E109" s="428"/>
      <c r="F109" s="434"/>
      <c r="G109" s="465">
        <f t="shared" ref="G109:L109" si="1">G110</f>
        <v>31.03</v>
      </c>
      <c r="H109" s="429" t="str">
        <f t="shared" si="1"/>
        <v>)*(1.67-1)</v>
      </c>
      <c r="I109" s="434">
        <f t="shared" si="1"/>
        <v>1.0669999999999999</v>
      </c>
      <c r="J109" s="435">
        <f t="shared" si="1"/>
        <v>53.02</v>
      </c>
      <c r="K109" s="434">
        <f t="shared" si="1"/>
        <v>24.23</v>
      </c>
      <c r="L109" s="435">
        <f t="shared" si="1"/>
        <v>1284.6099999999999</v>
      </c>
    </row>
    <row r="110" spans="1:27" ht="14.25" x14ac:dyDescent="0.2">
      <c r="A110" s="463"/>
      <c r="B110" s="463"/>
      <c r="C110" s="464"/>
      <c r="D110" s="464" t="s">
        <v>54</v>
      </c>
      <c r="E110" s="428"/>
      <c r="F110" s="434"/>
      <c r="G110" s="465">
        <f>[86]Source!AN329</f>
        <v>31.03</v>
      </c>
      <c r="H110" s="429" t="s">
        <v>63</v>
      </c>
      <c r="I110" s="434">
        <f>[86]Source!AV329</f>
        <v>1.0669999999999999</v>
      </c>
      <c r="J110" s="435">
        <f>ROUND(F98*G110*I110*(1.67-1), 2)</f>
        <v>53.02</v>
      </c>
      <c r="K110" s="434">
        <f>IF([86]Source!BS329&lt;&gt; 0, [86]Source!BS329, 1)</f>
        <v>24.23</v>
      </c>
      <c r="L110" s="435">
        <f>ROUND(F98*G110*I110*(1.67-1)*K110, 2)</f>
        <v>1284.6099999999999</v>
      </c>
      <c r="W110" s="422">
        <f>J110</f>
        <v>53.02</v>
      </c>
    </row>
    <row r="111" spans="1:27" ht="14.25" x14ac:dyDescent="0.2">
      <c r="A111" s="463"/>
      <c r="B111" s="463"/>
      <c r="C111" s="464"/>
      <c r="D111" s="464" t="s">
        <v>59</v>
      </c>
      <c r="E111" s="428" t="s">
        <v>57</v>
      </c>
      <c r="F111" s="434">
        <f>175</f>
        <v>175</v>
      </c>
      <c r="G111" s="465"/>
      <c r="H111" s="428"/>
      <c r="I111" s="434"/>
      <c r="J111" s="435">
        <f>ROUND(J110*(F111/100), 2)</f>
        <v>92.79</v>
      </c>
      <c r="K111" s="434">
        <f>157</f>
        <v>157</v>
      </c>
      <c r="L111" s="435">
        <f>ROUND(L110*(K111/100), 2)</f>
        <v>2016.84</v>
      </c>
    </row>
    <row r="112" spans="1:27" ht="15" x14ac:dyDescent="0.25">
      <c r="I112" s="678">
        <f>J111+J110</f>
        <v>145.81</v>
      </c>
      <c r="J112" s="678"/>
      <c r="K112" s="678">
        <f>L111+L110</f>
        <v>3301.45</v>
      </c>
      <c r="L112" s="678"/>
      <c r="O112" s="462">
        <f>I112</f>
        <v>145.81</v>
      </c>
      <c r="P112" s="462">
        <f>K112</f>
        <v>3301.45</v>
      </c>
      <c r="X112" s="422">
        <f>IF([86]Source!BI329&lt;=1,I112, 0)</f>
        <v>145.81</v>
      </c>
      <c r="Y112" s="422">
        <f>IF([86]Source!BI329=2,I112, 0)</f>
        <v>0</v>
      </c>
      <c r="Z112" s="422">
        <f>IF([86]Source!BI329=3,I112, 0)</f>
        <v>0</v>
      </c>
      <c r="AA112" s="422">
        <f>IF([86]Source!BI329=4,I112, 0)</f>
        <v>0</v>
      </c>
    </row>
    <row r="114" spans="1:27" ht="15" x14ac:dyDescent="0.25">
      <c r="A114" s="466"/>
      <c r="B114" s="466"/>
      <c r="C114" s="467"/>
      <c r="D114" s="467" t="s">
        <v>64</v>
      </c>
      <c r="E114" s="468"/>
      <c r="F114" s="469"/>
      <c r="G114" s="470"/>
      <c r="H114" s="430"/>
      <c r="I114" s="678">
        <f>I107+I112</f>
        <v>13265.62</v>
      </c>
      <c r="J114" s="678"/>
      <c r="K114" s="678">
        <f>K107+K112</f>
        <v>240499</v>
      </c>
      <c r="L114" s="678"/>
    </row>
    <row r="115" spans="1:27" ht="71.25" x14ac:dyDescent="0.2">
      <c r="A115" s="400">
        <v>13</v>
      </c>
      <c r="B115" s="400">
        <v>115</v>
      </c>
      <c r="C115" s="460" t="str">
        <f>[86]Source!F331</f>
        <v>1.12-7-138</v>
      </c>
      <c r="D115" s="460" t="s">
        <v>274</v>
      </c>
      <c r="E115" s="428" t="str">
        <f>[86]Source!H331</f>
        <v>м</v>
      </c>
      <c r="F115" s="436">
        <f>[86]Source!I331</f>
        <v>239</v>
      </c>
      <c r="G115" s="461">
        <f>[86]Source!AL331</f>
        <v>1286.57</v>
      </c>
      <c r="H115" s="427"/>
      <c r="I115" s="436">
        <f>[86]Source!AW331</f>
        <v>1</v>
      </c>
      <c r="J115" s="437">
        <f>ROUND((ROUND(([86]Source!AC331*[86]Source!AW331*[86]Source!I331),2)),2)</f>
        <v>307490.23</v>
      </c>
      <c r="K115" s="436">
        <f>IF([86]Source!BC331&lt;&gt; 0, [86]Source!BC331, 1)</f>
        <v>3.31</v>
      </c>
      <c r="L115" s="437">
        <f>[86]Source!P331</f>
        <v>1017792.66</v>
      </c>
      <c r="Q115" s="422">
        <f>ROUND(([86]Source!DN331/100)*ROUND((ROUND(([86]Source!AF331*[86]Source!AV331*[86]Source!I331),2)),2), 2)</f>
        <v>0</v>
      </c>
      <c r="R115" s="422">
        <f>[86]Source!X331</f>
        <v>0</v>
      </c>
      <c r="S115" s="422">
        <f>ROUND(([86]Source!DO331/100)*ROUND((ROUND(([86]Source!AF331*[86]Source!AV331*[86]Source!I331),2)),2), 2)</f>
        <v>0</v>
      </c>
      <c r="T115" s="422">
        <f>[86]Source!Y331</f>
        <v>0</v>
      </c>
      <c r="U115" s="422">
        <f>ROUND((175/100)*ROUND((ROUND(([86]Source!AE331*[86]Source!AV331*[86]Source!I331),2)),2), 2)</f>
        <v>0</v>
      </c>
      <c r="V115" s="422">
        <f>ROUND((157/100)*ROUND(ROUND((ROUND(([86]Source!AE331*[86]Source!AV331*[86]Source!I331),2)*[86]Source!BS331),2), 2), 2)</f>
        <v>0</v>
      </c>
    </row>
    <row r="116" spans="1:27" ht="15" x14ac:dyDescent="0.25">
      <c r="A116" s="431"/>
      <c r="B116" s="431"/>
      <c r="C116" s="431"/>
      <c r="D116" s="431"/>
      <c r="E116" s="431"/>
      <c r="F116" s="431"/>
      <c r="G116" s="431"/>
      <c r="H116" s="431"/>
      <c r="I116" s="678">
        <f>J115</f>
        <v>307490.23</v>
      </c>
      <c r="J116" s="678"/>
      <c r="K116" s="678">
        <f>L115</f>
        <v>1017792.66</v>
      </c>
      <c r="L116" s="678"/>
      <c r="O116" s="462">
        <f>J115</f>
        <v>307490.23</v>
      </c>
      <c r="P116" s="462">
        <f>L115</f>
        <v>1017792.66</v>
      </c>
      <c r="X116" s="422">
        <f>IF([86]Source!BI331&lt;=1,J115-0, 0)</f>
        <v>307490.23</v>
      </c>
      <c r="Y116" s="422">
        <f>IF([86]Source!BI331=2,J115-0, 0)</f>
        <v>0</v>
      </c>
      <c r="Z116" s="422">
        <f>IF([86]Source!BI331=3,J115-0, 0)</f>
        <v>0</v>
      </c>
      <c r="AA116" s="422">
        <f>IF([86]Source!BI331=4,J115,0)</f>
        <v>0</v>
      </c>
    </row>
    <row r="117" spans="1:27" ht="65.25" x14ac:dyDescent="0.2">
      <c r="A117" s="400">
        <v>14</v>
      </c>
      <c r="B117" s="400">
        <v>127</v>
      </c>
      <c r="C117" s="460" t="s">
        <v>263</v>
      </c>
      <c r="D117" s="460" t="s">
        <v>278</v>
      </c>
      <c r="E117" s="428" t="str">
        <f>[86]Source!H355</f>
        <v>100 м2</v>
      </c>
      <c r="F117" s="436">
        <f>[86]Source!I355</f>
        <v>0.10299999999999999</v>
      </c>
      <c r="G117" s="461"/>
      <c r="H117" s="427"/>
      <c r="I117" s="436"/>
      <c r="J117" s="437"/>
      <c r="K117" s="436"/>
      <c r="L117" s="437"/>
      <c r="Q117" s="422">
        <f>ROUND(([86]Source!DN355/100)*ROUND((ROUND(([86]Source!AF355*[86]Source!AV355*[86]Source!I355),2)),2), 2)</f>
        <v>11.43</v>
      </c>
      <c r="R117" s="422">
        <f>[86]Source!X355</f>
        <v>224.28</v>
      </c>
      <c r="S117" s="422">
        <f>ROUND(([86]Source!DO355/100)*ROUND((ROUND(([86]Source!AF355*[86]Source!AV355*[86]Source!I355),2)),2), 2)</f>
        <v>8.39</v>
      </c>
      <c r="T117" s="422">
        <f>[86]Source!Y355</f>
        <v>108.18</v>
      </c>
      <c r="U117" s="422">
        <f>ROUND((175/100)*ROUND((ROUND(([86]Source!AE355*[86]Source!AV355*[86]Source!I355),2)),2), 2)</f>
        <v>1.4</v>
      </c>
      <c r="V117" s="422">
        <f>ROUND((157/100)*ROUND(ROUND((ROUND(([86]Source!AE355*[86]Source!AV355*[86]Source!I355),2)*[86]Source!BS355),2), 2), 2)</f>
        <v>30.43</v>
      </c>
    </row>
    <row r="118" spans="1:27" ht="14.25" x14ac:dyDescent="0.2">
      <c r="A118" s="400"/>
      <c r="B118" s="400"/>
      <c r="C118" s="460"/>
      <c r="D118" s="460" t="s">
        <v>52</v>
      </c>
      <c r="E118" s="428"/>
      <c r="F118" s="436"/>
      <c r="G118" s="461">
        <f>[86]Source!AO355</f>
        <v>30.23</v>
      </c>
      <c r="H118" s="427" t="str">
        <f>[86]Source!DG355</f>
        <v>)*1,67)*2</v>
      </c>
      <c r="I118" s="436">
        <f>[86]Source!AV355</f>
        <v>1.0469999999999999</v>
      </c>
      <c r="J118" s="437">
        <f>ROUND((ROUND(([86]Source!AF355*[86]Source!AV355*[86]Source!I355),2)),2)</f>
        <v>10.89</v>
      </c>
      <c r="K118" s="436">
        <f>IF([86]Source!BA355&lt;&gt; 0, [86]Source!BA355, 1)</f>
        <v>24.23</v>
      </c>
      <c r="L118" s="437">
        <v>263.83</v>
      </c>
      <c r="W118" s="422">
        <f>J118</f>
        <v>10.89</v>
      </c>
    </row>
    <row r="119" spans="1:27" ht="14.25" x14ac:dyDescent="0.2">
      <c r="A119" s="400"/>
      <c r="B119" s="400"/>
      <c r="C119" s="460"/>
      <c r="D119" s="460" t="s">
        <v>53</v>
      </c>
      <c r="E119" s="428"/>
      <c r="F119" s="436"/>
      <c r="G119" s="461">
        <f>[86]Source!AM355</f>
        <v>22.38</v>
      </c>
      <c r="H119" s="427" t="str">
        <f>[86]Source!DE355</f>
        <v>)*2</v>
      </c>
      <c r="I119" s="436">
        <f>[86]Source!AV355</f>
        <v>1.0469999999999999</v>
      </c>
      <c r="J119" s="437">
        <f>(ROUND((ROUND(((([86]Source!ET355*2))*[86]Source!AV355*[86]Source!I355),2)),2)+ROUND((ROUND((([86]Source!AE355-(([86]Source!EU355*2)))*[86]Source!AV355*[86]Source!I355),2)),2))-J129</f>
        <v>4.83</v>
      </c>
      <c r="K119" s="436">
        <f>IF([86]Source!BB355&lt;&gt; 0, [86]Source!BB355, 1)</f>
        <v>6.42</v>
      </c>
      <c r="L119" s="437">
        <v>30.99</v>
      </c>
    </row>
    <row r="120" spans="1:27" ht="14.25" x14ac:dyDescent="0.2">
      <c r="A120" s="400"/>
      <c r="B120" s="400"/>
      <c r="C120" s="460"/>
      <c r="D120" s="460" t="s">
        <v>54</v>
      </c>
      <c r="E120" s="428"/>
      <c r="F120" s="436"/>
      <c r="G120" s="461">
        <f>[86]Source!AN355</f>
        <v>2.2200000000000002</v>
      </c>
      <c r="H120" s="427" t="str">
        <f>[86]Source!DE355</f>
        <v>)*2</v>
      </c>
      <c r="I120" s="436">
        <f>[86]Source!AV355</f>
        <v>1.0469999999999999</v>
      </c>
      <c r="J120" s="435">
        <f>ROUND((ROUND(([86]Source!AE355*[86]Source!AV355*[86]Source!I355),2)),2)-J130</f>
        <v>0.48</v>
      </c>
      <c r="K120" s="436">
        <f>IF([86]Source!BS355&lt;&gt; 0, [86]Source!BS355, 1)</f>
        <v>24.23</v>
      </c>
      <c r="L120" s="435">
        <v>11.6</v>
      </c>
      <c r="W120" s="422">
        <f>J120</f>
        <v>0.48</v>
      </c>
    </row>
    <row r="121" spans="1:27" ht="14.25" x14ac:dyDescent="0.2">
      <c r="A121" s="400"/>
      <c r="B121" s="400"/>
      <c r="C121" s="460"/>
      <c r="D121" s="460" t="s">
        <v>55</v>
      </c>
      <c r="E121" s="428"/>
      <c r="F121" s="436"/>
      <c r="G121" s="461">
        <f>[86]Source!AL355</f>
        <v>20.16</v>
      </c>
      <c r="H121" s="427" t="str">
        <f>[86]Source!DD355</f>
        <v>)*2</v>
      </c>
      <c r="I121" s="436">
        <f>[86]Source!AW355</f>
        <v>1</v>
      </c>
      <c r="J121" s="437">
        <f>ROUND((ROUND(([86]Source!AC355*[86]Source!AW355*[86]Source!I355),2)),2)</f>
        <v>4.1500000000000004</v>
      </c>
      <c r="K121" s="436">
        <f>IF([86]Source!BC355&lt;&gt; 0, [86]Source!BC355, 1)</f>
        <v>7.86</v>
      </c>
      <c r="L121" s="437">
        <v>32.64</v>
      </c>
    </row>
    <row r="122" spans="1:27" ht="65.25" x14ac:dyDescent="0.2">
      <c r="A122" s="400">
        <v>15</v>
      </c>
      <c r="B122" s="400" t="s">
        <v>279</v>
      </c>
      <c r="C122" s="460" t="s">
        <v>280</v>
      </c>
      <c r="D122" s="460" t="s">
        <v>265</v>
      </c>
      <c r="E122" s="428" t="str">
        <f>[86]Source!H357</f>
        <v>кг</v>
      </c>
      <c r="F122" s="436">
        <f>[86]Source!I357</f>
        <v>3.7080000000000002</v>
      </c>
      <c r="G122" s="461">
        <f>[86]Source!AK357</f>
        <v>47.9</v>
      </c>
      <c r="H122" s="432" t="s">
        <v>281</v>
      </c>
      <c r="I122" s="436">
        <f>[86]Source!AW357</f>
        <v>1</v>
      </c>
      <c r="J122" s="437">
        <f>ROUND((ROUND(([86]Source!AC357*[86]Source!AW357*[86]Source!I357),2)),2)+(ROUND((ROUND((([86]Source!ET357)*[86]Source!AV357*[86]Source!I357),2)),2)+ROUND((ROUND((([86]Source!AE357-([86]Source!EU357))*[86]Source!AV357*[86]Source!I357),2)),2))+ROUND((ROUND(([86]Source!AF357*[86]Source!AV357*[86]Source!I357),2)),2)</f>
        <v>177.61</v>
      </c>
      <c r="K122" s="436">
        <f>IF([86]Source!BC357&lt;&gt; 0, [86]Source!BC357, 1)</f>
        <v>2.66</v>
      </c>
      <c r="L122" s="437">
        <v>472.45</v>
      </c>
      <c r="Q122" s="422">
        <f>ROUND(([86]Source!DN357/100)*ROUND((ROUND(([86]Source!AF357*[86]Source!AV357*[86]Source!I357),2)),2), 2)</f>
        <v>0</v>
      </c>
      <c r="R122" s="422">
        <f>[86]Source!X357</f>
        <v>0</v>
      </c>
      <c r="S122" s="422">
        <f>ROUND(([86]Source!DO357/100)*ROUND((ROUND(([86]Source!AF357*[86]Source!AV357*[86]Source!I357),2)),2), 2)</f>
        <v>0</v>
      </c>
      <c r="T122" s="422">
        <f>[86]Source!Y357</f>
        <v>0</v>
      </c>
      <c r="U122" s="422">
        <f>ROUND((175/100)*ROUND((ROUND(([86]Source!AE357*[86]Source!AV357*[86]Source!I357),2)),2), 2)</f>
        <v>0</v>
      </c>
      <c r="V122" s="422">
        <f>ROUND((157/100)*ROUND(ROUND((ROUND(([86]Source!AE357*[86]Source!AV357*[86]Source!I357),2)*[86]Source!BS357),2), 2), 2)</f>
        <v>0</v>
      </c>
      <c r="X122" s="422">
        <f>IF([86]Source!BI357&lt;=1,J122, 0)</f>
        <v>177.61</v>
      </c>
      <c r="Y122" s="422">
        <f>IF([86]Source!BI357=2,J122, 0)</f>
        <v>0</v>
      </c>
      <c r="Z122" s="422">
        <f>IF([86]Source!BI357=3,J122, 0)</f>
        <v>0</v>
      </c>
      <c r="AA122" s="422">
        <f>IF([86]Source!BI357=4,J122, 0)</f>
        <v>0</v>
      </c>
    </row>
    <row r="123" spans="1:27" ht="14.25" x14ac:dyDescent="0.2">
      <c r="A123" s="400"/>
      <c r="B123" s="400"/>
      <c r="C123" s="460"/>
      <c r="D123" s="460" t="s">
        <v>56</v>
      </c>
      <c r="E123" s="428" t="s">
        <v>57</v>
      </c>
      <c r="F123" s="436">
        <f>[86]Source!DN355</f>
        <v>105</v>
      </c>
      <c r="G123" s="461"/>
      <c r="H123" s="427"/>
      <c r="I123" s="436"/>
      <c r="J123" s="437">
        <f>SUM(Q117:Q122)</f>
        <v>11.43</v>
      </c>
      <c r="K123" s="436">
        <f>[86]Source!BZ355</f>
        <v>85</v>
      </c>
      <c r="L123" s="437">
        <v>224.26</v>
      </c>
    </row>
    <row r="124" spans="1:27" ht="14.25" x14ac:dyDescent="0.2">
      <c r="A124" s="400"/>
      <c r="B124" s="400"/>
      <c r="C124" s="460"/>
      <c r="D124" s="460" t="s">
        <v>58</v>
      </c>
      <c r="E124" s="428" t="s">
        <v>57</v>
      </c>
      <c r="F124" s="436">
        <f>[86]Source!DO355</f>
        <v>77</v>
      </c>
      <c r="G124" s="461"/>
      <c r="H124" s="427"/>
      <c r="I124" s="436"/>
      <c r="J124" s="437">
        <f>SUM(S117:S123)</f>
        <v>8.39</v>
      </c>
      <c r="K124" s="436">
        <f>[86]Source!CA355</f>
        <v>41</v>
      </c>
      <c r="L124" s="437">
        <v>108.17</v>
      </c>
    </row>
    <row r="125" spans="1:27" ht="14.25" x14ac:dyDescent="0.2">
      <c r="A125" s="400"/>
      <c r="B125" s="400"/>
      <c r="C125" s="460"/>
      <c r="D125" s="460" t="s">
        <v>59</v>
      </c>
      <c r="E125" s="428" t="s">
        <v>57</v>
      </c>
      <c r="F125" s="436">
        <f>175</f>
        <v>175</v>
      </c>
      <c r="G125" s="461"/>
      <c r="H125" s="427"/>
      <c r="I125" s="436"/>
      <c r="J125" s="437">
        <f>SUM(U117:U124)-J131</f>
        <v>0.84</v>
      </c>
      <c r="K125" s="436">
        <f>157</f>
        <v>157</v>
      </c>
      <c r="L125" s="437">
        <v>18.21</v>
      </c>
    </row>
    <row r="126" spans="1:27" ht="14.25" x14ac:dyDescent="0.2">
      <c r="A126" s="400"/>
      <c r="B126" s="400"/>
      <c r="C126" s="460"/>
      <c r="D126" s="460" t="s">
        <v>60</v>
      </c>
      <c r="E126" s="428" t="s">
        <v>61</v>
      </c>
      <c r="F126" s="436">
        <f>[86]Source!AQ355</f>
        <v>2.54</v>
      </c>
      <c r="G126" s="461"/>
      <c r="H126" s="427" t="str">
        <f>[86]Source!DI355</f>
        <v>)*2</v>
      </c>
      <c r="I126" s="436">
        <f>[86]Source!AV355</f>
        <v>1.0469999999999999</v>
      </c>
      <c r="J126" s="437">
        <f>[86]Source!U355</f>
        <v>0.55000000000000004</v>
      </c>
      <c r="K126" s="436"/>
      <c r="L126" s="437"/>
    </row>
    <row r="127" spans="1:27" ht="15" x14ac:dyDescent="0.25">
      <c r="I127" s="678">
        <f>J118+J119+J121+J123+J124+J125+SUM(J122:J122)</f>
        <v>218.14</v>
      </c>
      <c r="J127" s="678"/>
      <c r="K127" s="678">
        <f>L118+L119+L121+L123+L124+L125+SUM(L122:L122)</f>
        <v>1150.55</v>
      </c>
      <c r="L127" s="678"/>
      <c r="O127" s="462">
        <f>J118+J119+J121+J123+J124+J125+SUM(J122:J122)</f>
        <v>218.14</v>
      </c>
      <c r="P127" s="462">
        <f>L118+L119+L121+L123+L124+L125+SUM(L122:L122)</f>
        <v>1150.55</v>
      </c>
      <c r="X127" s="422">
        <f>IF([86]Source!BI355&lt;=1,J118+J119+J121+J123+J124+J125-0, 0)</f>
        <v>40.53</v>
      </c>
      <c r="Y127" s="422">
        <f>IF([86]Source!BI355=2,J118+J119+J121+J123+J124+J125-0, 0)</f>
        <v>0</v>
      </c>
      <c r="Z127" s="422">
        <f>IF([86]Source!BI355=3,J118+J119+J121+J123+J124+J125-0, 0)</f>
        <v>0</v>
      </c>
      <c r="AA127" s="422">
        <f>IF([86]Source!BI355=4,J118+J119+J121+J123+J124+J125,0)</f>
        <v>0</v>
      </c>
    </row>
    <row r="128" spans="1:27" ht="28.5" x14ac:dyDescent="0.2">
      <c r="A128" s="463"/>
      <c r="B128" s="463"/>
      <c r="C128" s="464"/>
      <c r="D128" s="464" t="s">
        <v>62</v>
      </c>
      <c r="E128" s="428"/>
      <c r="F128" s="434"/>
      <c r="G128" s="465"/>
      <c r="H128" s="428"/>
      <c r="I128" s="434"/>
      <c r="J128" s="435"/>
      <c r="K128" s="434"/>
      <c r="L128" s="435"/>
    </row>
    <row r="129" spans="1:27" ht="14.25" x14ac:dyDescent="0.2">
      <c r="A129" s="463"/>
      <c r="B129" s="463"/>
      <c r="C129" s="464"/>
      <c r="D129" s="464" t="s">
        <v>53</v>
      </c>
      <c r="E129" s="428"/>
      <c r="F129" s="434"/>
      <c r="G129" s="465">
        <f t="shared" ref="G129:L129" si="2">G130</f>
        <v>2.2200000000000002</v>
      </c>
      <c r="H129" s="429" t="str">
        <f t="shared" si="2"/>
        <v>)*(1.67-1)*2</v>
      </c>
      <c r="I129" s="434">
        <f t="shared" si="2"/>
        <v>1.0469999999999999</v>
      </c>
      <c r="J129" s="435">
        <f t="shared" si="2"/>
        <v>0.32</v>
      </c>
      <c r="K129" s="434">
        <f t="shared" si="2"/>
        <v>24.23</v>
      </c>
      <c r="L129" s="435">
        <f t="shared" si="2"/>
        <v>7.77</v>
      </c>
    </row>
    <row r="130" spans="1:27" ht="14.25" x14ac:dyDescent="0.2">
      <c r="A130" s="463"/>
      <c r="B130" s="463"/>
      <c r="C130" s="464"/>
      <c r="D130" s="464" t="s">
        <v>54</v>
      </c>
      <c r="E130" s="428"/>
      <c r="F130" s="434"/>
      <c r="G130" s="465">
        <f>[86]Source!AN355</f>
        <v>2.2200000000000002</v>
      </c>
      <c r="H130" s="429" t="s">
        <v>267</v>
      </c>
      <c r="I130" s="434">
        <f>[86]Source!AV355</f>
        <v>1.0469999999999999</v>
      </c>
      <c r="J130" s="435">
        <f>ROUND(F117*G130*I130*(1.67-1)*2, 2)</f>
        <v>0.32</v>
      </c>
      <c r="K130" s="434">
        <f>IF([86]Source!BS355&lt;&gt; 0, [86]Source!BS355, 1)</f>
        <v>24.23</v>
      </c>
      <c r="L130" s="435">
        <f>ROUND(F117*G130*I130*(1.67-1)*2*K130, 2)</f>
        <v>7.77</v>
      </c>
      <c r="W130" s="422">
        <f>J130</f>
        <v>0.32</v>
      </c>
    </row>
    <row r="131" spans="1:27" ht="14.25" x14ac:dyDescent="0.2">
      <c r="A131" s="463"/>
      <c r="B131" s="463"/>
      <c r="C131" s="464"/>
      <c r="D131" s="464" t="s">
        <v>59</v>
      </c>
      <c r="E131" s="428" t="s">
        <v>57</v>
      </c>
      <c r="F131" s="434">
        <f>175</f>
        <v>175</v>
      </c>
      <c r="G131" s="465"/>
      <c r="H131" s="428"/>
      <c r="I131" s="434"/>
      <c r="J131" s="435">
        <f>ROUND(J130*(F131/100), 2)</f>
        <v>0.56000000000000005</v>
      </c>
      <c r="K131" s="434">
        <f>157</f>
        <v>157</v>
      </c>
      <c r="L131" s="435">
        <f>ROUND(L130*(K131/100), 2)</f>
        <v>12.2</v>
      </c>
    </row>
    <row r="132" spans="1:27" ht="15" x14ac:dyDescent="0.25">
      <c r="I132" s="678">
        <f>J131+J130</f>
        <v>0.88</v>
      </c>
      <c r="J132" s="678"/>
      <c r="K132" s="678">
        <f>L131+L130</f>
        <v>19.97</v>
      </c>
      <c r="L132" s="678"/>
      <c r="O132" s="462">
        <f>I132</f>
        <v>0.88</v>
      </c>
      <c r="P132" s="462">
        <f>K132</f>
        <v>19.97</v>
      </c>
      <c r="X132" s="422">
        <f>IF([86]Source!BI355&lt;=1,I132, 0)</f>
        <v>0.88</v>
      </c>
      <c r="Y132" s="422">
        <f>IF([86]Source!BI355=2,I132, 0)</f>
        <v>0</v>
      </c>
      <c r="Z132" s="422">
        <f>IF([86]Source!BI355=3,I132, 0)</f>
        <v>0</v>
      </c>
      <c r="AA132" s="422">
        <f>IF([86]Source!BI355=4,I132, 0)</f>
        <v>0</v>
      </c>
    </row>
    <row r="134" spans="1:27" ht="15" x14ac:dyDescent="0.25">
      <c r="A134" s="466"/>
      <c r="B134" s="466"/>
      <c r="C134" s="467"/>
      <c r="D134" s="467" t="s">
        <v>64</v>
      </c>
      <c r="E134" s="468"/>
      <c r="F134" s="469"/>
      <c r="G134" s="470"/>
      <c r="H134" s="430"/>
      <c r="I134" s="678">
        <f>I127+I132</f>
        <v>219.02</v>
      </c>
      <c r="J134" s="678"/>
      <c r="K134" s="678">
        <f>K127+K132</f>
        <v>1170.52</v>
      </c>
      <c r="L134" s="678"/>
    </row>
    <row r="135" spans="1:27" ht="57" x14ac:dyDescent="0.2">
      <c r="A135" s="400">
        <v>16</v>
      </c>
      <c r="B135" s="400">
        <v>129</v>
      </c>
      <c r="C135" s="460" t="str">
        <f>[86]Source!F361</f>
        <v>1.6-1-269</v>
      </c>
      <c r="D135" s="460" t="s">
        <v>244</v>
      </c>
      <c r="E135" s="428" t="str">
        <f>[86]Source!H361</f>
        <v>т</v>
      </c>
      <c r="F135" s="436">
        <f>[86]Source!I361</f>
        <v>0.42848999999999998</v>
      </c>
      <c r="G135" s="461">
        <f>[86]Source!AL361</f>
        <v>12416.1</v>
      </c>
      <c r="H135" s="427"/>
      <c r="I135" s="436">
        <f>[86]Source!AW361</f>
        <v>1</v>
      </c>
      <c r="J135" s="437">
        <f>ROUND((ROUND(([86]Source!AC361*[86]Source!AW361*[86]Source!I361),2)),2)</f>
        <v>5320.17</v>
      </c>
      <c r="K135" s="436">
        <f>IF([86]Source!BC361&lt;&gt; 0, [86]Source!BC361, 1)</f>
        <v>6.7</v>
      </c>
      <c r="L135" s="437">
        <v>35645.17</v>
      </c>
      <c r="Q135" s="422">
        <f>ROUND(([86]Source!DN361/100)*ROUND((ROUND(([86]Source!AF361*[86]Source!AV361*[86]Source!I361),2)),2), 2)</f>
        <v>0</v>
      </c>
      <c r="R135" s="422">
        <f>[86]Source!X361</f>
        <v>0</v>
      </c>
      <c r="S135" s="422">
        <f>ROUND(([86]Source!DO361/100)*ROUND((ROUND(([86]Source!AF361*[86]Source!AV361*[86]Source!I361),2)),2), 2)</f>
        <v>0</v>
      </c>
      <c r="T135" s="422">
        <f>[86]Source!Y361</f>
        <v>0</v>
      </c>
      <c r="U135" s="422">
        <f>ROUND((175/100)*ROUND((ROUND(([86]Source!AE361*[86]Source!AV361*[86]Source!I361),2)),2), 2)</f>
        <v>0</v>
      </c>
      <c r="V135" s="422">
        <f>ROUND((157/100)*ROUND(ROUND((ROUND(([86]Source!AE361*[86]Source!AV361*[86]Source!I361),2)*[86]Source!BS361),2), 2), 2)</f>
        <v>0</v>
      </c>
    </row>
    <row r="136" spans="1:27" ht="15" x14ac:dyDescent="0.25">
      <c r="A136" s="431"/>
      <c r="B136" s="431"/>
      <c r="C136" s="431"/>
      <c r="D136" s="431"/>
      <c r="E136" s="431"/>
      <c r="F136" s="431"/>
      <c r="G136" s="431"/>
      <c r="H136" s="431"/>
      <c r="I136" s="678">
        <f>J135</f>
        <v>5320.17</v>
      </c>
      <c r="J136" s="678"/>
      <c r="K136" s="678">
        <f>L135</f>
        <v>35645.17</v>
      </c>
      <c r="L136" s="678"/>
      <c r="O136" s="462">
        <f>J135</f>
        <v>5320.17</v>
      </c>
      <c r="P136" s="462">
        <f>L135</f>
        <v>35645.17</v>
      </c>
      <c r="X136" s="422">
        <f>IF([86]Source!BI361&lt;=1,J135-0, 0)</f>
        <v>5320.17</v>
      </c>
      <c r="Y136" s="422">
        <f>IF([86]Source!BI361=2,J135-0, 0)</f>
        <v>0</v>
      </c>
      <c r="Z136" s="422">
        <f>IF([86]Source!BI361=3,J135-0, 0)</f>
        <v>0</v>
      </c>
      <c r="AA136" s="422">
        <f>IF([86]Source!BI361=4,J135,0)</f>
        <v>0</v>
      </c>
    </row>
    <row r="137" spans="1:27" ht="14.25" x14ac:dyDescent="0.2">
      <c r="A137" s="400">
        <v>17</v>
      </c>
      <c r="B137" s="400">
        <v>130</v>
      </c>
      <c r="C137" s="460" t="str">
        <f>[86]Source!F363</f>
        <v>1.1-1-1002</v>
      </c>
      <c r="D137" s="460" t="s">
        <v>275</v>
      </c>
      <c r="E137" s="428" t="str">
        <f>[86]Source!H363</f>
        <v>кг</v>
      </c>
      <c r="F137" s="436">
        <f>[86]Source!I363</f>
        <v>21.87</v>
      </c>
      <c r="G137" s="461">
        <f>[86]Source!AL363</f>
        <v>20.89</v>
      </c>
      <c r="H137" s="427"/>
      <c r="I137" s="436">
        <f>[86]Source!AW363</f>
        <v>1</v>
      </c>
      <c r="J137" s="437">
        <f>ROUND((ROUND(([86]Source!AC363*[86]Source!AW363*[86]Source!I363),2)),2)</f>
        <v>456.86</v>
      </c>
      <c r="K137" s="436">
        <f>IF([86]Source!BC363&lt;&gt; 0, [86]Source!BC363, 1)</f>
        <v>12.53</v>
      </c>
      <c r="L137" s="437">
        <v>5724.51</v>
      </c>
      <c r="Q137" s="422">
        <f>ROUND(([86]Source!DN363/100)*ROUND((ROUND(([86]Source!AF363*[86]Source!AV363*[86]Source!I363),2)),2), 2)</f>
        <v>0</v>
      </c>
      <c r="R137" s="422">
        <f>[86]Source!X363</f>
        <v>0</v>
      </c>
      <c r="S137" s="422">
        <f>ROUND(([86]Source!DO363/100)*ROUND((ROUND(([86]Source!AF363*[86]Source!AV363*[86]Source!I363),2)),2), 2)</f>
        <v>0</v>
      </c>
      <c r="T137" s="422">
        <f>[86]Source!Y363</f>
        <v>0</v>
      </c>
      <c r="U137" s="422">
        <f>ROUND((175/100)*ROUND((ROUND(([86]Source!AE363*[86]Source!AV363*[86]Source!I363),2)),2), 2)</f>
        <v>0</v>
      </c>
      <c r="V137" s="422">
        <f>ROUND((157/100)*ROUND(ROUND((ROUND(([86]Source!AE363*[86]Source!AV363*[86]Source!I363),2)*[86]Source!BS363),2), 2), 2)</f>
        <v>0</v>
      </c>
    </row>
    <row r="138" spans="1:27" ht="15" x14ac:dyDescent="0.25">
      <c r="A138" s="431"/>
      <c r="B138" s="431"/>
      <c r="C138" s="431"/>
      <c r="D138" s="431"/>
      <c r="E138" s="431"/>
      <c r="F138" s="431"/>
      <c r="G138" s="431"/>
      <c r="H138" s="431"/>
      <c r="I138" s="678">
        <f>J137</f>
        <v>456.86</v>
      </c>
      <c r="J138" s="678"/>
      <c r="K138" s="678">
        <f>L137</f>
        <v>5724.51</v>
      </c>
      <c r="L138" s="678"/>
      <c r="O138" s="462">
        <f>J137</f>
        <v>456.86</v>
      </c>
      <c r="P138" s="462">
        <f>L137</f>
        <v>5724.51</v>
      </c>
      <c r="X138" s="422">
        <f>IF([86]Source!BI363&lt;=1,J137-0, 0)</f>
        <v>456.86</v>
      </c>
      <c r="Y138" s="422">
        <f>IF([86]Source!BI363=2,J137-0, 0)</f>
        <v>0</v>
      </c>
      <c r="Z138" s="422">
        <f>IF([86]Source!BI363=3,J137-0, 0)</f>
        <v>0</v>
      </c>
      <c r="AA138" s="422">
        <f>IF([86]Source!BI363=4,J137,0)</f>
        <v>0</v>
      </c>
    </row>
    <row r="139" spans="1:27" ht="28.5" x14ac:dyDescent="0.2">
      <c r="A139" s="400">
        <v>18</v>
      </c>
      <c r="B139" s="400">
        <v>131</v>
      </c>
      <c r="C139" s="460" t="str">
        <f>[86]Source!F365</f>
        <v>1.1-1-3732</v>
      </c>
      <c r="D139" s="460" t="s">
        <v>247</v>
      </c>
      <c r="E139" s="428" t="str">
        <f>[86]Source!H365</f>
        <v>100 шт.</v>
      </c>
      <c r="F139" s="436">
        <f>[86]Source!I365</f>
        <v>6.48</v>
      </c>
      <c r="G139" s="461">
        <f>[86]Source!AL365</f>
        <v>679.91</v>
      </c>
      <c r="H139" s="427"/>
      <c r="I139" s="436">
        <f>[86]Source!AW365</f>
        <v>1</v>
      </c>
      <c r="J139" s="437">
        <f>ROUND((ROUND(([86]Source!AC365*[86]Source!AW365*[86]Source!I365),2)),2)</f>
        <v>4405.82</v>
      </c>
      <c r="K139" s="436">
        <f>IF([86]Source!BC365&lt;&gt; 0, [86]Source!BC365, 1)</f>
        <v>1.21</v>
      </c>
      <c r="L139" s="437">
        <f>[86]Source!P365</f>
        <v>5331.04</v>
      </c>
      <c r="Q139" s="422">
        <f>ROUND(([86]Source!DN365/100)*ROUND((ROUND(([86]Source!AF365*[86]Source!AV365*[86]Source!I365),2)),2), 2)</f>
        <v>0</v>
      </c>
      <c r="R139" s="422">
        <f>[86]Source!X365</f>
        <v>0</v>
      </c>
      <c r="S139" s="422">
        <f>ROUND(([86]Source!DO365/100)*ROUND((ROUND(([86]Source!AF365*[86]Source!AV365*[86]Source!I365),2)),2), 2)</f>
        <v>0</v>
      </c>
      <c r="T139" s="422">
        <f>[86]Source!Y365</f>
        <v>0</v>
      </c>
      <c r="U139" s="422">
        <f>ROUND((175/100)*ROUND((ROUND(([86]Source!AE365*[86]Source!AV365*[86]Source!I365),2)),2), 2)</f>
        <v>0</v>
      </c>
      <c r="V139" s="422">
        <f>ROUND((157/100)*ROUND(ROUND((ROUND(([86]Source!AE365*[86]Source!AV365*[86]Source!I365),2)*[86]Source!BS365),2), 2), 2)</f>
        <v>0</v>
      </c>
    </row>
    <row r="140" spans="1:27" ht="15" x14ac:dyDescent="0.25">
      <c r="A140" s="431"/>
      <c r="B140" s="431"/>
      <c r="C140" s="431"/>
      <c r="D140" s="431"/>
      <c r="E140" s="431"/>
      <c r="F140" s="431"/>
      <c r="G140" s="431"/>
      <c r="H140" s="431"/>
      <c r="I140" s="678">
        <f>J139</f>
        <v>4405.82</v>
      </c>
      <c r="J140" s="678"/>
      <c r="K140" s="678">
        <f>L139</f>
        <v>5331.04</v>
      </c>
      <c r="L140" s="678"/>
      <c r="O140" s="462">
        <f>J139</f>
        <v>4405.82</v>
      </c>
      <c r="P140" s="462">
        <f>L139</f>
        <v>5331.04</v>
      </c>
      <c r="X140" s="422">
        <f>IF([86]Source!BI365&lt;=1,J139-0, 0)</f>
        <v>4405.82</v>
      </c>
      <c r="Y140" s="422">
        <f>IF([86]Source!BI365=2,J139-0, 0)</f>
        <v>0</v>
      </c>
      <c r="Z140" s="422">
        <f>IF([86]Source!BI365=3,J139-0, 0)</f>
        <v>0</v>
      </c>
      <c r="AA140" s="422">
        <f>IF([86]Source!BI365=4,J139,0)</f>
        <v>0</v>
      </c>
    </row>
    <row r="141" spans="1:27" ht="28.5" x14ac:dyDescent="0.2">
      <c r="A141" s="400">
        <v>19</v>
      </c>
      <c r="B141" s="400">
        <v>132</v>
      </c>
      <c r="C141" s="460" t="str">
        <f>[86]Source!F367</f>
        <v>1.1-1-3733</v>
      </c>
      <c r="D141" s="460" t="s">
        <v>248</v>
      </c>
      <c r="E141" s="428" t="str">
        <f>[86]Source!H367</f>
        <v>100 шт.</v>
      </c>
      <c r="F141" s="436">
        <f>[86]Source!I367</f>
        <v>1.62</v>
      </c>
      <c r="G141" s="461">
        <f>[86]Source!AL367</f>
        <v>98.74</v>
      </c>
      <c r="H141" s="427"/>
      <c r="I141" s="436">
        <f>[86]Source!AW367</f>
        <v>1</v>
      </c>
      <c r="J141" s="437">
        <f>ROUND((ROUND(([86]Source!AC367*[86]Source!AW367*[86]Source!I367),2)),2)</f>
        <v>159.96</v>
      </c>
      <c r="K141" s="436">
        <f>IF([86]Source!BC367&lt;&gt; 0, [86]Source!BC367, 1)</f>
        <v>1.95</v>
      </c>
      <c r="L141" s="437">
        <f>[86]Source!P367</f>
        <v>311.92</v>
      </c>
      <c r="Q141" s="422">
        <f>ROUND(([86]Source!DN367/100)*ROUND((ROUND(([86]Source!AF367*[86]Source!AV367*[86]Source!I367),2)),2), 2)</f>
        <v>0</v>
      </c>
      <c r="R141" s="422">
        <f>[86]Source!X367</f>
        <v>0</v>
      </c>
      <c r="S141" s="422">
        <f>ROUND(([86]Source!DO367/100)*ROUND((ROUND(([86]Source!AF367*[86]Source!AV367*[86]Source!I367),2)),2), 2)</f>
        <v>0</v>
      </c>
      <c r="T141" s="422">
        <f>[86]Source!Y367</f>
        <v>0</v>
      </c>
      <c r="U141" s="422">
        <f>ROUND((175/100)*ROUND((ROUND(([86]Source!AE367*[86]Source!AV367*[86]Source!I367),2)),2), 2)</f>
        <v>0</v>
      </c>
      <c r="V141" s="422">
        <f>ROUND((157/100)*ROUND(ROUND((ROUND(([86]Source!AE367*[86]Source!AV367*[86]Source!I367),2)*[86]Source!BS367),2), 2), 2)</f>
        <v>0</v>
      </c>
    </row>
    <row r="142" spans="1:27" ht="15" x14ac:dyDescent="0.25">
      <c r="A142" s="431"/>
      <c r="B142" s="431"/>
      <c r="C142" s="431"/>
      <c r="D142" s="431"/>
      <c r="E142" s="431"/>
      <c r="F142" s="431"/>
      <c r="G142" s="431"/>
      <c r="H142" s="431"/>
      <c r="I142" s="678">
        <f>J141</f>
        <v>159.96</v>
      </c>
      <c r="J142" s="678"/>
      <c r="K142" s="678">
        <f>L141</f>
        <v>311.92</v>
      </c>
      <c r="L142" s="678"/>
      <c r="O142" s="462">
        <f>J141</f>
        <v>159.96</v>
      </c>
      <c r="P142" s="462">
        <f>L141</f>
        <v>311.92</v>
      </c>
      <c r="X142" s="422">
        <f>IF([86]Source!BI367&lt;=1,J141-0, 0)</f>
        <v>159.96</v>
      </c>
      <c r="Y142" s="422">
        <f>IF([86]Source!BI367=2,J141-0, 0)</f>
        <v>0</v>
      </c>
      <c r="Z142" s="422">
        <f>IF([86]Source!BI367=3,J141-0, 0)</f>
        <v>0</v>
      </c>
      <c r="AA142" s="422">
        <f>IF([86]Source!BI367=4,J141,0)</f>
        <v>0</v>
      </c>
    </row>
    <row r="143" spans="1:27" ht="65.25" x14ac:dyDescent="0.2">
      <c r="A143" s="400">
        <v>20</v>
      </c>
      <c r="B143" s="400">
        <v>133</v>
      </c>
      <c r="C143" s="460" t="s">
        <v>269</v>
      </c>
      <c r="D143" s="460" t="s">
        <v>65</v>
      </c>
      <c r="E143" s="428" t="str">
        <f>[86]Source!H369</f>
        <v>100 шт.</v>
      </c>
      <c r="F143" s="436">
        <f>[86]Source!I369</f>
        <v>1.62</v>
      </c>
      <c r="G143" s="461"/>
      <c r="H143" s="427"/>
      <c r="I143" s="436"/>
      <c r="J143" s="437"/>
      <c r="K143" s="436"/>
      <c r="L143" s="437"/>
      <c r="Q143" s="422">
        <f>ROUND(([86]Source!DN369/100)*ROUND((ROUND(([86]Source!AF369*[86]Source!AV369*[86]Source!I369),2)),2), 2)</f>
        <v>498.36</v>
      </c>
      <c r="R143" s="422">
        <f>[86]Source!X369</f>
        <v>9715.77</v>
      </c>
      <c r="S143" s="422">
        <f>ROUND(([86]Source!DO369/100)*ROUND((ROUND(([86]Source!AF369*[86]Source!AV369*[86]Source!I369),2)),2), 2)</f>
        <v>601.47</v>
      </c>
      <c r="T143" s="422">
        <f>[86]Source!Y369</f>
        <v>6939.84</v>
      </c>
      <c r="U143" s="422">
        <f>ROUND((175/100)*ROUND((ROUND(([86]Source!AE369*[86]Source!AV369*[86]Source!I369),2)),2), 2)</f>
        <v>0.32</v>
      </c>
      <c r="V143" s="422">
        <f>ROUND((157/100)*ROUND(ROUND((ROUND(([86]Source!AE369*[86]Source!AV369*[86]Source!I369),2)*[86]Source!BS369),2), 2), 2)</f>
        <v>6.85</v>
      </c>
    </row>
    <row r="144" spans="1:27" ht="14.25" x14ac:dyDescent="0.2">
      <c r="A144" s="400"/>
      <c r="B144" s="400"/>
      <c r="C144" s="460"/>
      <c r="D144" s="460" t="s">
        <v>52</v>
      </c>
      <c r="E144" s="428"/>
      <c r="F144" s="436"/>
      <c r="G144" s="461">
        <f>[86]Source!AO369</f>
        <v>194.79</v>
      </c>
      <c r="H144" s="427" t="str">
        <f>[86]Source!DG369</f>
        <v>)*1,67</v>
      </c>
      <c r="I144" s="436">
        <f>[86]Source!AV369</f>
        <v>1.087</v>
      </c>
      <c r="J144" s="437">
        <f>ROUND((ROUND(([86]Source!AF369*[86]Source!AV369*[86]Source!I369),2)),2)</f>
        <v>572.83000000000004</v>
      </c>
      <c r="K144" s="436">
        <f>IF([86]Source!BA369&lt;&gt; 0, [86]Source!BA369, 1)</f>
        <v>24.23</v>
      </c>
      <c r="L144" s="437">
        <f>[86]Source!S369</f>
        <v>13879.67</v>
      </c>
      <c r="W144" s="422">
        <f>J144</f>
        <v>572.83000000000004</v>
      </c>
    </row>
    <row r="145" spans="1:27" ht="14.25" x14ac:dyDescent="0.2">
      <c r="A145" s="400"/>
      <c r="B145" s="400"/>
      <c r="C145" s="460"/>
      <c r="D145" s="460" t="s">
        <v>53</v>
      </c>
      <c r="E145" s="428"/>
      <c r="F145" s="436"/>
      <c r="G145" s="461">
        <f>[86]Source!AM369</f>
        <v>0.3</v>
      </c>
      <c r="H145" s="427"/>
      <c r="I145" s="436">
        <f>[86]Source!AV369</f>
        <v>1.087</v>
      </c>
      <c r="J145" s="437">
        <f>(ROUND((ROUND((([86]Source!ET369)*[86]Source!AV369*[86]Source!I369),2)),2)+ROUND((ROUND((([86]Source!AE369-([86]Source!EU369))*[86]Source!AV369*[86]Source!I369),2)),2))-J153</f>
        <v>0.53</v>
      </c>
      <c r="K145" s="436">
        <f>IF([86]Source!BB369&lt;&gt; 0, [86]Source!BB369, 1)</f>
        <v>9.3000000000000007</v>
      </c>
      <c r="L145" s="437">
        <f>[86]Source!Q369-L153</f>
        <v>4.91</v>
      </c>
    </row>
    <row r="146" spans="1:27" ht="14.25" x14ac:dyDescent="0.2">
      <c r="A146" s="400"/>
      <c r="B146" s="400"/>
      <c r="C146" s="460"/>
      <c r="D146" s="460" t="s">
        <v>54</v>
      </c>
      <c r="E146" s="428"/>
      <c r="F146" s="436"/>
      <c r="G146" s="461">
        <f>[86]Source!AN369</f>
        <v>0.06</v>
      </c>
      <c r="H146" s="427"/>
      <c r="I146" s="436">
        <f>[86]Source!AV369</f>
        <v>1.087</v>
      </c>
      <c r="J146" s="435">
        <f>ROUND((ROUND(([86]Source!AE369*[86]Source!AV369*[86]Source!I369),2)),2)-J154</f>
        <v>0.11</v>
      </c>
      <c r="K146" s="436">
        <f>IF([86]Source!BS369&lt;&gt; 0, [86]Source!BS369, 1)</f>
        <v>24.23</v>
      </c>
      <c r="L146" s="435">
        <f>[86]Source!R369-L154</f>
        <v>2.64</v>
      </c>
      <c r="W146" s="422">
        <f>J146</f>
        <v>0.11</v>
      </c>
    </row>
    <row r="147" spans="1:27" ht="14.25" x14ac:dyDescent="0.2">
      <c r="A147" s="400"/>
      <c r="B147" s="400"/>
      <c r="C147" s="460"/>
      <c r="D147" s="460" t="s">
        <v>56</v>
      </c>
      <c r="E147" s="428" t="s">
        <v>57</v>
      </c>
      <c r="F147" s="436">
        <f>[86]Source!DN369</f>
        <v>87</v>
      </c>
      <c r="G147" s="461"/>
      <c r="H147" s="427"/>
      <c r="I147" s="436"/>
      <c r="J147" s="437">
        <f>SUM(Q143:Q146)</f>
        <v>498.36</v>
      </c>
      <c r="K147" s="436">
        <f>[86]Source!BZ369</f>
        <v>70</v>
      </c>
      <c r="L147" s="437">
        <f>SUM(R143:R146)</f>
        <v>9715.77</v>
      </c>
    </row>
    <row r="148" spans="1:27" ht="14.25" x14ac:dyDescent="0.2">
      <c r="A148" s="400"/>
      <c r="B148" s="400"/>
      <c r="C148" s="460"/>
      <c r="D148" s="460" t="s">
        <v>58</v>
      </c>
      <c r="E148" s="428" t="s">
        <v>57</v>
      </c>
      <c r="F148" s="436">
        <f>[86]Source!DO369</f>
        <v>105</v>
      </c>
      <c r="G148" s="461"/>
      <c r="H148" s="427"/>
      <c r="I148" s="436"/>
      <c r="J148" s="437">
        <f>SUM(S143:S147)</f>
        <v>601.47</v>
      </c>
      <c r="K148" s="436">
        <f>[86]Source!CA369</f>
        <v>50</v>
      </c>
      <c r="L148" s="437">
        <f>SUM(T143:T147)</f>
        <v>6939.84</v>
      </c>
    </row>
    <row r="149" spans="1:27" ht="14.25" x14ac:dyDescent="0.2">
      <c r="A149" s="400"/>
      <c r="B149" s="400"/>
      <c r="C149" s="460"/>
      <c r="D149" s="460" t="s">
        <v>59</v>
      </c>
      <c r="E149" s="428" t="s">
        <v>57</v>
      </c>
      <c r="F149" s="436">
        <f>175</f>
        <v>175</v>
      </c>
      <c r="G149" s="461"/>
      <c r="H149" s="427"/>
      <c r="I149" s="436"/>
      <c r="J149" s="437">
        <f>SUM(U143:U148)-J155</f>
        <v>0.2</v>
      </c>
      <c r="K149" s="436">
        <f>157</f>
        <v>157</v>
      </c>
      <c r="L149" s="437">
        <f>SUM(V143:V148)-L155</f>
        <v>4.1500000000000004</v>
      </c>
    </row>
    <row r="150" spans="1:27" ht="14.25" x14ac:dyDescent="0.2">
      <c r="A150" s="400"/>
      <c r="B150" s="400"/>
      <c r="C150" s="460"/>
      <c r="D150" s="460" t="s">
        <v>60</v>
      </c>
      <c r="E150" s="428" t="s">
        <v>61</v>
      </c>
      <c r="F150" s="436">
        <f>[86]Source!AQ369</f>
        <v>13.4</v>
      </c>
      <c r="G150" s="461"/>
      <c r="H150" s="427"/>
      <c r="I150" s="436">
        <f>[86]Source!AV369</f>
        <v>1.087</v>
      </c>
      <c r="J150" s="437">
        <f>[86]Source!U369</f>
        <v>23.6</v>
      </c>
      <c r="K150" s="436"/>
      <c r="L150" s="437"/>
    </row>
    <row r="151" spans="1:27" ht="15" x14ac:dyDescent="0.25">
      <c r="I151" s="678">
        <f>J144+J145+J147+J148+J149</f>
        <v>1673.39</v>
      </c>
      <c r="J151" s="678"/>
      <c r="K151" s="678">
        <f>L144+L145+L147+L148+L149</f>
        <v>30544.34</v>
      </c>
      <c r="L151" s="678"/>
      <c r="O151" s="462">
        <f>J144+J145+J147+J148+J149</f>
        <v>1673.39</v>
      </c>
      <c r="P151" s="462">
        <f>L144+L145+L147+L148+L149</f>
        <v>30544.34</v>
      </c>
      <c r="X151" s="422">
        <f>IF([86]Source!BI369&lt;=1,J144+J145+J147+J148+J149-0, 0)</f>
        <v>1673.39</v>
      </c>
      <c r="Y151" s="422">
        <f>IF([86]Source!BI369=2,J144+J145+J147+J148+J149-0, 0)</f>
        <v>0</v>
      </c>
      <c r="Z151" s="422">
        <f>IF([86]Source!BI369=3,J144+J145+J147+J148+J149-0, 0)</f>
        <v>0</v>
      </c>
      <c r="AA151" s="422">
        <f>IF([86]Source!BI369=4,J144+J145+J147+J148+J149,0)</f>
        <v>0</v>
      </c>
    </row>
    <row r="152" spans="1:27" ht="28.5" x14ac:dyDescent="0.2">
      <c r="A152" s="463"/>
      <c r="B152" s="463"/>
      <c r="C152" s="464"/>
      <c r="D152" s="464" t="s">
        <v>62</v>
      </c>
      <c r="E152" s="428"/>
      <c r="F152" s="434"/>
      <c r="G152" s="465"/>
      <c r="H152" s="428"/>
      <c r="I152" s="434"/>
      <c r="J152" s="435"/>
      <c r="K152" s="434"/>
      <c r="L152" s="435"/>
    </row>
    <row r="153" spans="1:27" ht="14.25" x14ac:dyDescent="0.2">
      <c r="A153" s="463"/>
      <c r="B153" s="463"/>
      <c r="C153" s="464"/>
      <c r="D153" s="464" t="s">
        <v>53</v>
      </c>
      <c r="E153" s="428"/>
      <c r="F153" s="434"/>
      <c r="G153" s="465">
        <f t="shared" ref="G153:L153" si="3">G154</f>
        <v>0.06</v>
      </c>
      <c r="H153" s="429" t="str">
        <f t="shared" si="3"/>
        <v>)*(1.67-1)</v>
      </c>
      <c r="I153" s="434">
        <f t="shared" si="3"/>
        <v>1.087</v>
      </c>
      <c r="J153" s="435">
        <f t="shared" si="3"/>
        <v>7.0000000000000007E-2</v>
      </c>
      <c r="K153" s="434">
        <f t="shared" si="3"/>
        <v>24.23</v>
      </c>
      <c r="L153" s="435">
        <f t="shared" si="3"/>
        <v>1.72</v>
      </c>
    </row>
    <row r="154" spans="1:27" ht="14.25" x14ac:dyDescent="0.2">
      <c r="A154" s="463"/>
      <c r="B154" s="463"/>
      <c r="C154" s="464"/>
      <c r="D154" s="464" t="s">
        <v>54</v>
      </c>
      <c r="E154" s="428"/>
      <c r="F154" s="434"/>
      <c r="G154" s="465">
        <f>[86]Source!AN369</f>
        <v>0.06</v>
      </c>
      <c r="H154" s="429" t="s">
        <v>63</v>
      </c>
      <c r="I154" s="434">
        <f>[86]Source!AV369</f>
        <v>1.087</v>
      </c>
      <c r="J154" s="435">
        <f>ROUND(F143*G154*I154*(1.67-1), 2)</f>
        <v>7.0000000000000007E-2</v>
      </c>
      <c r="K154" s="434">
        <f>IF([86]Source!BS369&lt;&gt; 0, [86]Source!BS369, 1)</f>
        <v>24.23</v>
      </c>
      <c r="L154" s="435">
        <f>ROUND(F143*G154*I154*(1.67-1)*K154, 2)</f>
        <v>1.72</v>
      </c>
      <c r="W154" s="422">
        <f>J154</f>
        <v>7.0000000000000007E-2</v>
      </c>
    </row>
    <row r="155" spans="1:27" ht="14.25" x14ac:dyDescent="0.2">
      <c r="A155" s="463"/>
      <c r="B155" s="463"/>
      <c r="C155" s="464"/>
      <c r="D155" s="464" t="s">
        <v>59</v>
      </c>
      <c r="E155" s="428" t="s">
        <v>57</v>
      </c>
      <c r="F155" s="434">
        <f>175</f>
        <v>175</v>
      </c>
      <c r="G155" s="465"/>
      <c r="H155" s="428"/>
      <c r="I155" s="434"/>
      <c r="J155" s="435">
        <f>ROUND(J154*(F155/100), 2)</f>
        <v>0.12</v>
      </c>
      <c r="K155" s="434">
        <f>157</f>
        <v>157</v>
      </c>
      <c r="L155" s="435">
        <f>ROUND(L154*(K155/100), 2)</f>
        <v>2.7</v>
      </c>
    </row>
    <row r="156" spans="1:27" ht="15" x14ac:dyDescent="0.25">
      <c r="I156" s="678">
        <f>J155+J154</f>
        <v>0.19</v>
      </c>
      <c r="J156" s="678"/>
      <c r="K156" s="678">
        <f>L155+L154</f>
        <v>4.42</v>
      </c>
      <c r="L156" s="678"/>
      <c r="O156" s="462">
        <f>I156</f>
        <v>0.19</v>
      </c>
      <c r="P156" s="462">
        <f>K156</f>
        <v>4.42</v>
      </c>
      <c r="X156" s="422">
        <f>IF([86]Source!BI369&lt;=1,I156, 0)</f>
        <v>0.19</v>
      </c>
      <c r="Y156" s="422">
        <f>IF([86]Source!BI369=2,I156, 0)</f>
        <v>0</v>
      </c>
      <c r="Z156" s="422">
        <f>IF([86]Source!BI369=3,I156, 0)</f>
        <v>0</v>
      </c>
      <c r="AA156" s="422">
        <f>IF([86]Source!BI369=4,I156, 0)</f>
        <v>0</v>
      </c>
    </row>
    <row r="158" spans="1:27" ht="15" x14ac:dyDescent="0.25">
      <c r="A158" s="466"/>
      <c r="B158" s="466"/>
      <c r="C158" s="467"/>
      <c r="D158" s="467" t="s">
        <v>64</v>
      </c>
      <c r="E158" s="468"/>
      <c r="F158" s="469"/>
      <c r="G158" s="470"/>
      <c r="H158" s="430"/>
      <c r="I158" s="678">
        <f>I151+I156</f>
        <v>1673.58</v>
      </c>
      <c r="J158" s="678"/>
      <c r="K158" s="678">
        <f>K151+K156</f>
        <v>30548.76</v>
      </c>
      <c r="L158" s="678"/>
    </row>
    <row r="159" spans="1:27" ht="42.75" x14ac:dyDescent="0.2">
      <c r="A159" s="400">
        <v>21</v>
      </c>
      <c r="B159" s="400">
        <v>134</v>
      </c>
      <c r="C159" s="460" t="str">
        <f>[86]Source!F371</f>
        <v>1.7-5-237</v>
      </c>
      <c r="D159" s="460" t="s">
        <v>66</v>
      </c>
      <c r="E159" s="428" t="str">
        <f>[86]Source!H371</f>
        <v>шт.</v>
      </c>
      <c r="F159" s="436">
        <f>[86]Source!I371</f>
        <v>162</v>
      </c>
      <c r="G159" s="461">
        <f>[86]Source!AL371</f>
        <v>69.040000000000006</v>
      </c>
      <c r="H159" s="427"/>
      <c r="I159" s="436">
        <f>[86]Source!AW371</f>
        <v>1</v>
      </c>
      <c r="J159" s="437">
        <f>ROUND((ROUND(([86]Source!AC371*[86]Source!AW371*[86]Source!I371),2)),2)</f>
        <v>11184.48</v>
      </c>
      <c r="K159" s="436">
        <f>IF([86]Source!BC371&lt;&gt; 0, [86]Source!BC371, 1)</f>
        <v>3.98</v>
      </c>
      <c r="L159" s="437">
        <f>[86]Source!P371</f>
        <v>44514.23</v>
      </c>
      <c r="Q159" s="422">
        <f>ROUND(([86]Source!DN371/100)*ROUND((ROUND(([86]Source!AF371*[86]Source!AV371*[86]Source!I371),2)),2), 2)</f>
        <v>0</v>
      </c>
      <c r="R159" s="422">
        <f>[86]Source!X371</f>
        <v>0</v>
      </c>
      <c r="S159" s="422">
        <f>ROUND(([86]Source!DO371/100)*ROUND((ROUND(([86]Source!AF371*[86]Source!AV371*[86]Source!I371),2)),2), 2)</f>
        <v>0</v>
      </c>
      <c r="T159" s="422">
        <f>[86]Source!Y371</f>
        <v>0</v>
      </c>
      <c r="U159" s="422">
        <f>ROUND((175/100)*ROUND((ROUND(([86]Source!AE371*[86]Source!AV371*[86]Source!I371),2)),2), 2)</f>
        <v>0</v>
      </c>
      <c r="V159" s="422">
        <f>ROUND((157/100)*ROUND(ROUND((ROUND(([86]Source!AE371*[86]Source!AV371*[86]Source!I371),2)*[86]Source!BS371),2), 2), 2)</f>
        <v>0</v>
      </c>
    </row>
    <row r="160" spans="1:27" ht="15" x14ac:dyDescent="0.25">
      <c r="A160" s="431"/>
      <c r="B160" s="431"/>
      <c r="C160" s="431"/>
      <c r="D160" s="431"/>
      <c r="E160" s="431"/>
      <c r="F160" s="431"/>
      <c r="G160" s="431"/>
      <c r="H160" s="431"/>
      <c r="I160" s="678">
        <f>J159</f>
        <v>11184.48</v>
      </c>
      <c r="J160" s="678"/>
      <c r="K160" s="678">
        <f>L159</f>
        <v>44514.23</v>
      </c>
      <c r="L160" s="678"/>
      <c r="O160" s="462">
        <f>J159</f>
        <v>11184.48</v>
      </c>
      <c r="P160" s="462">
        <f>L159</f>
        <v>44514.23</v>
      </c>
      <c r="X160" s="422">
        <f>IF([86]Source!BI371&lt;=1,J159-0, 0)</f>
        <v>11184.48</v>
      </c>
      <c r="Y160" s="422">
        <f>IF([86]Source!BI371=2,J159-0, 0)</f>
        <v>0</v>
      </c>
      <c r="Z160" s="422">
        <f>IF([86]Source!BI371=3,J159-0, 0)</f>
        <v>0</v>
      </c>
      <c r="AA160" s="422">
        <f>IF([86]Source!BI371=4,J159,0)</f>
        <v>0</v>
      </c>
    </row>
    <row r="162" spans="1:256" ht="30" x14ac:dyDescent="0.25">
      <c r="A162" s="677" t="str">
        <f>CONCATENATE("Итого по разделу: ",IF([86]Source!G385&lt;&gt;"Новый раздел", [86]Source!G385, ""))</f>
        <v>Итого по разделу: ТУПИК ЗА СТ."АМИНЬЕВСКОЕ ШОССЕ". ХОЗЯЙСТВЕННО-ПИТЬЕВОЙ, ПРОИЗВОДСТВЕННЫЙ И ПРОТИВОПОЖАРНЫЙ ТОННЕЛЬНЫЙ ВОДОПРОВОД В1Т</v>
      </c>
      <c r="B162" s="677"/>
      <c r="C162" s="677"/>
      <c r="D162" s="677"/>
      <c r="E162" s="677"/>
      <c r="F162" s="677"/>
      <c r="G162" s="677"/>
      <c r="H162" s="677"/>
      <c r="I162" s="675">
        <f>SUM(O91:O161)</f>
        <v>344871.45</v>
      </c>
      <c r="J162" s="676"/>
      <c r="K162" s="675">
        <f>SUM(P91:P161)</f>
        <v>1383914.8</v>
      </c>
      <c r="L162" s="676"/>
      <c r="AL162" s="471" t="str">
        <f>CONCATENATE("Итого по разделу: ",IF([86]Source!G385&lt;&gt;"Новый раздел", [86]Source!G385, ""))</f>
        <v>Итого по разделу: ТУПИК ЗА СТ."АМИНЬЕВСКОЕ ШОССЕ". ХОЗЯЙСТВЕННО-ПИТЬЕВОЙ, ПРОИЗВОДСТВЕННЫЙ И ПРОТИВОПОЖАРНЫЙ ТОННЕЛЬНЫЙ ВОДОПРОВОД В1Т</v>
      </c>
    </row>
    <row r="163" spans="1:256" hidden="1" x14ac:dyDescent="0.2">
      <c r="A163" s="422" t="s">
        <v>67</v>
      </c>
      <c r="J163" s="422">
        <f>SUM(AC91:AC162)</f>
        <v>0</v>
      </c>
      <c r="K163" s="422">
        <f>SUM(AD91:AD162)</f>
        <v>0</v>
      </c>
    </row>
    <row r="164" spans="1:256" hidden="1" x14ac:dyDescent="0.2">
      <c r="A164" s="422" t="s">
        <v>68</v>
      </c>
      <c r="J164" s="422">
        <f>SUM(AE91:AE163)</f>
        <v>0</v>
      </c>
      <c r="K164" s="422">
        <f>SUM(AF91:AF163)</f>
        <v>0</v>
      </c>
    </row>
    <row r="166" spans="1:256" ht="15" x14ac:dyDescent="0.25">
      <c r="A166" s="677" t="str">
        <f>CONCATENATE("Итого по локальной смете: ",IF([86]Source!G414&lt;&gt;"Новая локальная смета", [86]Source!G414, ""))</f>
        <v>Итого по локальной смете: 0</v>
      </c>
      <c r="B166" s="677"/>
      <c r="C166" s="677"/>
      <c r="D166" s="677"/>
      <c r="E166" s="677"/>
      <c r="F166" s="677"/>
      <c r="G166" s="677"/>
      <c r="H166" s="677"/>
      <c r="I166" s="675">
        <f>SUM(O46:O165)</f>
        <v>579729.72</v>
      </c>
      <c r="J166" s="676"/>
      <c r="K166" s="675">
        <f>SUM(P46:P165)</f>
        <v>2290842.0699999998</v>
      </c>
      <c r="L166" s="676"/>
    </row>
    <row r="167" spans="1:256" hidden="1" x14ac:dyDescent="0.2">
      <c r="A167" s="422" t="s">
        <v>67</v>
      </c>
      <c r="J167" s="422">
        <f>SUM(AC46:AC166)</f>
        <v>0</v>
      </c>
      <c r="K167" s="422">
        <f>SUM(AD46:AD166)</f>
        <v>0</v>
      </c>
    </row>
    <row r="168" spans="1:256" hidden="1" x14ac:dyDescent="0.2">
      <c r="A168" s="422" t="s">
        <v>68</v>
      </c>
      <c r="J168" s="422">
        <f>SUM(AE46:AE167)</f>
        <v>0</v>
      </c>
      <c r="K168" s="422">
        <f>SUM(AF46:AF167)</f>
        <v>0</v>
      </c>
    </row>
    <row r="169" spans="1:256" ht="14.25" x14ac:dyDescent="0.2">
      <c r="D169" s="433" t="str">
        <f>[86]Source!H420</f>
        <v>Стоимость материалов (всего)</v>
      </c>
      <c r="E169" s="433"/>
      <c r="F169" s="433"/>
      <c r="G169" s="433"/>
      <c r="H169" s="433"/>
      <c r="I169" s="674">
        <f>SUMIF(D30:D160,"МР",J30:J160)+J159+J141+J139+J137+J135+J122+J115+J96+J94+J92+J84+J82+J80+J78+J76+J74+J72</f>
        <v>555583.43999999994</v>
      </c>
      <c r="J169" s="671"/>
      <c r="K169" s="672">
        <f>IF([86]Source!P420=0, "", [86]Source!P420)</f>
        <v>1850243.3</v>
      </c>
      <c r="L169" s="672"/>
    </row>
    <row r="170" spans="1:256" ht="14.25" x14ac:dyDescent="0.2">
      <c r="D170" s="433" t="str">
        <f>[86]Source!H428</f>
        <v>ЗП машинистов</v>
      </c>
      <c r="E170" s="433"/>
      <c r="F170" s="433"/>
      <c r="G170" s="433"/>
      <c r="H170" s="433"/>
      <c r="I170" s="671">
        <f>SUMIF(D30:D160,"в т.ч. ЗПМ",J30:J160)</f>
        <v>226.57</v>
      </c>
      <c r="J170" s="671"/>
      <c r="K170" s="672">
        <f>IF([86]Source!P428=0, "", [86]Source!P428)</f>
        <v>5489.78</v>
      </c>
      <c r="L170" s="672"/>
    </row>
    <row r="171" spans="1:256" ht="14.25" x14ac:dyDescent="0.2">
      <c r="D171" s="433" t="str">
        <f>[86]Source!H429</f>
        <v>Основная ЗП рабочих</v>
      </c>
      <c r="E171" s="433"/>
      <c r="F171" s="433"/>
      <c r="G171" s="433"/>
      <c r="H171" s="433"/>
      <c r="I171" s="671">
        <f>SUMIF(D30:D160,"ЗП",J30:J160)</f>
        <v>7166.95</v>
      </c>
      <c r="J171" s="671"/>
      <c r="K171" s="672">
        <f>IF([86]Source!P429=0, "", [86]Source!P429)</f>
        <v>173655.19</v>
      </c>
      <c r="L171" s="672"/>
    </row>
    <row r="172" spans="1:256" ht="14.25" x14ac:dyDescent="0.2">
      <c r="D172" s="433" t="str">
        <f>[86]Source!H439</f>
        <v>Накладные расходы</v>
      </c>
      <c r="E172" s="433"/>
      <c r="F172" s="433"/>
      <c r="G172" s="433"/>
      <c r="H172" s="433"/>
      <c r="I172" s="671">
        <f>SUMIF(D30:D160,"НР от ЗП",J30:J160)</f>
        <v>8738.83</v>
      </c>
      <c r="J172" s="671"/>
      <c r="K172" s="672">
        <f>IF([86]Source!P439=0, "", [86]Source!P439)</f>
        <v>169451.71</v>
      </c>
      <c r="L172" s="672"/>
    </row>
    <row r="173" spans="1:256" ht="14.25" x14ac:dyDescent="0.2">
      <c r="D173" s="433" t="str">
        <f>[86]Source!H440</f>
        <v>Сметная прибыль</v>
      </c>
      <c r="E173" s="433"/>
      <c r="F173" s="433"/>
      <c r="G173" s="433"/>
      <c r="H173" s="433"/>
      <c r="I173" s="671">
        <f>SUMIF(D30:D160,"СП от ЗП",J30:J160)</f>
        <v>6798.1</v>
      </c>
      <c r="J173" s="671"/>
      <c r="K173" s="672">
        <f>IF([86]Source!P440=0, "", [86]Source!P440)</f>
        <v>78828.27</v>
      </c>
      <c r="L173" s="672"/>
    </row>
    <row r="175" spans="1:256" ht="14.25" x14ac:dyDescent="0.2">
      <c r="A175" s="237"/>
      <c r="B175" s="237"/>
      <c r="C175" s="237"/>
      <c r="D175" s="673" t="s">
        <v>191</v>
      </c>
      <c r="E175" s="673"/>
      <c r="F175" s="673"/>
      <c r="G175" s="673"/>
      <c r="H175" s="673"/>
      <c r="I175" s="237"/>
      <c r="J175" s="238">
        <v>0</v>
      </c>
      <c r="K175" s="238"/>
      <c r="L175" s="238">
        <v>0</v>
      </c>
      <c r="M175" s="370"/>
      <c r="N175" s="371"/>
      <c r="O175" s="371"/>
      <c r="P175" s="371"/>
      <c r="Q175" s="371"/>
      <c r="R175" s="371"/>
      <c r="S175" s="371"/>
      <c r="T175" s="371"/>
      <c r="U175" s="371"/>
      <c r="V175" s="371"/>
      <c r="W175" s="371"/>
      <c r="X175" s="371"/>
      <c r="Y175" s="371"/>
      <c r="Z175" s="371"/>
      <c r="AA175" s="371"/>
      <c r="AB175" s="371"/>
      <c r="AC175" s="371"/>
      <c r="AD175" s="371"/>
      <c r="AE175" s="371"/>
      <c r="AF175" s="371"/>
      <c r="AG175" s="371"/>
      <c r="AH175" s="371"/>
      <c r="AI175" s="371"/>
      <c r="AJ175" s="371"/>
      <c r="AK175" s="371"/>
      <c r="AL175" s="371"/>
      <c r="AM175" s="371"/>
      <c r="AN175" s="371"/>
      <c r="AO175" s="371"/>
      <c r="AP175" s="371"/>
      <c r="AQ175" s="371"/>
      <c r="AR175" s="371"/>
      <c r="AS175" s="371"/>
      <c r="AT175" s="371"/>
      <c r="AU175" s="371"/>
      <c r="AV175" s="371"/>
      <c r="AW175" s="371"/>
      <c r="AX175" s="371"/>
      <c r="AY175" s="371"/>
      <c r="AZ175" s="371"/>
      <c r="BA175" s="371"/>
      <c r="BB175" s="371"/>
      <c r="BC175" s="371"/>
      <c r="BD175" s="371"/>
      <c r="BE175" s="371"/>
      <c r="BF175" s="371"/>
      <c r="BG175" s="371"/>
      <c r="BH175" s="371"/>
      <c r="BI175" s="371"/>
      <c r="BJ175" s="371"/>
      <c r="BK175" s="371"/>
      <c r="BL175" s="371"/>
      <c r="BM175" s="371"/>
      <c r="BN175" s="371"/>
      <c r="BO175" s="371"/>
      <c r="BP175" s="371"/>
      <c r="BQ175" s="371"/>
      <c r="BR175" s="371"/>
      <c r="BS175" s="371"/>
      <c r="BT175" s="371"/>
      <c r="BU175" s="371"/>
      <c r="BV175" s="371"/>
      <c r="BW175" s="371"/>
      <c r="BX175" s="371"/>
      <c r="BY175" s="371"/>
      <c r="BZ175" s="371"/>
      <c r="CA175" s="371"/>
      <c r="CB175" s="371"/>
      <c r="CC175" s="371"/>
      <c r="CD175" s="371"/>
      <c r="CE175" s="371"/>
      <c r="CF175" s="371"/>
      <c r="CG175" s="371"/>
      <c r="CH175" s="371"/>
      <c r="CI175" s="371"/>
      <c r="CJ175" s="371"/>
      <c r="CK175" s="371"/>
      <c r="CL175" s="371"/>
      <c r="CM175" s="371"/>
      <c r="CN175" s="371"/>
      <c r="CO175" s="371"/>
      <c r="CP175" s="371"/>
      <c r="CQ175" s="371"/>
      <c r="CR175" s="371"/>
      <c r="CS175" s="371"/>
      <c r="CT175" s="371"/>
      <c r="CU175" s="371"/>
      <c r="CV175" s="371"/>
      <c r="CW175" s="371"/>
      <c r="CX175" s="371"/>
      <c r="CY175" s="371"/>
      <c r="CZ175" s="371"/>
      <c r="DA175" s="371"/>
      <c r="DB175" s="371"/>
      <c r="DC175" s="371"/>
      <c r="DD175" s="371"/>
      <c r="DE175" s="371"/>
      <c r="DF175" s="371"/>
      <c r="DG175" s="371"/>
      <c r="DH175" s="371"/>
      <c r="DI175" s="371"/>
      <c r="DJ175" s="371"/>
      <c r="DK175" s="371"/>
      <c r="DL175" s="371"/>
      <c r="DM175" s="371"/>
      <c r="DN175" s="371"/>
      <c r="DO175" s="371"/>
      <c r="DP175" s="371"/>
      <c r="DQ175" s="371"/>
      <c r="DR175" s="371"/>
      <c r="DS175" s="371"/>
      <c r="DT175" s="371"/>
      <c r="DU175" s="371"/>
      <c r="DV175" s="371"/>
      <c r="DW175" s="371"/>
      <c r="DX175" s="371"/>
      <c r="DY175" s="371"/>
      <c r="DZ175" s="371"/>
      <c r="EA175" s="371"/>
      <c r="EB175" s="371"/>
      <c r="EC175" s="371"/>
      <c r="ED175" s="371"/>
      <c r="EE175" s="371"/>
      <c r="EF175" s="371"/>
      <c r="EG175" s="371"/>
      <c r="EH175" s="371"/>
      <c r="EI175" s="371"/>
      <c r="EJ175" s="371"/>
      <c r="EK175" s="371"/>
      <c r="EL175" s="371"/>
      <c r="EM175" s="371"/>
      <c r="EN175" s="371"/>
      <c r="EO175" s="371"/>
      <c r="EP175" s="371"/>
      <c r="EQ175" s="371"/>
      <c r="ER175" s="371"/>
      <c r="ES175" s="371"/>
      <c r="ET175" s="371"/>
      <c r="EU175" s="371"/>
      <c r="EV175" s="371"/>
      <c r="EW175" s="371"/>
      <c r="EX175" s="371"/>
      <c r="EY175" s="371"/>
      <c r="EZ175" s="371"/>
      <c r="FA175" s="371"/>
      <c r="FB175" s="371"/>
      <c r="FC175" s="371"/>
      <c r="FD175" s="371"/>
      <c r="FE175" s="371"/>
      <c r="FF175" s="371"/>
      <c r="FG175" s="371"/>
      <c r="FH175" s="371"/>
      <c r="FI175" s="371"/>
      <c r="FJ175" s="371"/>
      <c r="FK175" s="371"/>
      <c r="FL175" s="371"/>
      <c r="FM175" s="371"/>
      <c r="FN175" s="371"/>
      <c r="FO175" s="371"/>
      <c r="FP175" s="371"/>
      <c r="FQ175" s="371"/>
      <c r="FR175" s="371"/>
      <c r="FS175" s="371"/>
      <c r="FT175" s="371"/>
      <c r="FU175" s="371"/>
      <c r="FV175" s="371"/>
      <c r="FW175" s="371"/>
      <c r="FX175" s="371"/>
      <c r="FY175" s="371"/>
      <c r="FZ175" s="371"/>
      <c r="GA175" s="371"/>
      <c r="GB175" s="371"/>
      <c r="GC175" s="371"/>
      <c r="GD175" s="371"/>
      <c r="GE175" s="371"/>
      <c r="GF175" s="371"/>
      <c r="GG175" s="371"/>
      <c r="GH175" s="371"/>
      <c r="GI175" s="371"/>
      <c r="GJ175" s="371"/>
      <c r="GK175" s="371"/>
      <c r="GL175" s="371"/>
      <c r="GM175" s="371"/>
      <c r="GN175" s="371"/>
      <c r="GO175" s="371"/>
      <c r="GP175" s="371"/>
      <c r="GQ175" s="371"/>
      <c r="GR175" s="371"/>
      <c r="GS175" s="371"/>
      <c r="GT175" s="371"/>
      <c r="GU175" s="371"/>
      <c r="GV175" s="371"/>
      <c r="GW175" s="371"/>
      <c r="GX175" s="371"/>
      <c r="GY175" s="371"/>
      <c r="GZ175" s="371"/>
      <c r="HA175" s="371"/>
      <c r="HB175" s="371"/>
      <c r="HC175" s="371"/>
      <c r="HD175" s="371"/>
      <c r="HE175" s="371"/>
      <c r="HF175" s="371"/>
      <c r="HG175" s="371"/>
      <c r="HH175" s="371"/>
      <c r="HI175" s="371"/>
      <c r="HJ175" s="371"/>
      <c r="HK175" s="371"/>
      <c r="HL175" s="371"/>
      <c r="HM175" s="371"/>
      <c r="HN175" s="371"/>
      <c r="HO175" s="371"/>
      <c r="HP175" s="371"/>
      <c r="HQ175" s="371"/>
      <c r="HR175" s="371"/>
      <c r="HS175" s="371"/>
      <c r="HT175" s="371"/>
      <c r="HU175" s="371"/>
      <c r="HV175" s="371"/>
      <c r="HW175" s="371"/>
      <c r="HX175" s="371"/>
      <c r="HY175" s="371"/>
      <c r="HZ175" s="371"/>
      <c r="IA175" s="371"/>
      <c r="IB175" s="371"/>
      <c r="IC175" s="371"/>
      <c r="ID175" s="371"/>
      <c r="IE175" s="371"/>
      <c r="IF175" s="371"/>
      <c r="IG175" s="371"/>
      <c r="IH175" s="371"/>
      <c r="II175" s="371"/>
      <c r="IJ175" s="371"/>
      <c r="IK175" s="371"/>
      <c r="IL175" s="371"/>
      <c r="IM175" s="371"/>
      <c r="IN175" s="371"/>
      <c r="IO175" s="371"/>
      <c r="IP175" s="371"/>
      <c r="IQ175" s="371"/>
      <c r="IR175" s="371"/>
      <c r="IS175" s="371"/>
      <c r="IT175" s="371"/>
      <c r="IU175" s="371"/>
      <c r="IV175" s="371"/>
    </row>
    <row r="176" spans="1:256" ht="14.25" x14ac:dyDescent="0.2">
      <c r="A176" s="239"/>
      <c r="B176" s="239"/>
      <c r="C176" s="239"/>
      <c r="D176" s="673" t="s">
        <v>192</v>
      </c>
      <c r="E176" s="673"/>
      <c r="F176" s="673"/>
      <c r="G176" s="673"/>
      <c r="H176" s="673"/>
      <c r="I176" s="237"/>
      <c r="J176" s="238">
        <v>0</v>
      </c>
      <c r="K176" s="240"/>
      <c r="L176" s="238">
        <v>0</v>
      </c>
      <c r="M176" s="370"/>
      <c r="N176" s="373"/>
      <c r="O176" s="373"/>
      <c r="P176" s="373"/>
      <c r="Q176" s="373"/>
      <c r="R176" s="373"/>
      <c r="S176" s="373"/>
      <c r="T176" s="373"/>
      <c r="U176" s="373"/>
      <c r="V176" s="373"/>
      <c r="W176" s="373"/>
      <c r="X176" s="373"/>
      <c r="Y176" s="373"/>
      <c r="Z176" s="373"/>
      <c r="AA176" s="373"/>
      <c r="AB176" s="373"/>
      <c r="AC176" s="373"/>
      <c r="AD176" s="373"/>
      <c r="AE176" s="373"/>
      <c r="AF176" s="373"/>
      <c r="AG176" s="373"/>
      <c r="AH176" s="373"/>
      <c r="AI176" s="373"/>
      <c r="AJ176" s="373"/>
      <c r="AK176" s="373"/>
      <c r="AL176" s="373"/>
      <c r="AM176" s="373"/>
      <c r="AN176" s="373"/>
      <c r="AO176" s="373"/>
      <c r="AP176" s="373"/>
      <c r="AQ176" s="373"/>
      <c r="AR176" s="373"/>
      <c r="AS176" s="373"/>
      <c r="AT176" s="373"/>
      <c r="AU176" s="373"/>
      <c r="AV176" s="373"/>
      <c r="AW176" s="373"/>
      <c r="AX176" s="373"/>
      <c r="AY176" s="373"/>
      <c r="AZ176" s="373"/>
      <c r="BA176" s="373"/>
      <c r="BB176" s="373"/>
      <c r="BC176" s="373"/>
      <c r="BD176" s="373"/>
      <c r="BE176" s="373"/>
      <c r="BF176" s="373"/>
      <c r="BG176" s="373"/>
      <c r="BH176" s="373"/>
      <c r="BI176" s="373"/>
      <c r="BJ176" s="373"/>
      <c r="BK176" s="373"/>
      <c r="BL176" s="373"/>
      <c r="BM176" s="373"/>
      <c r="BN176" s="373"/>
      <c r="BO176" s="373"/>
      <c r="BP176" s="373"/>
      <c r="BQ176" s="373"/>
      <c r="BR176" s="373"/>
      <c r="BS176" s="373"/>
      <c r="BT176" s="373"/>
      <c r="BU176" s="373"/>
      <c r="BV176" s="373"/>
      <c r="BW176" s="373"/>
      <c r="BX176" s="373"/>
      <c r="BY176" s="373"/>
      <c r="BZ176" s="373"/>
      <c r="CA176" s="373"/>
      <c r="CB176" s="373"/>
      <c r="CC176" s="373"/>
      <c r="CD176" s="373"/>
      <c r="CE176" s="373"/>
      <c r="CF176" s="373"/>
      <c r="CG176" s="373"/>
      <c r="CH176" s="373"/>
      <c r="CI176" s="373"/>
      <c r="CJ176" s="373"/>
      <c r="CK176" s="373"/>
      <c r="CL176" s="373"/>
      <c r="CM176" s="373"/>
      <c r="CN176" s="373"/>
      <c r="CO176" s="373"/>
      <c r="CP176" s="373"/>
      <c r="CQ176" s="373"/>
      <c r="CR176" s="373"/>
      <c r="CS176" s="373"/>
      <c r="CT176" s="373"/>
      <c r="CU176" s="373"/>
      <c r="CV176" s="373"/>
      <c r="CW176" s="373"/>
      <c r="CX176" s="373"/>
      <c r="CY176" s="373"/>
      <c r="CZ176" s="373"/>
      <c r="DA176" s="373"/>
      <c r="DB176" s="373"/>
      <c r="DC176" s="373"/>
      <c r="DD176" s="373"/>
      <c r="DE176" s="373"/>
      <c r="DF176" s="373"/>
      <c r="DG176" s="373"/>
      <c r="DH176" s="373"/>
      <c r="DI176" s="373"/>
      <c r="DJ176" s="373"/>
      <c r="DK176" s="373"/>
      <c r="DL176" s="373"/>
      <c r="DM176" s="373"/>
      <c r="DN176" s="373"/>
      <c r="DO176" s="373"/>
      <c r="DP176" s="373"/>
      <c r="DQ176" s="373"/>
      <c r="DR176" s="373"/>
      <c r="DS176" s="373"/>
      <c r="DT176" s="373"/>
      <c r="DU176" s="373"/>
      <c r="DV176" s="373"/>
      <c r="DW176" s="373"/>
      <c r="DX176" s="373"/>
      <c r="DY176" s="373"/>
      <c r="DZ176" s="373"/>
      <c r="EA176" s="373"/>
      <c r="EB176" s="373"/>
      <c r="EC176" s="373"/>
      <c r="ED176" s="373"/>
      <c r="EE176" s="373"/>
      <c r="EF176" s="373"/>
      <c r="EG176" s="373"/>
      <c r="EH176" s="373"/>
      <c r="EI176" s="373"/>
      <c r="EJ176" s="373"/>
      <c r="EK176" s="373"/>
      <c r="EL176" s="373"/>
      <c r="EM176" s="373"/>
      <c r="EN176" s="373"/>
      <c r="EO176" s="373"/>
      <c r="EP176" s="373"/>
      <c r="EQ176" s="373"/>
      <c r="ER176" s="373"/>
      <c r="ES176" s="373"/>
      <c r="ET176" s="373"/>
      <c r="EU176" s="373"/>
      <c r="EV176" s="373"/>
      <c r="EW176" s="373"/>
      <c r="EX176" s="373"/>
      <c r="EY176" s="373"/>
      <c r="EZ176" s="373"/>
      <c r="FA176" s="373"/>
      <c r="FB176" s="373"/>
      <c r="FC176" s="373"/>
      <c r="FD176" s="373"/>
      <c r="FE176" s="373"/>
      <c r="FF176" s="373"/>
      <c r="FG176" s="373"/>
      <c r="FH176" s="373"/>
      <c r="FI176" s="373"/>
      <c r="FJ176" s="373"/>
      <c r="FK176" s="373"/>
      <c r="FL176" s="373"/>
      <c r="FM176" s="373"/>
      <c r="FN176" s="373"/>
      <c r="FO176" s="373"/>
      <c r="FP176" s="373"/>
      <c r="FQ176" s="373"/>
      <c r="FR176" s="373"/>
      <c r="FS176" s="373"/>
      <c r="FT176" s="373"/>
      <c r="FU176" s="373"/>
      <c r="FV176" s="373"/>
      <c r="FW176" s="373"/>
      <c r="FX176" s="373"/>
      <c r="FY176" s="373"/>
      <c r="FZ176" s="373"/>
      <c r="GA176" s="373"/>
      <c r="GB176" s="373"/>
      <c r="GC176" s="373"/>
      <c r="GD176" s="373"/>
      <c r="GE176" s="373"/>
      <c r="GF176" s="373"/>
      <c r="GG176" s="373"/>
      <c r="GH176" s="373"/>
      <c r="GI176" s="373"/>
      <c r="GJ176" s="373"/>
      <c r="GK176" s="373"/>
      <c r="GL176" s="373"/>
      <c r="GM176" s="373"/>
      <c r="GN176" s="373"/>
      <c r="GO176" s="373"/>
      <c r="GP176" s="373"/>
      <c r="GQ176" s="373"/>
      <c r="GR176" s="373"/>
      <c r="GS176" s="373"/>
      <c r="GT176" s="373"/>
      <c r="GU176" s="373"/>
      <c r="GV176" s="373"/>
      <c r="GW176" s="373"/>
      <c r="GX176" s="373"/>
      <c r="GY176" s="373"/>
      <c r="GZ176" s="373"/>
      <c r="HA176" s="373"/>
      <c r="HB176" s="373"/>
      <c r="HC176" s="373"/>
      <c r="HD176" s="373"/>
      <c r="HE176" s="373"/>
      <c r="HF176" s="373"/>
      <c r="HG176" s="373"/>
      <c r="HH176" s="373"/>
      <c r="HI176" s="373"/>
      <c r="HJ176" s="373"/>
      <c r="HK176" s="373"/>
      <c r="HL176" s="373"/>
      <c r="HM176" s="373"/>
      <c r="HN176" s="373"/>
      <c r="HO176" s="373"/>
      <c r="HP176" s="373"/>
      <c r="HQ176" s="373"/>
      <c r="HR176" s="373"/>
      <c r="HS176" s="373"/>
      <c r="HT176" s="373"/>
      <c r="HU176" s="373"/>
      <c r="HV176" s="373"/>
      <c r="HW176" s="373"/>
      <c r="HX176" s="373"/>
      <c r="HY176" s="373"/>
      <c r="HZ176" s="373"/>
      <c r="IA176" s="373"/>
      <c r="IB176" s="373"/>
      <c r="IC176" s="373"/>
      <c r="ID176" s="373"/>
      <c r="IE176" s="373"/>
      <c r="IF176" s="373"/>
      <c r="IG176" s="373"/>
      <c r="IH176" s="373"/>
      <c r="II176" s="373"/>
      <c r="IJ176" s="373"/>
      <c r="IK176" s="373"/>
      <c r="IL176" s="373"/>
      <c r="IM176" s="373"/>
      <c r="IN176" s="373"/>
      <c r="IO176" s="373"/>
      <c r="IP176" s="373"/>
      <c r="IQ176" s="373"/>
      <c r="IR176" s="373"/>
      <c r="IS176" s="373"/>
      <c r="IT176" s="373"/>
      <c r="IU176" s="373"/>
      <c r="IV176" s="373"/>
    </row>
    <row r="177" spans="1:256" ht="14.25" x14ac:dyDescent="0.2">
      <c r="A177" s="239"/>
      <c r="B177" s="239"/>
      <c r="C177" s="239"/>
      <c r="D177" s="240" t="s">
        <v>193</v>
      </c>
      <c r="E177" s="240"/>
      <c r="F177" s="240"/>
      <c r="G177" s="240"/>
      <c r="H177" s="240"/>
      <c r="I177" s="240"/>
      <c r="J177" s="238">
        <f>SUM(J175:J176)</f>
        <v>0</v>
      </c>
      <c r="K177" s="240"/>
      <c r="L177" s="238">
        <f>SUM(L175:L176)</f>
        <v>0</v>
      </c>
      <c r="M177" s="370"/>
      <c r="N177" s="373"/>
      <c r="O177" s="373"/>
      <c r="P177" s="373"/>
      <c r="Q177" s="373"/>
      <c r="R177" s="373"/>
      <c r="S177" s="373"/>
      <c r="T177" s="373"/>
      <c r="U177" s="373"/>
      <c r="V177" s="373"/>
      <c r="W177" s="373"/>
      <c r="X177" s="373"/>
      <c r="Y177" s="373"/>
      <c r="Z177" s="373"/>
      <c r="AA177" s="373"/>
      <c r="AB177" s="373"/>
      <c r="AC177" s="373"/>
      <c r="AD177" s="373"/>
      <c r="AE177" s="373"/>
      <c r="AF177" s="373"/>
      <c r="AG177" s="373"/>
      <c r="AH177" s="373"/>
      <c r="AI177" s="373"/>
      <c r="AJ177" s="373"/>
      <c r="AK177" s="373"/>
      <c r="AL177" s="373"/>
      <c r="AM177" s="373"/>
      <c r="AN177" s="373"/>
      <c r="AO177" s="373"/>
      <c r="AP177" s="373"/>
      <c r="AQ177" s="373"/>
      <c r="AR177" s="373"/>
      <c r="AS177" s="373"/>
      <c r="AT177" s="373"/>
      <c r="AU177" s="373"/>
      <c r="AV177" s="373"/>
      <c r="AW177" s="373"/>
      <c r="AX177" s="373"/>
      <c r="AY177" s="373"/>
      <c r="AZ177" s="373"/>
      <c r="BA177" s="373"/>
      <c r="BB177" s="373"/>
      <c r="BC177" s="373"/>
      <c r="BD177" s="373"/>
      <c r="BE177" s="373"/>
      <c r="BF177" s="373"/>
      <c r="BG177" s="373"/>
      <c r="BH177" s="373"/>
      <c r="BI177" s="373"/>
      <c r="BJ177" s="373"/>
      <c r="BK177" s="373"/>
      <c r="BL177" s="373"/>
      <c r="BM177" s="373"/>
      <c r="BN177" s="373"/>
      <c r="BO177" s="373"/>
      <c r="BP177" s="373"/>
      <c r="BQ177" s="373"/>
      <c r="BR177" s="373"/>
      <c r="BS177" s="373"/>
      <c r="BT177" s="373"/>
      <c r="BU177" s="373"/>
      <c r="BV177" s="373"/>
      <c r="BW177" s="373"/>
      <c r="BX177" s="373"/>
      <c r="BY177" s="373"/>
      <c r="BZ177" s="373"/>
      <c r="CA177" s="373"/>
      <c r="CB177" s="373"/>
      <c r="CC177" s="373"/>
      <c r="CD177" s="373"/>
      <c r="CE177" s="373"/>
      <c r="CF177" s="373"/>
      <c r="CG177" s="373"/>
      <c r="CH177" s="373"/>
      <c r="CI177" s="373"/>
      <c r="CJ177" s="373"/>
      <c r="CK177" s="373"/>
      <c r="CL177" s="373"/>
      <c r="CM177" s="373"/>
      <c r="CN177" s="373"/>
      <c r="CO177" s="373"/>
      <c r="CP177" s="373"/>
      <c r="CQ177" s="373"/>
      <c r="CR177" s="373"/>
      <c r="CS177" s="373"/>
      <c r="CT177" s="373"/>
      <c r="CU177" s="373"/>
      <c r="CV177" s="373"/>
      <c r="CW177" s="373"/>
      <c r="CX177" s="373"/>
      <c r="CY177" s="373"/>
      <c r="CZ177" s="373"/>
      <c r="DA177" s="373"/>
      <c r="DB177" s="373"/>
      <c r="DC177" s="373"/>
      <c r="DD177" s="373"/>
      <c r="DE177" s="373"/>
      <c r="DF177" s="373"/>
      <c r="DG177" s="373"/>
      <c r="DH177" s="373"/>
      <c r="DI177" s="373"/>
      <c r="DJ177" s="373"/>
      <c r="DK177" s="373"/>
      <c r="DL177" s="373"/>
      <c r="DM177" s="373"/>
      <c r="DN177" s="373"/>
      <c r="DO177" s="373"/>
      <c r="DP177" s="373"/>
      <c r="DQ177" s="373"/>
      <c r="DR177" s="373"/>
      <c r="DS177" s="373"/>
      <c r="DT177" s="373"/>
      <c r="DU177" s="373"/>
      <c r="DV177" s="373"/>
      <c r="DW177" s="373"/>
      <c r="DX177" s="373"/>
      <c r="DY177" s="373"/>
      <c r="DZ177" s="373"/>
      <c r="EA177" s="373"/>
      <c r="EB177" s="373"/>
      <c r="EC177" s="373"/>
      <c r="ED177" s="373"/>
      <c r="EE177" s="373"/>
      <c r="EF177" s="373"/>
      <c r="EG177" s="373"/>
      <c r="EH177" s="373"/>
      <c r="EI177" s="373"/>
      <c r="EJ177" s="373"/>
      <c r="EK177" s="373"/>
      <c r="EL177" s="373"/>
      <c r="EM177" s="373"/>
      <c r="EN177" s="373"/>
      <c r="EO177" s="373"/>
      <c r="EP177" s="373"/>
      <c r="EQ177" s="373"/>
      <c r="ER177" s="373"/>
      <c r="ES177" s="373"/>
      <c r="ET177" s="373"/>
      <c r="EU177" s="373"/>
      <c r="EV177" s="373"/>
      <c r="EW177" s="373"/>
      <c r="EX177" s="373"/>
      <c r="EY177" s="373"/>
      <c r="EZ177" s="373"/>
      <c r="FA177" s="373"/>
      <c r="FB177" s="373"/>
      <c r="FC177" s="373"/>
      <c r="FD177" s="373"/>
      <c r="FE177" s="373"/>
      <c r="FF177" s="373"/>
      <c r="FG177" s="373"/>
      <c r="FH177" s="373"/>
      <c r="FI177" s="373"/>
      <c r="FJ177" s="373"/>
      <c r="FK177" s="373"/>
      <c r="FL177" s="373"/>
      <c r="FM177" s="373"/>
      <c r="FN177" s="373"/>
      <c r="FO177" s="373"/>
      <c r="FP177" s="373"/>
      <c r="FQ177" s="373"/>
      <c r="FR177" s="373"/>
      <c r="FS177" s="373"/>
      <c r="FT177" s="373"/>
      <c r="FU177" s="373"/>
      <c r="FV177" s="373"/>
      <c r="FW177" s="373"/>
      <c r="FX177" s="373"/>
      <c r="FY177" s="373"/>
      <c r="FZ177" s="373"/>
      <c r="GA177" s="373"/>
      <c r="GB177" s="373"/>
      <c r="GC177" s="373"/>
      <c r="GD177" s="373"/>
      <c r="GE177" s="373"/>
      <c r="GF177" s="373"/>
      <c r="GG177" s="373"/>
      <c r="GH177" s="373"/>
      <c r="GI177" s="373"/>
      <c r="GJ177" s="373"/>
      <c r="GK177" s="373"/>
      <c r="GL177" s="373"/>
      <c r="GM177" s="373"/>
      <c r="GN177" s="373"/>
      <c r="GO177" s="373"/>
      <c r="GP177" s="373"/>
      <c r="GQ177" s="373"/>
      <c r="GR177" s="373"/>
      <c r="GS177" s="373"/>
      <c r="GT177" s="373"/>
      <c r="GU177" s="373"/>
      <c r="GV177" s="373"/>
      <c r="GW177" s="373"/>
      <c r="GX177" s="373"/>
      <c r="GY177" s="373"/>
      <c r="GZ177" s="373"/>
      <c r="HA177" s="373"/>
      <c r="HB177" s="373"/>
      <c r="HC177" s="373"/>
      <c r="HD177" s="373"/>
      <c r="HE177" s="373"/>
      <c r="HF177" s="373"/>
      <c r="HG177" s="373"/>
      <c r="HH177" s="373"/>
      <c r="HI177" s="373"/>
      <c r="HJ177" s="373"/>
      <c r="HK177" s="373"/>
      <c r="HL177" s="373"/>
      <c r="HM177" s="373"/>
      <c r="HN177" s="373"/>
      <c r="HO177" s="373"/>
      <c r="HP177" s="373"/>
      <c r="HQ177" s="373"/>
      <c r="HR177" s="373"/>
      <c r="HS177" s="373"/>
      <c r="HT177" s="373"/>
      <c r="HU177" s="373"/>
      <c r="HV177" s="373"/>
      <c r="HW177" s="373"/>
      <c r="HX177" s="373"/>
      <c r="HY177" s="373"/>
      <c r="HZ177" s="373"/>
      <c r="IA177" s="373"/>
      <c r="IB177" s="373"/>
      <c r="IC177" s="373"/>
      <c r="ID177" s="373"/>
      <c r="IE177" s="373"/>
      <c r="IF177" s="373"/>
      <c r="IG177" s="373"/>
      <c r="IH177" s="373"/>
      <c r="II177" s="373"/>
      <c r="IJ177" s="373"/>
      <c r="IK177" s="373"/>
      <c r="IL177" s="373"/>
      <c r="IM177" s="373"/>
      <c r="IN177" s="373"/>
      <c r="IO177" s="373"/>
      <c r="IP177" s="373"/>
      <c r="IQ177" s="373"/>
      <c r="IR177" s="373"/>
      <c r="IS177" s="373"/>
      <c r="IT177" s="373"/>
      <c r="IU177" s="373"/>
      <c r="IV177" s="373"/>
    </row>
    <row r="178" spans="1:256" ht="14.25" x14ac:dyDescent="0.2">
      <c r="A178" s="241"/>
      <c r="B178" s="241"/>
      <c r="C178" s="241"/>
      <c r="D178" s="241"/>
      <c r="E178" s="241"/>
      <c r="F178" s="241"/>
      <c r="G178" s="241"/>
      <c r="H178" s="241"/>
      <c r="I178" s="241"/>
      <c r="J178" s="241"/>
      <c r="K178" s="241"/>
      <c r="L178" s="241"/>
      <c r="M178" s="374"/>
      <c r="N178" s="375"/>
      <c r="O178" s="375"/>
      <c r="P178" s="375"/>
      <c r="Q178" s="375"/>
      <c r="R178" s="375"/>
      <c r="S178" s="375"/>
      <c r="T178" s="375"/>
      <c r="U178" s="375"/>
      <c r="V178" s="375"/>
      <c r="W178" s="375"/>
      <c r="X178" s="375"/>
      <c r="Y178" s="375"/>
      <c r="Z178" s="375"/>
      <c r="AA178" s="375"/>
      <c r="AB178" s="375"/>
      <c r="AC178" s="375"/>
      <c r="AD178" s="375"/>
      <c r="AE178" s="375"/>
      <c r="AF178" s="375"/>
      <c r="AG178" s="375"/>
      <c r="AH178" s="375"/>
      <c r="AI178" s="375"/>
      <c r="AJ178" s="375"/>
      <c r="AK178" s="375"/>
      <c r="AL178" s="375"/>
      <c r="AM178" s="375"/>
      <c r="AN178" s="375"/>
      <c r="AO178" s="375"/>
      <c r="AP178" s="375"/>
      <c r="AQ178" s="375"/>
      <c r="AR178" s="375"/>
      <c r="AS178" s="375"/>
      <c r="AT178" s="375"/>
      <c r="AU178" s="375"/>
      <c r="AV178" s="375"/>
      <c r="AW178" s="375"/>
      <c r="AX178" s="375"/>
      <c r="AY178" s="375"/>
      <c r="AZ178" s="375"/>
      <c r="BA178" s="375"/>
      <c r="BB178" s="375"/>
      <c r="BC178" s="375"/>
      <c r="BD178" s="375"/>
      <c r="BE178" s="375"/>
      <c r="BF178" s="375"/>
      <c r="BG178" s="375"/>
      <c r="BH178" s="375"/>
      <c r="BI178" s="375"/>
      <c r="BJ178" s="375"/>
      <c r="BK178" s="375"/>
      <c r="BL178" s="375"/>
      <c r="BM178" s="375"/>
      <c r="BN178" s="375"/>
      <c r="BO178" s="375"/>
      <c r="BP178" s="375"/>
      <c r="BQ178" s="375"/>
      <c r="BR178" s="375"/>
      <c r="BS178" s="375"/>
      <c r="BT178" s="375"/>
      <c r="BU178" s="375"/>
      <c r="BV178" s="375"/>
      <c r="BW178" s="375"/>
      <c r="BX178" s="375"/>
      <c r="BY178" s="375"/>
      <c r="BZ178" s="375"/>
      <c r="CA178" s="375"/>
      <c r="CB178" s="375"/>
      <c r="CC178" s="375"/>
      <c r="CD178" s="375"/>
      <c r="CE178" s="375"/>
      <c r="CF178" s="375"/>
      <c r="CG178" s="375"/>
      <c r="CH178" s="375"/>
      <c r="CI178" s="375"/>
      <c r="CJ178" s="375"/>
      <c r="CK178" s="375"/>
      <c r="CL178" s="375"/>
      <c r="CM178" s="375"/>
      <c r="CN178" s="375"/>
      <c r="CO178" s="375"/>
      <c r="CP178" s="375"/>
      <c r="CQ178" s="375"/>
      <c r="CR178" s="375"/>
      <c r="CS178" s="375"/>
      <c r="CT178" s="375"/>
      <c r="CU178" s="375"/>
      <c r="CV178" s="375"/>
      <c r="CW178" s="375"/>
      <c r="CX178" s="375"/>
      <c r="CY178" s="375"/>
      <c r="CZ178" s="375"/>
      <c r="DA178" s="375"/>
      <c r="DB178" s="375"/>
      <c r="DC178" s="375"/>
      <c r="DD178" s="375"/>
      <c r="DE178" s="375"/>
      <c r="DF178" s="375"/>
      <c r="DG178" s="375"/>
      <c r="DH178" s="375"/>
      <c r="DI178" s="375"/>
      <c r="DJ178" s="375"/>
      <c r="DK178" s="375"/>
      <c r="DL178" s="375"/>
      <c r="DM178" s="375"/>
      <c r="DN178" s="375"/>
      <c r="DO178" s="375"/>
      <c r="DP178" s="375"/>
      <c r="DQ178" s="375"/>
      <c r="DR178" s="375"/>
      <c r="DS178" s="375"/>
      <c r="DT178" s="375"/>
      <c r="DU178" s="375"/>
      <c r="DV178" s="375"/>
      <c r="DW178" s="375"/>
      <c r="DX178" s="375"/>
      <c r="DY178" s="375"/>
      <c r="DZ178" s="375"/>
      <c r="EA178" s="375"/>
      <c r="EB178" s="375"/>
      <c r="EC178" s="375"/>
      <c r="ED178" s="375"/>
      <c r="EE178" s="375"/>
      <c r="EF178" s="375"/>
      <c r="EG178" s="375"/>
      <c r="EH178" s="375"/>
      <c r="EI178" s="375"/>
      <c r="EJ178" s="375"/>
      <c r="EK178" s="375"/>
      <c r="EL178" s="375"/>
      <c r="EM178" s="375"/>
      <c r="EN178" s="375"/>
      <c r="EO178" s="375"/>
      <c r="EP178" s="375"/>
      <c r="EQ178" s="375"/>
      <c r="ER178" s="375"/>
      <c r="ES178" s="375"/>
      <c r="ET178" s="375"/>
      <c r="EU178" s="375"/>
      <c r="EV178" s="375"/>
      <c r="EW178" s="375"/>
      <c r="EX178" s="375"/>
      <c r="EY178" s="375"/>
      <c r="EZ178" s="375"/>
      <c r="FA178" s="375"/>
      <c r="FB178" s="375"/>
      <c r="FC178" s="375"/>
      <c r="FD178" s="375"/>
      <c r="FE178" s="375"/>
      <c r="FF178" s="375"/>
      <c r="FG178" s="375"/>
      <c r="FH178" s="375"/>
      <c r="FI178" s="375"/>
      <c r="FJ178" s="375"/>
      <c r="FK178" s="375"/>
      <c r="FL178" s="375"/>
      <c r="FM178" s="375"/>
      <c r="FN178" s="375"/>
      <c r="FO178" s="375"/>
      <c r="FP178" s="375"/>
      <c r="FQ178" s="375"/>
      <c r="FR178" s="375"/>
      <c r="FS178" s="375"/>
      <c r="FT178" s="375"/>
      <c r="FU178" s="375"/>
      <c r="FV178" s="375"/>
      <c r="FW178" s="375"/>
      <c r="FX178" s="375"/>
      <c r="FY178" s="375"/>
      <c r="FZ178" s="375"/>
      <c r="GA178" s="375"/>
      <c r="GB178" s="375"/>
      <c r="GC178" s="375"/>
      <c r="GD178" s="375"/>
      <c r="GE178" s="375"/>
      <c r="GF178" s="375"/>
      <c r="GG178" s="375"/>
      <c r="GH178" s="375"/>
      <c r="GI178" s="375"/>
      <c r="GJ178" s="375"/>
      <c r="GK178" s="375"/>
      <c r="GL178" s="375"/>
      <c r="GM178" s="375"/>
      <c r="GN178" s="375"/>
      <c r="GO178" s="375"/>
      <c r="GP178" s="375"/>
      <c r="GQ178" s="375"/>
      <c r="GR178" s="375"/>
      <c r="GS178" s="375"/>
      <c r="GT178" s="375"/>
      <c r="GU178" s="375"/>
      <c r="GV178" s="375"/>
      <c r="GW178" s="375"/>
      <c r="GX178" s="375"/>
      <c r="GY178" s="375"/>
      <c r="GZ178" s="375"/>
      <c r="HA178" s="375"/>
      <c r="HB178" s="375"/>
      <c r="HC178" s="375"/>
      <c r="HD178" s="375"/>
      <c r="HE178" s="375"/>
      <c r="HF178" s="375"/>
      <c r="HG178" s="375"/>
      <c r="HH178" s="375"/>
      <c r="HI178" s="375"/>
      <c r="HJ178" s="375"/>
      <c r="HK178" s="375"/>
      <c r="HL178" s="375"/>
      <c r="HM178" s="375"/>
      <c r="HN178" s="375"/>
      <c r="HO178" s="375"/>
      <c r="HP178" s="375"/>
      <c r="HQ178" s="375"/>
      <c r="HR178" s="375"/>
      <c r="HS178" s="375"/>
      <c r="HT178" s="375"/>
      <c r="HU178" s="375"/>
      <c r="HV178" s="375"/>
      <c r="HW178" s="375"/>
      <c r="HX178" s="375"/>
      <c r="HY178" s="375"/>
      <c r="HZ178" s="375"/>
      <c r="IA178" s="375"/>
      <c r="IB178" s="375"/>
      <c r="IC178" s="375"/>
      <c r="ID178" s="375"/>
      <c r="IE178" s="375"/>
      <c r="IF178" s="375"/>
      <c r="IG178" s="375"/>
      <c r="IH178" s="375"/>
      <c r="II178" s="375"/>
      <c r="IJ178" s="375"/>
      <c r="IK178" s="375"/>
      <c r="IL178" s="375"/>
      <c r="IM178" s="375"/>
      <c r="IN178" s="375"/>
      <c r="IO178" s="375"/>
      <c r="IP178" s="375"/>
      <c r="IQ178" s="375"/>
      <c r="IR178" s="375"/>
      <c r="IS178" s="375"/>
      <c r="IT178" s="375"/>
      <c r="IU178" s="375"/>
      <c r="IV178" s="375"/>
    </row>
    <row r="179" spans="1:256" ht="30" x14ac:dyDescent="0.25">
      <c r="A179" s="239"/>
      <c r="B179" s="239"/>
      <c r="C179" s="239"/>
      <c r="D179" s="242" t="s">
        <v>194</v>
      </c>
      <c r="E179" s="242"/>
      <c r="F179" s="242"/>
      <c r="G179" s="242"/>
      <c r="H179" s="242"/>
      <c r="I179" s="243"/>
      <c r="J179" s="244">
        <f>I166-J177</f>
        <v>579729.72</v>
      </c>
      <c r="K179" s="245"/>
      <c r="L179" s="244">
        <f>K166-L177</f>
        <v>2290842.0699999998</v>
      </c>
      <c r="M179" s="374" t="s">
        <v>413</v>
      </c>
      <c r="N179" s="373"/>
      <c r="O179" s="373"/>
      <c r="P179" s="373"/>
      <c r="Q179" s="373"/>
      <c r="R179" s="373"/>
      <c r="S179" s="373"/>
      <c r="T179" s="373"/>
      <c r="U179" s="373"/>
      <c r="V179" s="373"/>
      <c r="W179" s="373"/>
      <c r="X179" s="373"/>
      <c r="Y179" s="373"/>
      <c r="Z179" s="373"/>
      <c r="AA179" s="373"/>
      <c r="AB179" s="373"/>
      <c r="AC179" s="373"/>
      <c r="AD179" s="373"/>
      <c r="AE179" s="373"/>
      <c r="AF179" s="373"/>
      <c r="AG179" s="373"/>
      <c r="AH179" s="373"/>
      <c r="AI179" s="373"/>
      <c r="AJ179" s="373"/>
      <c r="AK179" s="373"/>
      <c r="AL179" s="373"/>
      <c r="AM179" s="373"/>
      <c r="AN179" s="373"/>
      <c r="AO179" s="373"/>
      <c r="AP179" s="373"/>
      <c r="AQ179" s="373"/>
      <c r="AR179" s="373"/>
      <c r="AS179" s="373"/>
      <c r="AT179" s="373"/>
      <c r="AU179" s="373"/>
      <c r="AV179" s="373"/>
      <c r="AW179" s="373"/>
      <c r="AX179" s="373"/>
      <c r="AY179" s="373"/>
      <c r="AZ179" s="373"/>
      <c r="BA179" s="373"/>
      <c r="BB179" s="373"/>
      <c r="BC179" s="373"/>
      <c r="BD179" s="373"/>
      <c r="BE179" s="373"/>
      <c r="BF179" s="373"/>
      <c r="BG179" s="373"/>
      <c r="BH179" s="373"/>
      <c r="BI179" s="373"/>
      <c r="BJ179" s="373"/>
      <c r="BK179" s="373"/>
      <c r="BL179" s="373"/>
      <c r="BM179" s="373"/>
      <c r="BN179" s="373"/>
      <c r="BO179" s="373"/>
      <c r="BP179" s="373"/>
      <c r="BQ179" s="373"/>
      <c r="BR179" s="373"/>
      <c r="BS179" s="373"/>
      <c r="BT179" s="373"/>
      <c r="BU179" s="373"/>
      <c r="BV179" s="373"/>
      <c r="BW179" s="373"/>
      <c r="BX179" s="373"/>
      <c r="BY179" s="373"/>
      <c r="BZ179" s="373"/>
      <c r="CA179" s="373"/>
      <c r="CB179" s="373"/>
      <c r="CC179" s="373"/>
      <c r="CD179" s="373"/>
      <c r="CE179" s="373"/>
      <c r="CF179" s="373"/>
      <c r="CG179" s="373"/>
      <c r="CH179" s="373"/>
      <c r="CI179" s="373"/>
      <c r="CJ179" s="373"/>
      <c r="CK179" s="373"/>
      <c r="CL179" s="373"/>
      <c r="CM179" s="373"/>
      <c r="CN179" s="373"/>
      <c r="CO179" s="373"/>
      <c r="CP179" s="373"/>
      <c r="CQ179" s="373"/>
      <c r="CR179" s="373"/>
      <c r="CS179" s="373"/>
      <c r="CT179" s="373"/>
      <c r="CU179" s="373"/>
      <c r="CV179" s="373"/>
      <c r="CW179" s="373"/>
      <c r="CX179" s="373"/>
      <c r="CY179" s="373"/>
      <c r="CZ179" s="373"/>
      <c r="DA179" s="373"/>
      <c r="DB179" s="373"/>
      <c r="DC179" s="373"/>
      <c r="DD179" s="373"/>
      <c r="DE179" s="373"/>
      <c r="DF179" s="373"/>
      <c r="DG179" s="373"/>
      <c r="DH179" s="373"/>
      <c r="DI179" s="373"/>
      <c r="DJ179" s="373"/>
      <c r="DK179" s="373"/>
      <c r="DL179" s="373"/>
      <c r="DM179" s="373"/>
      <c r="DN179" s="373"/>
      <c r="DO179" s="373"/>
      <c r="DP179" s="373"/>
      <c r="DQ179" s="373"/>
      <c r="DR179" s="373"/>
      <c r="DS179" s="373"/>
      <c r="DT179" s="373"/>
      <c r="DU179" s="373"/>
      <c r="DV179" s="373"/>
      <c r="DW179" s="373"/>
      <c r="DX179" s="373"/>
      <c r="DY179" s="373"/>
      <c r="DZ179" s="373"/>
      <c r="EA179" s="373"/>
      <c r="EB179" s="373"/>
      <c r="EC179" s="373"/>
      <c r="ED179" s="373"/>
      <c r="EE179" s="373"/>
      <c r="EF179" s="373"/>
      <c r="EG179" s="373"/>
      <c r="EH179" s="373"/>
      <c r="EI179" s="373"/>
      <c r="EJ179" s="373"/>
      <c r="EK179" s="373"/>
      <c r="EL179" s="373"/>
      <c r="EM179" s="373"/>
      <c r="EN179" s="373"/>
      <c r="EO179" s="373"/>
      <c r="EP179" s="373"/>
      <c r="EQ179" s="373"/>
      <c r="ER179" s="373"/>
      <c r="ES179" s="373"/>
      <c r="ET179" s="373"/>
      <c r="EU179" s="373"/>
      <c r="EV179" s="373"/>
      <c r="EW179" s="373"/>
      <c r="EX179" s="373"/>
      <c r="EY179" s="373"/>
      <c r="EZ179" s="373"/>
      <c r="FA179" s="373"/>
      <c r="FB179" s="373"/>
      <c r="FC179" s="373"/>
      <c r="FD179" s="373"/>
      <c r="FE179" s="373"/>
      <c r="FF179" s="373"/>
      <c r="FG179" s="373"/>
      <c r="FH179" s="373"/>
      <c r="FI179" s="373"/>
      <c r="FJ179" s="373"/>
      <c r="FK179" s="373"/>
      <c r="FL179" s="373"/>
      <c r="FM179" s="373"/>
      <c r="FN179" s="373"/>
      <c r="FO179" s="373"/>
      <c r="FP179" s="373"/>
      <c r="FQ179" s="373"/>
      <c r="FR179" s="373"/>
      <c r="FS179" s="373"/>
      <c r="FT179" s="373"/>
      <c r="FU179" s="373"/>
      <c r="FV179" s="373"/>
      <c r="FW179" s="373"/>
      <c r="FX179" s="373"/>
      <c r="FY179" s="373"/>
      <c r="FZ179" s="373"/>
      <c r="GA179" s="373"/>
      <c r="GB179" s="373"/>
      <c r="GC179" s="373"/>
      <c r="GD179" s="373"/>
      <c r="GE179" s="373"/>
      <c r="GF179" s="373"/>
      <c r="GG179" s="373"/>
      <c r="GH179" s="373"/>
      <c r="GI179" s="373"/>
      <c r="GJ179" s="373"/>
      <c r="GK179" s="373"/>
      <c r="GL179" s="373"/>
      <c r="GM179" s="373"/>
      <c r="GN179" s="373"/>
      <c r="GO179" s="373"/>
      <c r="GP179" s="373"/>
      <c r="GQ179" s="373"/>
      <c r="GR179" s="373"/>
      <c r="GS179" s="373"/>
      <c r="GT179" s="373"/>
      <c r="GU179" s="373"/>
      <c r="GV179" s="373"/>
      <c r="GW179" s="373"/>
      <c r="GX179" s="373"/>
      <c r="GY179" s="373"/>
      <c r="GZ179" s="373"/>
      <c r="HA179" s="373"/>
      <c r="HB179" s="373"/>
      <c r="HC179" s="373"/>
      <c r="HD179" s="373"/>
      <c r="HE179" s="373"/>
      <c r="HF179" s="373"/>
      <c r="HG179" s="373"/>
      <c r="HH179" s="373"/>
      <c r="HI179" s="373"/>
      <c r="HJ179" s="373"/>
      <c r="HK179" s="373"/>
      <c r="HL179" s="373"/>
      <c r="HM179" s="373"/>
      <c r="HN179" s="373"/>
      <c r="HO179" s="373"/>
      <c r="HP179" s="373"/>
      <c r="HQ179" s="373"/>
      <c r="HR179" s="373"/>
      <c r="HS179" s="373"/>
      <c r="HT179" s="373"/>
      <c r="HU179" s="373"/>
      <c r="HV179" s="373"/>
      <c r="HW179" s="373"/>
      <c r="HX179" s="373"/>
      <c r="HY179" s="373"/>
      <c r="HZ179" s="373"/>
      <c r="IA179" s="373"/>
      <c r="IB179" s="373"/>
      <c r="IC179" s="373"/>
      <c r="ID179" s="373"/>
      <c r="IE179" s="373"/>
      <c r="IF179" s="373"/>
      <c r="IG179" s="373"/>
      <c r="IH179" s="373"/>
      <c r="II179" s="373"/>
      <c r="IJ179" s="373"/>
      <c r="IK179" s="373"/>
      <c r="IL179" s="373"/>
      <c r="IM179" s="373"/>
      <c r="IN179" s="373"/>
      <c r="IO179" s="373"/>
      <c r="IP179" s="373"/>
      <c r="IQ179" s="373"/>
      <c r="IR179" s="373"/>
      <c r="IS179" s="373"/>
      <c r="IT179" s="373"/>
      <c r="IU179" s="373"/>
      <c r="IV179" s="373"/>
    </row>
    <row r="180" spans="1:256" ht="14.25" x14ac:dyDescent="0.2">
      <c r="A180" s="239"/>
      <c r="B180" s="239"/>
      <c r="C180" s="239"/>
      <c r="D180" s="246" t="s">
        <v>69</v>
      </c>
      <c r="E180" s="246"/>
      <c r="F180" s="246"/>
      <c r="G180" s="246"/>
      <c r="H180" s="246"/>
      <c r="I180" s="247"/>
      <c r="J180" s="248">
        <f>J179-J183</f>
        <v>579729.72</v>
      </c>
      <c r="K180" s="249"/>
      <c r="L180" s="248">
        <f>L179-L183</f>
        <v>2290842.0699999998</v>
      </c>
      <c r="M180" s="374"/>
      <c r="N180" s="373"/>
      <c r="O180" s="373"/>
      <c r="P180" s="373"/>
      <c r="Q180" s="373"/>
      <c r="R180" s="373"/>
      <c r="S180" s="373"/>
      <c r="T180" s="373"/>
      <c r="U180" s="373"/>
      <c r="V180" s="373"/>
      <c r="W180" s="373"/>
      <c r="X180" s="373"/>
      <c r="Y180" s="373"/>
      <c r="Z180" s="373"/>
      <c r="AA180" s="373"/>
      <c r="AB180" s="373"/>
      <c r="AC180" s="373"/>
      <c r="AD180" s="373"/>
      <c r="AE180" s="373"/>
      <c r="AF180" s="373"/>
      <c r="AG180" s="373"/>
      <c r="AH180" s="373"/>
      <c r="AI180" s="373"/>
      <c r="AJ180" s="373"/>
      <c r="AK180" s="373"/>
      <c r="AL180" s="373"/>
      <c r="AM180" s="373"/>
      <c r="AN180" s="373"/>
      <c r="AO180" s="373"/>
      <c r="AP180" s="373"/>
      <c r="AQ180" s="373"/>
      <c r="AR180" s="373"/>
      <c r="AS180" s="373"/>
      <c r="AT180" s="373"/>
      <c r="AU180" s="373"/>
      <c r="AV180" s="373"/>
      <c r="AW180" s="373"/>
      <c r="AX180" s="373"/>
      <c r="AY180" s="373"/>
      <c r="AZ180" s="373"/>
      <c r="BA180" s="373"/>
      <c r="BB180" s="373"/>
      <c r="BC180" s="373"/>
      <c r="BD180" s="373"/>
      <c r="BE180" s="373"/>
      <c r="BF180" s="373"/>
      <c r="BG180" s="373"/>
      <c r="BH180" s="373"/>
      <c r="BI180" s="373"/>
      <c r="BJ180" s="373"/>
      <c r="BK180" s="373"/>
      <c r="BL180" s="373"/>
      <c r="BM180" s="373"/>
      <c r="BN180" s="373"/>
      <c r="BO180" s="373"/>
      <c r="BP180" s="373"/>
      <c r="BQ180" s="373"/>
      <c r="BR180" s="373"/>
      <c r="BS180" s="373"/>
      <c r="BT180" s="373"/>
      <c r="BU180" s="373"/>
      <c r="BV180" s="373"/>
      <c r="BW180" s="373"/>
      <c r="BX180" s="373"/>
      <c r="BY180" s="373"/>
      <c r="BZ180" s="373"/>
      <c r="CA180" s="373"/>
      <c r="CB180" s="373"/>
      <c r="CC180" s="373"/>
      <c r="CD180" s="373"/>
      <c r="CE180" s="373"/>
      <c r="CF180" s="373"/>
      <c r="CG180" s="373"/>
      <c r="CH180" s="373"/>
      <c r="CI180" s="373"/>
      <c r="CJ180" s="373"/>
      <c r="CK180" s="373"/>
      <c r="CL180" s="373"/>
      <c r="CM180" s="373"/>
      <c r="CN180" s="373"/>
      <c r="CO180" s="373"/>
      <c r="CP180" s="373"/>
      <c r="CQ180" s="373"/>
      <c r="CR180" s="373"/>
      <c r="CS180" s="373"/>
      <c r="CT180" s="373"/>
      <c r="CU180" s="373"/>
      <c r="CV180" s="373"/>
      <c r="CW180" s="373"/>
      <c r="CX180" s="373"/>
      <c r="CY180" s="373"/>
      <c r="CZ180" s="373"/>
      <c r="DA180" s="373"/>
      <c r="DB180" s="373"/>
      <c r="DC180" s="373"/>
      <c r="DD180" s="373"/>
      <c r="DE180" s="373"/>
      <c r="DF180" s="373"/>
      <c r="DG180" s="373"/>
      <c r="DH180" s="373"/>
      <c r="DI180" s="373"/>
      <c r="DJ180" s="373"/>
      <c r="DK180" s="373"/>
      <c r="DL180" s="373"/>
      <c r="DM180" s="373"/>
      <c r="DN180" s="373"/>
      <c r="DO180" s="373"/>
      <c r="DP180" s="373"/>
      <c r="DQ180" s="373"/>
      <c r="DR180" s="373"/>
      <c r="DS180" s="373"/>
      <c r="DT180" s="373"/>
      <c r="DU180" s="373"/>
      <c r="DV180" s="373"/>
      <c r="DW180" s="373"/>
      <c r="DX180" s="373"/>
      <c r="DY180" s="373"/>
      <c r="DZ180" s="373"/>
      <c r="EA180" s="373"/>
      <c r="EB180" s="373"/>
      <c r="EC180" s="373"/>
      <c r="ED180" s="373"/>
      <c r="EE180" s="373"/>
      <c r="EF180" s="373"/>
      <c r="EG180" s="373"/>
      <c r="EH180" s="373"/>
      <c r="EI180" s="373"/>
      <c r="EJ180" s="373"/>
      <c r="EK180" s="373"/>
      <c r="EL180" s="373"/>
      <c r="EM180" s="373"/>
      <c r="EN180" s="373"/>
      <c r="EO180" s="373"/>
      <c r="EP180" s="373"/>
      <c r="EQ180" s="373"/>
      <c r="ER180" s="373"/>
      <c r="ES180" s="373"/>
      <c r="ET180" s="373"/>
      <c r="EU180" s="373"/>
      <c r="EV180" s="373"/>
      <c r="EW180" s="373"/>
      <c r="EX180" s="373"/>
      <c r="EY180" s="373"/>
      <c r="EZ180" s="373"/>
      <c r="FA180" s="373"/>
      <c r="FB180" s="373"/>
      <c r="FC180" s="373"/>
      <c r="FD180" s="373"/>
      <c r="FE180" s="373"/>
      <c r="FF180" s="373"/>
      <c r="FG180" s="373"/>
      <c r="FH180" s="373"/>
      <c r="FI180" s="373"/>
      <c r="FJ180" s="373"/>
      <c r="FK180" s="373"/>
      <c r="FL180" s="373"/>
      <c r="FM180" s="373"/>
      <c r="FN180" s="373"/>
      <c r="FO180" s="373"/>
      <c r="FP180" s="373"/>
      <c r="FQ180" s="373"/>
      <c r="FR180" s="373"/>
      <c r="FS180" s="373"/>
      <c r="FT180" s="373"/>
      <c r="FU180" s="373"/>
      <c r="FV180" s="373"/>
      <c r="FW180" s="373"/>
      <c r="FX180" s="373"/>
      <c r="FY180" s="373"/>
      <c r="FZ180" s="373"/>
      <c r="GA180" s="373"/>
      <c r="GB180" s="373"/>
      <c r="GC180" s="373"/>
      <c r="GD180" s="373"/>
      <c r="GE180" s="373"/>
      <c r="GF180" s="373"/>
      <c r="GG180" s="373"/>
      <c r="GH180" s="373"/>
      <c r="GI180" s="373"/>
      <c r="GJ180" s="373"/>
      <c r="GK180" s="373"/>
      <c r="GL180" s="373"/>
      <c r="GM180" s="373"/>
      <c r="GN180" s="373"/>
      <c r="GO180" s="373"/>
      <c r="GP180" s="373"/>
      <c r="GQ180" s="373"/>
      <c r="GR180" s="373"/>
      <c r="GS180" s="373"/>
      <c r="GT180" s="373"/>
      <c r="GU180" s="373"/>
      <c r="GV180" s="373"/>
      <c r="GW180" s="373"/>
      <c r="GX180" s="373"/>
      <c r="GY180" s="373"/>
      <c r="GZ180" s="373"/>
      <c r="HA180" s="373"/>
      <c r="HB180" s="373"/>
      <c r="HC180" s="373"/>
      <c r="HD180" s="373"/>
      <c r="HE180" s="373"/>
      <c r="HF180" s="373"/>
      <c r="HG180" s="373"/>
      <c r="HH180" s="373"/>
      <c r="HI180" s="373"/>
      <c r="HJ180" s="373"/>
      <c r="HK180" s="373"/>
      <c r="HL180" s="373"/>
      <c r="HM180" s="373"/>
      <c r="HN180" s="373"/>
      <c r="HO180" s="373"/>
      <c r="HP180" s="373"/>
      <c r="HQ180" s="373"/>
      <c r="HR180" s="373"/>
      <c r="HS180" s="373"/>
      <c r="HT180" s="373"/>
      <c r="HU180" s="373"/>
      <c r="HV180" s="373"/>
      <c r="HW180" s="373"/>
      <c r="HX180" s="373"/>
      <c r="HY180" s="373"/>
      <c r="HZ180" s="373"/>
      <c r="IA180" s="373"/>
      <c r="IB180" s="373"/>
      <c r="IC180" s="373"/>
      <c r="ID180" s="373"/>
      <c r="IE180" s="373"/>
      <c r="IF180" s="373"/>
      <c r="IG180" s="373"/>
      <c r="IH180" s="373"/>
      <c r="II180" s="373"/>
      <c r="IJ180" s="373"/>
      <c r="IK180" s="373"/>
      <c r="IL180" s="373"/>
      <c r="IM180" s="373"/>
      <c r="IN180" s="373"/>
      <c r="IO180" s="373"/>
      <c r="IP180" s="373"/>
      <c r="IQ180" s="373"/>
      <c r="IR180" s="373"/>
      <c r="IS180" s="373"/>
      <c r="IT180" s="373"/>
      <c r="IU180" s="373"/>
      <c r="IV180" s="373"/>
    </row>
    <row r="181" spans="1:256" ht="14.25" x14ac:dyDescent="0.2">
      <c r="A181" s="239"/>
      <c r="B181" s="239"/>
      <c r="C181" s="239"/>
      <c r="D181" s="246" t="s">
        <v>70</v>
      </c>
      <c r="E181" s="246"/>
      <c r="F181" s="246"/>
      <c r="G181" s="246"/>
      <c r="H181" s="246"/>
      <c r="I181" s="247"/>
      <c r="J181" s="248">
        <f>I170+I171</f>
        <v>7393.52</v>
      </c>
      <c r="K181" s="249"/>
      <c r="L181" s="248">
        <f>K170+K171</f>
        <v>179144.97</v>
      </c>
      <c r="M181" s="374"/>
      <c r="N181" s="373"/>
      <c r="O181" s="373"/>
      <c r="P181" s="373"/>
      <c r="Q181" s="373"/>
      <c r="R181" s="373"/>
      <c r="S181" s="373"/>
      <c r="T181" s="373"/>
      <c r="U181" s="373"/>
      <c r="V181" s="373"/>
      <c r="W181" s="373"/>
      <c r="X181" s="373"/>
      <c r="Y181" s="373"/>
      <c r="Z181" s="373"/>
      <c r="AA181" s="373"/>
      <c r="AB181" s="373"/>
      <c r="AC181" s="373"/>
      <c r="AD181" s="373"/>
      <c r="AE181" s="373"/>
      <c r="AF181" s="373"/>
      <c r="AG181" s="373"/>
      <c r="AH181" s="373"/>
      <c r="AI181" s="373"/>
      <c r="AJ181" s="373"/>
      <c r="AK181" s="373"/>
      <c r="AL181" s="373"/>
      <c r="AM181" s="373"/>
      <c r="AN181" s="373"/>
      <c r="AO181" s="373"/>
      <c r="AP181" s="373"/>
      <c r="AQ181" s="373"/>
      <c r="AR181" s="373"/>
      <c r="AS181" s="373"/>
      <c r="AT181" s="373"/>
      <c r="AU181" s="373"/>
      <c r="AV181" s="373"/>
      <c r="AW181" s="373"/>
      <c r="AX181" s="373"/>
      <c r="AY181" s="373"/>
      <c r="AZ181" s="373"/>
      <c r="BA181" s="373"/>
      <c r="BB181" s="373"/>
      <c r="BC181" s="373"/>
      <c r="BD181" s="373"/>
      <c r="BE181" s="373"/>
      <c r="BF181" s="373"/>
      <c r="BG181" s="373"/>
      <c r="BH181" s="373"/>
      <c r="BI181" s="373"/>
      <c r="BJ181" s="373"/>
      <c r="BK181" s="373"/>
      <c r="BL181" s="373"/>
      <c r="BM181" s="373"/>
      <c r="BN181" s="373"/>
      <c r="BO181" s="373"/>
      <c r="BP181" s="373"/>
      <c r="BQ181" s="373"/>
      <c r="BR181" s="373"/>
      <c r="BS181" s="373"/>
      <c r="BT181" s="373"/>
      <c r="BU181" s="373"/>
      <c r="BV181" s="373"/>
      <c r="BW181" s="373"/>
      <c r="BX181" s="373"/>
      <c r="BY181" s="373"/>
      <c r="BZ181" s="373"/>
      <c r="CA181" s="373"/>
      <c r="CB181" s="373"/>
      <c r="CC181" s="373"/>
      <c r="CD181" s="373"/>
      <c r="CE181" s="373"/>
      <c r="CF181" s="373"/>
      <c r="CG181" s="373"/>
      <c r="CH181" s="373"/>
      <c r="CI181" s="373"/>
      <c r="CJ181" s="373"/>
      <c r="CK181" s="373"/>
      <c r="CL181" s="373"/>
      <c r="CM181" s="373"/>
      <c r="CN181" s="373"/>
      <c r="CO181" s="373"/>
      <c r="CP181" s="373"/>
      <c r="CQ181" s="373"/>
      <c r="CR181" s="373"/>
      <c r="CS181" s="373"/>
      <c r="CT181" s="373"/>
      <c r="CU181" s="373"/>
      <c r="CV181" s="373"/>
      <c r="CW181" s="373"/>
      <c r="CX181" s="373"/>
      <c r="CY181" s="373"/>
      <c r="CZ181" s="373"/>
      <c r="DA181" s="373"/>
      <c r="DB181" s="373"/>
      <c r="DC181" s="373"/>
      <c r="DD181" s="373"/>
      <c r="DE181" s="373"/>
      <c r="DF181" s="373"/>
      <c r="DG181" s="373"/>
      <c r="DH181" s="373"/>
      <c r="DI181" s="373"/>
      <c r="DJ181" s="373"/>
      <c r="DK181" s="373"/>
      <c r="DL181" s="373"/>
      <c r="DM181" s="373"/>
      <c r="DN181" s="373"/>
      <c r="DO181" s="373"/>
      <c r="DP181" s="373"/>
      <c r="DQ181" s="373"/>
      <c r="DR181" s="373"/>
      <c r="DS181" s="373"/>
      <c r="DT181" s="373"/>
      <c r="DU181" s="373"/>
      <c r="DV181" s="373"/>
      <c r="DW181" s="373"/>
      <c r="DX181" s="373"/>
      <c r="DY181" s="373"/>
      <c r="DZ181" s="373"/>
      <c r="EA181" s="373"/>
      <c r="EB181" s="373"/>
      <c r="EC181" s="373"/>
      <c r="ED181" s="373"/>
      <c r="EE181" s="373"/>
      <c r="EF181" s="373"/>
      <c r="EG181" s="373"/>
      <c r="EH181" s="373"/>
      <c r="EI181" s="373"/>
      <c r="EJ181" s="373"/>
      <c r="EK181" s="373"/>
      <c r="EL181" s="373"/>
      <c r="EM181" s="373"/>
      <c r="EN181" s="373"/>
      <c r="EO181" s="373"/>
      <c r="EP181" s="373"/>
      <c r="EQ181" s="373"/>
      <c r="ER181" s="373"/>
      <c r="ES181" s="373"/>
      <c r="ET181" s="373"/>
      <c r="EU181" s="373"/>
      <c r="EV181" s="373"/>
      <c r="EW181" s="373"/>
      <c r="EX181" s="373"/>
      <c r="EY181" s="373"/>
      <c r="EZ181" s="373"/>
      <c r="FA181" s="373"/>
      <c r="FB181" s="373"/>
      <c r="FC181" s="373"/>
      <c r="FD181" s="373"/>
      <c r="FE181" s="373"/>
      <c r="FF181" s="373"/>
      <c r="FG181" s="373"/>
      <c r="FH181" s="373"/>
      <c r="FI181" s="373"/>
      <c r="FJ181" s="373"/>
      <c r="FK181" s="373"/>
      <c r="FL181" s="373"/>
      <c r="FM181" s="373"/>
      <c r="FN181" s="373"/>
      <c r="FO181" s="373"/>
      <c r="FP181" s="373"/>
      <c r="FQ181" s="373"/>
      <c r="FR181" s="373"/>
      <c r="FS181" s="373"/>
      <c r="FT181" s="373"/>
      <c r="FU181" s="373"/>
      <c r="FV181" s="373"/>
      <c r="FW181" s="373"/>
      <c r="FX181" s="373"/>
      <c r="FY181" s="373"/>
      <c r="FZ181" s="373"/>
      <c r="GA181" s="373"/>
      <c r="GB181" s="373"/>
      <c r="GC181" s="373"/>
      <c r="GD181" s="373"/>
      <c r="GE181" s="373"/>
      <c r="GF181" s="373"/>
      <c r="GG181" s="373"/>
      <c r="GH181" s="373"/>
      <c r="GI181" s="373"/>
      <c r="GJ181" s="373"/>
      <c r="GK181" s="373"/>
      <c r="GL181" s="373"/>
      <c r="GM181" s="373"/>
      <c r="GN181" s="373"/>
      <c r="GO181" s="373"/>
      <c r="GP181" s="373"/>
      <c r="GQ181" s="373"/>
      <c r="GR181" s="373"/>
      <c r="GS181" s="373"/>
      <c r="GT181" s="373"/>
      <c r="GU181" s="373"/>
      <c r="GV181" s="373"/>
      <c r="GW181" s="373"/>
      <c r="GX181" s="373"/>
      <c r="GY181" s="373"/>
      <c r="GZ181" s="373"/>
      <c r="HA181" s="373"/>
      <c r="HB181" s="373"/>
      <c r="HC181" s="373"/>
      <c r="HD181" s="373"/>
      <c r="HE181" s="373"/>
      <c r="HF181" s="373"/>
      <c r="HG181" s="373"/>
      <c r="HH181" s="373"/>
      <c r="HI181" s="373"/>
      <c r="HJ181" s="373"/>
      <c r="HK181" s="373"/>
      <c r="HL181" s="373"/>
      <c r="HM181" s="373"/>
      <c r="HN181" s="373"/>
      <c r="HO181" s="373"/>
      <c r="HP181" s="373"/>
      <c r="HQ181" s="373"/>
      <c r="HR181" s="373"/>
      <c r="HS181" s="373"/>
      <c r="HT181" s="373"/>
      <c r="HU181" s="373"/>
      <c r="HV181" s="373"/>
      <c r="HW181" s="373"/>
      <c r="HX181" s="373"/>
      <c r="HY181" s="373"/>
      <c r="HZ181" s="373"/>
      <c r="IA181" s="373"/>
      <c r="IB181" s="373"/>
      <c r="IC181" s="373"/>
      <c r="ID181" s="373"/>
      <c r="IE181" s="373"/>
      <c r="IF181" s="373"/>
      <c r="IG181" s="373"/>
      <c r="IH181" s="373"/>
      <c r="II181" s="373"/>
      <c r="IJ181" s="373"/>
      <c r="IK181" s="373"/>
      <c r="IL181" s="373"/>
      <c r="IM181" s="373"/>
      <c r="IN181" s="373"/>
      <c r="IO181" s="373"/>
      <c r="IP181" s="373"/>
      <c r="IQ181" s="373"/>
      <c r="IR181" s="373"/>
      <c r="IS181" s="373"/>
      <c r="IT181" s="373"/>
      <c r="IU181" s="373"/>
      <c r="IV181" s="373"/>
    </row>
    <row r="182" spans="1:256" ht="14.25" x14ac:dyDescent="0.2">
      <c r="A182" s="239"/>
      <c r="B182" s="239"/>
      <c r="C182" s="239"/>
      <c r="D182" s="246" t="s">
        <v>195</v>
      </c>
      <c r="E182" s="246"/>
      <c r="F182" s="246"/>
      <c r="G182" s="246"/>
      <c r="H182" s="246"/>
      <c r="I182" s="247"/>
      <c r="J182" s="248">
        <f>I169</f>
        <v>555583.43999999994</v>
      </c>
      <c r="K182" s="249"/>
      <c r="L182" s="248">
        <f>K169</f>
        <v>1850243.3</v>
      </c>
      <c r="M182" s="374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373"/>
      <c r="Y182" s="373"/>
      <c r="Z182" s="373"/>
      <c r="AA182" s="373"/>
      <c r="AB182" s="373"/>
      <c r="AC182" s="373"/>
      <c r="AD182" s="373"/>
      <c r="AE182" s="373"/>
      <c r="AF182" s="373"/>
      <c r="AG182" s="373"/>
      <c r="AH182" s="373"/>
      <c r="AI182" s="373"/>
      <c r="AJ182" s="373"/>
      <c r="AK182" s="373"/>
      <c r="AL182" s="373"/>
      <c r="AM182" s="373"/>
      <c r="AN182" s="373"/>
      <c r="AO182" s="373"/>
      <c r="AP182" s="373"/>
      <c r="AQ182" s="373"/>
      <c r="AR182" s="373"/>
      <c r="AS182" s="373"/>
      <c r="AT182" s="373"/>
      <c r="AU182" s="373"/>
      <c r="AV182" s="373"/>
      <c r="AW182" s="373"/>
      <c r="AX182" s="373"/>
      <c r="AY182" s="373"/>
      <c r="AZ182" s="373"/>
      <c r="BA182" s="373"/>
      <c r="BB182" s="373"/>
      <c r="BC182" s="373"/>
      <c r="BD182" s="373"/>
      <c r="BE182" s="373"/>
      <c r="BF182" s="373"/>
      <c r="BG182" s="373"/>
      <c r="BH182" s="373"/>
      <c r="BI182" s="373"/>
      <c r="BJ182" s="373"/>
      <c r="BK182" s="373"/>
      <c r="BL182" s="373"/>
      <c r="BM182" s="373"/>
      <c r="BN182" s="373"/>
      <c r="BO182" s="373"/>
      <c r="BP182" s="373"/>
      <c r="BQ182" s="373"/>
      <c r="BR182" s="373"/>
      <c r="BS182" s="373"/>
      <c r="BT182" s="373"/>
      <c r="BU182" s="373"/>
      <c r="BV182" s="373"/>
      <c r="BW182" s="373"/>
      <c r="BX182" s="373"/>
      <c r="BY182" s="373"/>
      <c r="BZ182" s="373"/>
      <c r="CA182" s="373"/>
      <c r="CB182" s="373"/>
      <c r="CC182" s="373"/>
      <c r="CD182" s="373"/>
      <c r="CE182" s="373"/>
      <c r="CF182" s="373"/>
      <c r="CG182" s="373"/>
      <c r="CH182" s="373"/>
      <c r="CI182" s="373"/>
      <c r="CJ182" s="373"/>
      <c r="CK182" s="373"/>
      <c r="CL182" s="373"/>
      <c r="CM182" s="373"/>
      <c r="CN182" s="373"/>
      <c r="CO182" s="373"/>
      <c r="CP182" s="373"/>
      <c r="CQ182" s="373"/>
      <c r="CR182" s="373"/>
      <c r="CS182" s="373"/>
      <c r="CT182" s="373"/>
      <c r="CU182" s="373"/>
      <c r="CV182" s="373"/>
      <c r="CW182" s="373"/>
      <c r="CX182" s="373"/>
      <c r="CY182" s="373"/>
      <c r="CZ182" s="373"/>
      <c r="DA182" s="373"/>
      <c r="DB182" s="373"/>
      <c r="DC182" s="373"/>
      <c r="DD182" s="373"/>
      <c r="DE182" s="373"/>
      <c r="DF182" s="373"/>
      <c r="DG182" s="373"/>
      <c r="DH182" s="373"/>
      <c r="DI182" s="373"/>
      <c r="DJ182" s="373"/>
      <c r="DK182" s="373"/>
      <c r="DL182" s="373"/>
      <c r="DM182" s="373"/>
      <c r="DN182" s="373"/>
      <c r="DO182" s="373"/>
      <c r="DP182" s="373"/>
      <c r="DQ182" s="373"/>
      <c r="DR182" s="373"/>
      <c r="DS182" s="373"/>
      <c r="DT182" s="373"/>
      <c r="DU182" s="373"/>
      <c r="DV182" s="373"/>
      <c r="DW182" s="373"/>
      <c r="DX182" s="373"/>
      <c r="DY182" s="373"/>
      <c r="DZ182" s="373"/>
      <c r="EA182" s="373"/>
      <c r="EB182" s="373"/>
      <c r="EC182" s="373"/>
      <c r="ED182" s="373"/>
      <c r="EE182" s="373"/>
      <c r="EF182" s="373"/>
      <c r="EG182" s="373"/>
      <c r="EH182" s="373"/>
      <c r="EI182" s="373"/>
      <c r="EJ182" s="373"/>
      <c r="EK182" s="373"/>
      <c r="EL182" s="373"/>
      <c r="EM182" s="373"/>
      <c r="EN182" s="373"/>
      <c r="EO182" s="373"/>
      <c r="EP182" s="373"/>
      <c r="EQ182" s="373"/>
      <c r="ER182" s="373"/>
      <c r="ES182" s="373"/>
      <c r="ET182" s="373"/>
      <c r="EU182" s="373"/>
      <c r="EV182" s="373"/>
      <c r="EW182" s="373"/>
      <c r="EX182" s="373"/>
      <c r="EY182" s="373"/>
      <c r="EZ182" s="373"/>
      <c r="FA182" s="373"/>
      <c r="FB182" s="373"/>
      <c r="FC182" s="373"/>
      <c r="FD182" s="373"/>
      <c r="FE182" s="373"/>
      <c r="FF182" s="373"/>
      <c r="FG182" s="373"/>
      <c r="FH182" s="373"/>
      <c r="FI182" s="373"/>
      <c r="FJ182" s="373"/>
      <c r="FK182" s="373"/>
      <c r="FL182" s="373"/>
      <c r="FM182" s="373"/>
      <c r="FN182" s="373"/>
      <c r="FO182" s="373"/>
      <c r="FP182" s="373"/>
      <c r="FQ182" s="373"/>
      <c r="FR182" s="373"/>
      <c r="FS182" s="373"/>
      <c r="FT182" s="373"/>
      <c r="FU182" s="373"/>
      <c r="FV182" s="373"/>
      <c r="FW182" s="373"/>
      <c r="FX182" s="373"/>
      <c r="FY182" s="373"/>
      <c r="FZ182" s="373"/>
      <c r="GA182" s="373"/>
      <c r="GB182" s="373"/>
      <c r="GC182" s="373"/>
      <c r="GD182" s="373"/>
      <c r="GE182" s="373"/>
      <c r="GF182" s="373"/>
      <c r="GG182" s="373"/>
      <c r="GH182" s="373"/>
      <c r="GI182" s="373"/>
      <c r="GJ182" s="373"/>
      <c r="GK182" s="373"/>
      <c r="GL182" s="373"/>
      <c r="GM182" s="373"/>
      <c r="GN182" s="373"/>
      <c r="GO182" s="373"/>
      <c r="GP182" s="373"/>
      <c r="GQ182" s="373"/>
      <c r="GR182" s="373"/>
      <c r="GS182" s="373"/>
      <c r="GT182" s="373"/>
      <c r="GU182" s="373"/>
      <c r="GV182" s="373"/>
      <c r="GW182" s="373"/>
      <c r="GX182" s="373"/>
      <c r="GY182" s="373"/>
      <c r="GZ182" s="373"/>
      <c r="HA182" s="373"/>
      <c r="HB182" s="373"/>
      <c r="HC182" s="373"/>
      <c r="HD182" s="373"/>
      <c r="HE182" s="373"/>
      <c r="HF182" s="373"/>
      <c r="HG182" s="373"/>
      <c r="HH182" s="373"/>
      <c r="HI182" s="373"/>
      <c r="HJ182" s="373"/>
      <c r="HK182" s="373"/>
      <c r="HL182" s="373"/>
      <c r="HM182" s="373"/>
      <c r="HN182" s="373"/>
      <c r="HO182" s="373"/>
      <c r="HP182" s="373"/>
      <c r="HQ182" s="373"/>
      <c r="HR182" s="373"/>
      <c r="HS182" s="373"/>
      <c r="HT182" s="373"/>
      <c r="HU182" s="373"/>
      <c r="HV182" s="373"/>
      <c r="HW182" s="373"/>
      <c r="HX182" s="373"/>
      <c r="HY182" s="373"/>
      <c r="HZ182" s="373"/>
      <c r="IA182" s="373"/>
      <c r="IB182" s="373"/>
      <c r="IC182" s="373"/>
      <c r="ID182" s="373"/>
      <c r="IE182" s="373"/>
      <c r="IF182" s="373"/>
      <c r="IG182" s="373"/>
      <c r="IH182" s="373"/>
      <c r="II182" s="373"/>
      <c r="IJ182" s="373"/>
      <c r="IK182" s="373"/>
      <c r="IL182" s="373"/>
      <c r="IM182" s="373"/>
      <c r="IN182" s="373"/>
      <c r="IO182" s="373"/>
      <c r="IP182" s="373"/>
      <c r="IQ182" s="373"/>
      <c r="IR182" s="373"/>
      <c r="IS182" s="373"/>
      <c r="IT182" s="373"/>
      <c r="IU182" s="373"/>
      <c r="IV182" s="373"/>
    </row>
    <row r="183" spans="1:256" ht="14.25" x14ac:dyDescent="0.2">
      <c r="A183" s="250"/>
      <c r="B183" s="250"/>
      <c r="C183" s="250"/>
      <c r="D183" s="251" t="s">
        <v>157</v>
      </c>
      <c r="E183" s="251"/>
      <c r="F183" s="251"/>
      <c r="G183" s="251"/>
      <c r="H183" s="251"/>
      <c r="I183" s="252"/>
      <c r="J183" s="253">
        <v>0</v>
      </c>
      <c r="K183" s="254"/>
      <c r="L183" s="253">
        <v>0</v>
      </c>
      <c r="M183" s="374"/>
      <c r="N183" s="376"/>
      <c r="O183" s="376"/>
      <c r="P183" s="376"/>
      <c r="Q183" s="376"/>
      <c r="R183" s="376"/>
      <c r="S183" s="376"/>
      <c r="T183" s="376"/>
      <c r="U183" s="376"/>
      <c r="V183" s="376"/>
      <c r="W183" s="376"/>
      <c r="X183" s="376"/>
      <c r="Y183" s="376"/>
      <c r="Z183" s="376"/>
      <c r="AA183" s="376"/>
      <c r="AB183" s="376"/>
      <c r="AC183" s="376"/>
      <c r="AD183" s="376"/>
      <c r="AE183" s="376"/>
      <c r="AF183" s="376"/>
      <c r="AG183" s="376"/>
      <c r="AH183" s="376"/>
      <c r="AI183" s="376"/>
      <c r="AJ183" s="376"/>
      <c r="AK183" s="376"/>
      <c r="AL183" s="376"/>
      <c r="AM183" s="376"/>
      <c r="AN183" s="376"/>
      <c r="AO183" s="376"/>
      <c r="AP183" s="376"/>
      <c r="AQ183" s="376"/>
      <c r="AR183" s="376"/>
      <c r="AS183" s="376"/>
      <c r="AT183" s="376"/>
      <c r="AU183" s="376"/>
      <c r="AV183" s="376"/>
      <c r="AW183" s="376"/>
      <c r="AX183" s="376"/>
      <c r="AY183" s="376"/>
      <c r="AZ183" s="376"/>
      <c r="BA183" s="376"/>
      <c r="BB183" s="376"/>
      <c r="BC183" s="376"/>
      <c r="BD183" s="376"/>
      <c r="BE183" s="376"/>
      <c r="BF183" s="376"/>
      <c r="BG183" s="376"/>
      <c r="BH183" s="376"/>
      <c r="BI183" s="376"/>
      <c r="BJ183" s="376"/>
      <c r="BK183" s="376"/>
      <c r="BL183" s="376"/>
      <c r="BM183" s="376"/>
      <c r="BN183" s="376"/>
      <c r="BO183" s="376"/>
      <c r="BP183" s="376"/>
      <c r="BQ183" s="376"/>
      <c r="BR183" s="376"/>
      <c r="BS183" s="376"/>
      <c r="BT183" s="376"/>
      <c r="BU183" s="376"/>
      <c r="BV183" s="376"/>
      <c r="BW183" s="376"/>
      <c r="BX183" s="376"/>
      <c r="BY183" s="376"/>
      <c r="BZ183" s="376"/>
      <c r="CA183" s="376"/>
      <c r="CB183" s="376"/>
      <c r="CC183" s="376"/>
      <c r="CD183" s="376"/>
      <c r="CE183" s="376"/>
      <c r="CF183" s="376"/>
      <c r="CG183" s="376"/>
      <c r="CH183" s="376"/>
      <c r="CI183" s="376"/>
      <c r="CJ183" s="376"/>
      <c r="CK183" s="376"/>
      <c r="CL183" s="376"/>
      <c r="CM183" s="376"/>
      <c r="CN183" s="376"/>
      <c r="CO183" s="376"/>
      <c r="CP183" s="376"/>
      <c r="CQ183" s="376"/>
      <c r="CR183" s="376"/>
      <c r="CS183" s="376"/>
      <c r="CT183" s="376"/>
      <c r="CU183" s="376"/>
      <c r="CV183" s="376"/>
      <c r="CW183" s="376"/>
      <c r="CX183" s="376"/>
      <c r="CY183" s="376"/>
      <c r="CZ183" s="376"/>
      <c r="DA183" s="376"/>
      <c r="DB183" s="376"/>
      <c r="DC183" s="376"/>
      <c r="DD183" s="376"/>
      <c r="DE183" s="376"/>
      <c r="DF183" s="376"/>
      <c r="DG183" s="376"/>
      <c r="DH183" s="376"/>
      <c r="DI183" s="376"/>
      <c r="DJ183" s="376"/>
      <c r="DK183" s="376"/>
      <c r="DL183" s="376"/>
      <c r="DM183" s="376"/>
      <c r="DN183" s="376"/>
      <c r="DO183" s="376"/>
      <c r="DP183" s="376"/>
      <c r="DQ183" s="376"/>
      <c r="DR183" s="376"/>
      <c r="DS183" s="376"/>
      <c r="DT183" s="376"/>
      <c r="DU183" s="376"/>
      <c r="DV183" s="376"/>
      <c r="DW183" s="376"/>
      <c r="DX183" s="376"/>
      <c r="DY183" s="376"/>
      <c r="DZ183" s="376"/>
      <c r="EA183" s="376"/>
      <c r="EB183" s="376"/>
      <c r="EC183" s="376"/>
      <c r="ED183" s="376"/>
      <c r="EE183" s="376"/>
      <c r="EF183" s="376"/>
      <c r="EG183" s="376"/>
      <c r="EH183" s="376"/>
      <c r="EI183" s="376"/>
      <c r="EJ183" s="376"/>
      <c r="EK183" s="376"/>
      <c r="EL183" s="376"/>
      <c r="EM183" s="376"/>
      <c r="EN183" s="376"/>
      <c r="EO183" s="376"/>
      <c r="EP183" s="376"/>
      <c r="EQ183" s="376"/>
      <c r="ER183" s="376"/>
      <c r="ES183" s="376"/>
      <c r="ET183" s="376"/>
      <c r="EU183" s="376"/>
      <c r="EV183" s="376"/>
      <c r="EW183" s="376"/>
      <c r="EX183" s="376"/>
      <c r="EY183" s="376"/>
      <c r="EZ183" s="376"/>
      <c r="FA183" s="376"/>
      <c r="FB183" s="376"/>
      <c r="FC183" s="376"/>
      <c r="FD183" s="376"/>
      <c r="FE183" s="376"/>
      <c r="FF183" s="376"/>
      <c r="FG183" s="376"/>
      <c r="FH183" s="376"/>
      <c r="FI183" s="376"/>
      <c r="FJ183" s="376"/>
      <c r="FK183" s="376"/>
      <c r="FL183" s="376"/>
      <c r="FM183" s="376"/>
      <c r="FN183" s="376"/>
      <c r="FO183" s="376"/>
      <c r="FP183" s="376"/>
      <c r="FQ183" s="376"/>
      <c r="FR183" s="376"/>
      <c r="FS183" s="376"/>
      <c r="FT183" s="376"/>
      <c r="FU183" s="376"/>
      <c r="FV183" s="376"/>
      <c r="FW183" s="376"/>
      <c r="FX183" s="376"/>
      <c r="FY183" s="376"/>
      <c r="FZ183" s="376"/>
      <c r="GA183" s="376"/>
      <c r="GB183" s="376"/>
      <c r="GC183" s="376"/>
      <c r="GD183" s="376"/>
      <c r="GE183" s="376"/>
      <c r="GF183" s="376"/>
      <c r="GG183" s="376"/>
      <c r="GH183" s="376"/>
      <c r="GI183" s="376"/>
      <c r="GJ183" s="376"/>
      <c r="GK183" s="376"/>
      <c r="GL183" s="376"/>
      <c r="GM183" s="376"/>
      <c r="GN183" s="376"/>
      <c r="GO183" s="376"/>
      <c r="GP183" s="376"/>
      <c r="GQ183" s="376"/>
      <c r="GR183" s="376"/>
      <c r="GS183" s="376"/>
      <c r="GT183" s="376"/>
      <c r="GU183" s="376"/>
      <c r="GV183" s="376"/>
      <c r="GW183" s="376"/>
      <c r="GX183" s="376"/>
      <c r="GY183" s="376"/>
      <c r="GZ183" s="376"/>
      <c r="HA183" s="376"/>
      <c r="HB183" s="376"/>
      <c r="HC183" s="376"/>
      <c r="HD183" s="376"/>
      <c r="HE183" s="376"/>
      <c r="HF183" s="376"/>
      <c r="HG183" s="376"/>
      <c r="HH183" s="376"/>
      <c r="HI183" s="376"/>
      <c r="HJ183" s="376"/>
      <c r="HK183" s="376"/>
      <c r="HL183" s="376"/>
      <c r="HM183" s="376"/>
      <c r="HN183" s="376"/>
      <c r="HO183" s="376"/>
      <c r="HP183" s="376"/>
      <c r="HQ183" s="376"/>
      <c r="HR183" s="376"/>
      <c r="HS183" s="376"/>
      <c r="HT183" s="376"/>
      <c r="HU183" s="376"/>
      <c r="HV183" s="376"/>
      <c r="HW183" s="376"/>
      <c r="HX183" s="376"/>
      <c r="HY183" s="376"/>
      <c r="HZ183" s="376"/>
      <c r="IA183" s="376"/>
      <c r="IB183" s="376"/>
      <c r="IC183" s="376"/>
      <c r="ID183" s="376"/>
      <c r="IE183" s="376"/>
      <c r="IF183" s="376"/>
      <c r="IG183" s="376"/>
      <c r="IH183" s="376"/>
      <c r="II183" s="376"/>
      <c r="IJ183" s="376"/>
      <c r="IK183" s="376"/>
      <c r="IL183" s="376"/>
      <c r="IM183" s="376"/>
      <c r="IN183" s="376"/>
      <c r="IO183" s="376"/>
      <c r="IP183" s="376"/>
      <c r="IQ183" s="376"/>
      <c r="IR183" s="376"/>
      <c r="IS183" s="376"/>
      <c r="IT183" s="376"/>
      <c r="IU183" s="376"/>
      <c r="IV183" s="376"/>
    </row>
    <row r="184" spans="1:256" ht="14.25" x14ac:dyDescent="0.2">
      <c r="A184" s="237"/>
      <c r="B184" s="237"/>
      <c r="C184" s="237"/>
      <c r="D184" s="255" t="s">
        <v>196</v>
      </c>
      <c r="E184" s="255"/>
      <c r="F184" s="255"/>
      <c r="G184" s="255"/>
      <c r="H184" s="255"/>
      <c r="I184" s="255"/>
      <c r="J184" s="256">
        <f>J181*15%</f>
        <v>1109.03</v>
      </c>
      <c r="K184" s="256"/>
      <c r="L184" s="256">
        <f>L181*15%</f>
        <v>26871.75</v>
      </c>
      <c r="M184" s="370"/>
      <c r="N184" s="371"/>
      <c r="O184" s="371"/>
      <c r="P184" s="371"/>
      <c r="Q184" s="371"/>
      <c r="R184" s="371"/>
      <c r="S184" s="371"/>
      <c r="T184" s="371"/>
      <c r="U184" s="371"/>
      <c r="V184" s="371"/>
      <c r="W184" s="371"/>
      <c r="X184" s="371"/>
      <c r="Y184" s="371"/>
      <c r="Z184" s="371"/>
      <c r="AA184" s="371"/>
      <c r="AB184" s="371"/>
      <c r="AC184" s="371"/>
      <c r="AD184" s="371"/>
      <c r="AE184" s="371"/>
      <c r="AF184" s="371"/>
      <c r="AG184" s="371"/>
      <c r="AH184" s="371"/>
      <c r="AI184" s="371"/>
      <c r="AJ184" s="371"/>
      <c r="AK184" s="371"/>
      <c r="AL184" s="371"/>
      <c r="AM184" s="371"/>
      <c r="AN184" s="371"/>
      <c r="AO184" s="371"/>
      <c r="AP184" s="371"/>
      <c r="AQ184" s="371"/>
      <c r="AR184" s="371"/>
      <c r="AS184" s="371"/>
      <c r="AT184" s="371"/>
      <c r="AU184" s="371"/>
      <c r="AV184" s="371"/>
      <c r="AW184" s="371"/>
      <c r="AX184" s="371"/>
      <c r="AY184" s="371"/>
      <c r="AZ184" s="371"/>
      <c r="BA184" s="371"/>
      <c r="BB184" s="371"/>
      <c r="BC184" s="371"/>
      <c r="BD184" s="371"/>
      <c r="BE184" s="371"/>
      <c r="BF184" s="371"/>
      <c r="BG184" s="371"/>
      <c r="BH184" s="371"/>
      <c r="BI184" s="371"/>
      <c r="BJ184" s="371"/>
      <c r="BK184" s="371"/>
      <c r="BL184" s="371"/>
      <c r="BM184" s="371"/>
      <c r="BN184" s="371"/>
      <c r="BO184" s="371"/>
      <c r="BP184" s="371"/>
      <c r="BQ184" s="371"/>
      <c r="BR184" s="371"/>
      <c r="BS184" s="371"/>
      <c r="BT184" s="371"/>
      <c r="BU184" s="371"/>
      <c r="BV184" s="371"/>
      <c r="BW184" s="371"/>
      <c r="BX184" s="371"/>
      <c r="BY184" s="371"/>
      <c r="BZ184" s="371"/>
      <c r="CA184" s="371"/>
      <c r="CB184" s="371"/>
      <c r="CC184" s="371"/>
      <c r="CD184" s="371"/>
      <c r="CE184" s="371"/>
      <c r="CF184" s="371"/>
      <c r="CG184" s="371"/>
      <c r="CH184" s="371"/>
      <c r="CI184" s="371"/>
      <c r="CJ184" s="371"/>
      <c r="CK184" s="371"/>
      <c r="CL184" s="371"/>
      <c r="CM184" s="371"/>
      <c r="CN184" s="371"/>
      <c r="CO184" s="371"/>
      <c r="CP184" s="371"/>
      <c r="CQ184" s="371"/>
      <c r="CR184" s="371"/>
      <c r="CS184" s="371"/>
      <c r="CT184" s="371"/>
      <c r="CU184" s="371"/>
      <c r="CV184" s="371"/>
      <c r="CW184" s="371"/>
      <c r="CX184" s="371"/>
      <c r="CY184" s="371"/>
      <c r="CZ184" s="371"/>
      <c r="DA184" s="371"/>
      <c r="DB184" s="371"/>
      <c r="DC184" s="371"/>
      <c r="DD184" s="371"/>
      <c r="DE184" s="371"/>
      <c r="DF184" s="371"/>
      <c r="DG184" s="371"/>
      <c r="DH184" s="371"/>
      <c r="DI184" s="371"/>
      <c r="DJ184" s="371"/>
      <c r="DK184" s="371"/>
      <c r="DL184" s="371"/>
      <c r="DM184" s="371"/>
      <c r="DN184" s="371"/>
      <c r="DO184" s="371"/>
      <c r="DP184" s="371"/>
      <c r="DQ184" s="371"/>
      <c r="DR184" s="371"/>
      <c r="DS184" s="371"/>
      <c r="DT184" s="371"/>
      <c r="DU184" s="371"/>
      <c r="DV184" s="371"/>
      <c r="DW184" s="371"/>
      <c r="DX184" s="371"/>
      <c r="DY184" s="371"/>
      <c r="DZ184" s="371"/>
      <c r="EA184" s="371"/>
      <c r="EB184" s="371"/>
      <c r="EC184" s="371"/>
      <c r="ED184" s="371"/>
      <c r="EE184" s="371"/>
      <c r="EF184" s="371"/>
      <c r="EG184" s="371"/>
      <c r="EH184" s="371"/>
      <c r="EI184" s="371"/>
      <c r="EJ184" s="371"/>
      <c r="EK184" s="371"/>
      <c r="EL184" s="371"/>
      <c r="EM184" s="371"/>
      <c r="EN184" s="371"/>
      <c r="EO184" s="371"/>
      <c r="EP184" s="371"/>
      <c r="EQ184" s="371"/>
      <c r="ER184" s="371"/>
      <c r="ES184" s="371"/>
      <c r="ET184" s="371"/>
      <c r="EU184" s="371"/>
      <c r="EV184" s="371"/>
      <c r="EW184" s="371"/>
      <c r="EX184" s="371"/>
      <c r="EY184" s="371"/>
      <c r="EZ184" s="371"/>
      <c r="FA184" s="371"/>
      <c r="FB184" s="371"/>
      <c r="FC184" s="371"/>
      <c r="FD184" s="371"/>
      <c r="FE184" s="371"/>
      <c r="FF184" s="371"/>
      <c r="FG184" s="371"/>
      <c r="FH184" s="371"/>
      <c r="FI184" s="371"/>
      <c r="FJ184" s="371"/>
      <c r="FK184" s="371"/>
      <c r="FL184" s="371"/>
      <c r="FM184" s="371"/>
      <c r="FN184" s="371"/>
      <c r="FO184" s="371"/>
      <c r="FP184" s="371"/>
      <c r="FQ184" s="371"/>
      <c r="FR184" s="371"/>
      <c r="FS184" s="371"/>
      <c r="FT184" s="371"/>
      <c r="FU184" s="371"/>
      <c r="FV184" s="371"/>
      <c r="FW184" s="371"/>
      <c r="FX184" s="371"/>
      <c r="FY184" s="371"/>
      <c r="FZ184" s="371"/>
      <c r="GA184" s="371"/>
      <c r="GB184" s="371"/>
      <c r="GC184" s="371"/>
      <c r="GD184" s="371"/>
      <c r="GE184" s="371"/>
      <c r="GF184" s="371"/>
      <c r="GG184" s="371"/>
      <c r="GH184" s="371"/>
      <c r="GI184" s="371"/>
      <c r="GJ184" s="371"/>
      <c r="GK184" s="371"/>
      <c r="GL184" s="371"/>
      <c r="GM184" s="371"/>
      <c r="GN184" s="371"/>
      <c r="GO184" s="371"/>
      <c r="GP184" s="371"/>
      <c r="GQ184" s="371"/>
      <c r="GR184" s="371"/>
      <c r="GS184" s="371"/>
      <c r="GT184" s="371"/>
      <c r="GU184" s="371"/>
      <c r="GV184" s="371"/>
      <c r="GW184" s="371"/>
      <c r="GX184" s="371"/>
      <c r="GY184" s="371"/>
      <c r="GZ184" s="371"/>
      <c r="HA184" s="371"/>
      <c r="HB184" s="371"/>
      <c r="HC184" s="371"/>
      <c r="HD184" s="371"/>
      <c r="HE184" s="371"/>
      <c r="HF184" s="371"/>
      <c r="HG184" s="371"/>
      <c r="HH184" s="371"/>
      <c r="HI184" s="371"/>
      <c r="HJ184" s="371"/>
      <c r="HK184" s="371"/>
      <c r="HL184" s="371"/>
      <c r="HM184" s="371"/>
      <c r="HN184" s="371"/>
      <c r="HO184" s="371"/>
      <c r="HP184" s="371"/>
      <c r="HQ184" s="371"/>
      <c r="HR184" s="371"/>
      <c r="HS184" s="371"/>
      <c r="HT184" s="371"/>
      <c r="HU184" s="371"/>
      <c r="HV184" s="371"/>
      <c r="HW184" s="371"/>
      <c r="HX184" s="371"/>
      <c r="HY184" s="371"/>
      <c r="HZ184" s="371"/>
      <c r="IA184" s="371"/>
      <c r="IB184" s="371"/>
      <c r="IC184" s="371"/>
      <c r="ID184" s="371"/>
      <c r="IE184" s="371"/>
      <c r="IF184" s="371"/>
      <c r="IG184" s="371"/>
      <c r="IH184" s="371"/>
      <c r="II184" s="371"/>
      <c r="IJ184" s="371"/>
      <c r="IK184" s="371"/>
      <c r="IL184" s="371"/>
      <c r="IM184" s="371"/>
      <c r="IN184" s="371"/>
      <c r="IO184" s="371"/>
      <c r="IP184" s="371"/>
      <c r="IQ184" s="371"/>
      <c r="IR184" s="371"/>
      <c r="IS184" s="371"/>
      <c r="IT184" s="371"/>
      <c r="IU184" s="371"/>
      <c r="IV184" s="371"/>
    </row>
    <row r="185" spans="1:256" ht="15" x14ac:dyDescent="0.25">
      <c r="A185" s="237"/>
      <c r="B185" s="237"/>
      <c r="C185" s="237"/>
      <c r="D185" s="257" t="s">
        <v>197</v>
      </c>
      <c r="E185" s="258"/>
      <c r="F185" s="258"/>
      <c r="G185" s="258"/>
      <c r="H185" s="258"/>
      <c r="I185" s="258"/>
      <c r="J185" s="259">
        <f>J179+J184</f>
        <v>580838.75</v>
      </c>
      <c r="K185" s="259"/>
      <c r="L185" s="259">
        <f>L179+L184</f>
        <v>2317713.8199999998</v>
      </c>
      <c r="M185" s="370"/>
      <c r="N185" s="371"/>
      <c r="O185" s="371"/>
      <c r="P185" s="371"/>
      <c r="Q185" s="371"/>
      <c r="R185" s="371"/>
      <c r="S185" s="371"/>
      <c r="T185" s="371"/>
      <c r="U185" s="371"/>
      <c r="V185" s="371"/>
      <c r="W185" s="371"/>
      <c r="X185" s="371"/>
      <c r="Y185" s="371"/>
      <c r="Z185" s="371"/>
      <c r="AA185" s="371"/>
      <c r="AB185" s="371"/>
      <c r="AC185" s="371"/>
      <c r="AD185" s="371"/>
      <c r="AE185" s="371"/>
      <c r="AF185" s="371"/>
      <c r="AG185" s="371"/>
      <c r="AH185" s="371"/>
      <c r="AI185" s="371"/>
      <c r="AJ185" s="371"/>
      <c r="AK185" s="371"/>
      <c r="AL185" s="371"/>
      <c r="AM185" s="371"/>
      <c r="AN185" s="371"/>
      <c r="AO185" s="371"/>
      <c r="AP185" s="371"/>
      <c r="AQ185" s="371"/>
      <c r="AR185" s="371"/>
      <c r="AS185" s="371"/>
      <c r="AT185" s="371"/>
      <c r="AU185" s="371"/>
      <c r="AV185" s="371"/>
      <c r="AW185" s="371"/>
      <c r="AX185" s="371"/>
      <c r="AY185" s="371"/>
      <c r="AZ185" s="371"/>
      <c r="BA185" s="371"/>
      <c r="BB185" s="371"/>
      <c r="BC185" s="371"/>
      <c r="BD185" s="371"/>
      <c r="BE185" s="371"/>
      <c r="BF185" s="371"/>
      <c r="BG185" s="371"/>
      <c r="BH185" s="371"/>
      <c r="BI185" s="371"/>
      <c r="BJ185" s="371"/>
      <c r="BK185" s="371"/>
      <c r="BL185" s="371"/>
      <c r="BM185" s="371"/>
      <c r="BN185" s="371"/>
      <c r="BO185" s="371"/>
      <c r="BP185" s="371"/>
      <c r="BQ185" s="371"/>
      <c r="BR185" s="371"/>
      <c r="BS185" s="371"/>
      <c r="BT185" s="371"/>
      <c r="BU185" s="371"/>
      <c r="BV185" s="371"/>
      <c r="BW185" s="371"/>
      <c r="BX185" s="371"/>
      <c r="BY185" s="371"/>
      <c r="BZ185" s="371"/>
      <c r="CA185" s="371"/>
      <c r="CB185" s="371"/>
      <c r="CC185" s="371"/>
      <c r="CD185" s="371"/>
      <c r="CE185" s="371"/>
      <c r="CF185" s="371"/>
      <c r="CG185" s="371"/>
      <c r="CH185" s="371"/>
      <c r="CI185" s="371"/>
      <c r="CJ185" s="371"/>
      <c r="CK185" s="371"/>
      <c r="CL185" s="371"/>
      <c r="CM185" s="371"/>
      <c r="CN185" s="371"/>
      <c r="CO185" s="371"/>
      <c r="CP185" s="371"/>
      <c r="CQ185" s="371"/>
      <c r="CR185" s="371"/>
      <c r="CS185" s="371"/>
      <c r="CT185" s="371"/>
      <c r="CU185" s="371"/>
      <c r="CV185" s="371"/>
      <c r="CW185" s="371"/>
      <c r="CX185" s="371"/>
      <c r="CY185" s="371"/>
      <c r="CZ185" s="371"/>
      <c r="DA185" s="371"/>
      <c r="DB185" s="371"/>
      <c r="DC185" s="371"/>
      <c r="DD185" s="371"/>
      <c r="DE185" s="371"/>
      <c r="DF185" s="371"/>
      <c r="DG185" s="371"/>
      <c r="DH185" s="371"/>
      <c r="DI185" s="371"/>
      <c r="DJ185" s="371"/>
      <c r="DK185" s="371"/>
      <c r="DL185" s="371"/>
      <c r="DM185" s="371"/>
      <c r="DN185" s="371"/>
      <c r="DO185" s="371"/>
      <c r="DP185" s="371"/>
      <c r="DQ185" s="371"/>
      <c r="DR185" s="371"/>
      <c r="DS185" s="371"/>
      <c r="DT185" s="371"/>
      <c r="DU185" s="371"/>
      <c r="DV185" s="371"/>
      <c r="DW185" s="371"/>
      <c r="DX185" s="371"/>
      <c r="DY185" s="371"/>
      <c r="DZ185" s="371"/>
      <c r="EA185" s="371"/>
      <c r="EB185" s="371"/>
      <c r="EC185" s="371"/>
      <c r="ED185" s="371"/>
      <c r="EE185" s="371"/>
      <c r="EF185" s="371"/>
      <c r="EG185" s="371"/>
      <c r="EH185" s="371"/>
      <c r="EI185" s="371"/>
      <c r="EJ185" s="371"/>
      <c r="EK185" s="371"/>
      <c r="EL185" s="371"/>
      <c r="EM185" s="371"/>
      <c r="EN185" s="371"/>
      <c r="EO185" s="371"/>
      <c r="EP185" s="371"/>
      <c r="EQ185" s="371"/>
      <c r="ER185" s="371"/>
      <c r="ES185" s="371"/>
      <c r="ET185" s="371"/>
      <c r="EU185" s="371"/>
      <c r="EV185" s="371"/>
      <c r="EW185" s="371"/>
      <c r="EX185" s="371"/>
      <c r="EY185" s="371"/>
      <c r="EZ185" s="371"/>
      <c r="FA185" s="371"/>
      <c r="FB185" s="371"/>
      <c r="FC185" s="371"/>
      <c r="FD185" s="371"/>
      <c r="FE185" s="371"/>
      <c r="FF185" s="371"/>
      <c r="FG185" s="371"/>
      <c r="FH185" s="371"/>
      <c r="FI185" s="371"/>
      <c r="FJ185" s="371"/>
      <c r="FK185" s="371"/>
      <c r="FL185" s="371"/>
      <c r="FM185" s="371"/>
      <c r="FN185" s="371"/>
      <c r="FO185" s="371"/>
      <c r="FP185" s="371"/>
      <c r="FQ185" s="371"/>
      <c r="FR185" s="371"/>
      <c r="FS185" s="371"/>
      <c r="FT185" s="371"/>
      <c r="FU185" s="371"/>
      <c r="FV185" s="371"/>
      <c r="FW185" s="371"/>
      <c r="FX185" s="371"/>
      <c r="FY185" s="371"/>
      <c r="FZ185" s="371"/>
      <c r="GA185" s="371"/>
      <c r="GB185" s="371"/>
      <c r="GC185" s="371"/>
      <c r="GD185" s="371"/>
      <c r="GE185" s="371"/>
      <c r="GF185" s="371"/>
      <c r="GG185" s="371"/>
      <c r="GH185" s="371"/>
      <c r="GI185" s="371"/>
      <c r="GJ185" s="371"/>
      <c r="GK185" s="371"/>
      <c r="GL185" s="371"/>
      <c r="GM185" s="371"/>
      <c r="GN185" s="371"/>
      <c r="GO185" s="371"/>
      <c r="GP185" s="371"/>
      <c r="GQ185" s="371"/>
      <c r="GR185" s="371"/>
      <c r="GS185" s="371"/>
      <c r="GT185" s="371"/>
      <c r="GU185" s="371"/>
      <c r="GV185" s="371"/>
      <c r="GW185" s="371"/>
      <c r="GX185" s="371"/>
      <c r="GY185" s="371"/>
      <c r="GZ185" s="371"/>
      <c r="HA185" s="371"/>
      <c r="HB185" s="371"/>
      <c r="HC185" s="371"/>
      <c r="HD185" s="371"/>
      <c r="HE185" s="371"/>
      <c r="HF185" s="371"/>
      <c r="HG185" s="371"/>
      <c r="HH185" s="371"/>
      <c r="HI185" s="371"/>
      <c r="HJ185" s="371"/>
      <c r="HK185" s="371"/>
      <c r="HL185" s="371"/>
      <c r="HM185" s="371"/>
      <c r="HN185" s="371"/>
      <c r="HO185" s="371"/>
      <c r="HP185" s="371"/>
      <c r="HQ185" s="371"/>
      <c r="HR185" s="371"/>
      <c r="HS185" s="371"/>
      <c r="HT185" s="371"/>
      <c r="HU185" s="371"/>
      <c r="HV185" s="371"/>
      <c r="HW185" s="371"/>
      <c r="HX185" s="371"/>
      <c r="HY185" s="371"/>
      <c r="HZ185" s="371"/>
      <c r="IA185" s="371"/>
      <c r="IB185" s="371"/>
      <c r="IC185" s="371"/>
      <c r="ID185" s="371"/>
      <c r="IE185" s="371"/>
      <c r="IF185" s="371"/>
      <c r="IG185" s="371"/>
      <c r="IH185" s="371"/>
      <c r="II185" s="371"/>
      <c r="IJ185" s="371"/>
      <c r="IK185" s="371"/>
      <c r="IL185" s="371"/>
      <c r="IM185" s="371"/>
      <c r="IN185" s="371"/>
      <c r="IO185" s="371"/>
      <c r="IP185" s="371"/>
      <c r="IQ185" s="371"/>
      <c r="IR185" s="371"/>
      <c r="IS185" s="371"/>
      <c r="IT185" s="371"/>
      <c r="IU185" s="371"/>
      <c r="IV185" s="371"/>
    </row>
    <row r="186" spans="1:256" ht="14.25" x14ac:dyDescent="0.2">
      <c r="A186" s="241"/>
      <c r="B186" s="241"/>
      <c r="C186" s="241"/>
      <c r="D186" s="241"/>
      <c r="E186" s="241"/>
      <c r="F186" s="241"/>
      <c r="G186" s="241"/>
      <c r="H186" s="241"/>
      <c r="I186" s="241"/>
      <c r="J186" s="241"/>
      <c r="K186" s="241"/>
      <c r="L186" s="241"/>
      <c r="M186" s="374"/>
      <c r="N186" s="375"/>
      <c r="O186" s="375"/>
      <c r="P186" s="375"/>
      <c r="Q186" s="375"/>
      <c r="R186" s="375"/>
      <c r="S186" s="375"/>
      <c r="T186" s="375"/>
      <c r="U186" s="375"/>
      <c r="V186" s="375"/>
      <c r="W186" s="375"/>
      <c r="X186" s="375"/>
      <c r="Y186" s="375"/>
      <c r="Z186" s="375"/>
      <c r="AA186" s="375"/>
      <c r="AB186" s="375"/>
      <c r="AC186" s="375"/>
      <c r="AD186" s="375"/>
      <c r="AE186" s="375"/>
      <c r="AF186" s="375"/>
      <c r="AG186" s="375"/>
      <c r="AH186" s="375"/>
      <c r="AI186" s="375"/>
      <c r="AJ186" s="375"/>
      <c r="AK186" s="375"/>
      <c r="AL186" s="375"/>
      <c r="AM186" s="375"/>
      <c r="AN186" s="375"/>
      <c r="AO186" s="375"/>
      <c r="AP186" s="375"/>
      <c r="AQ186" s="375"/>
      <c r="AR186" s="375"/>
      <c r="AS186" s="375"/>
      <c r="AT186" s="375"/>
      <c r="AU186" s="375"/>
      <c r="AV186" s="375"/>
      <c r="AW186" s="375"/>
      <c r="AX186" s="375"/>
      <c r="AY186" s="375"/>
      <c r="AZ186" s="375"/>
      <c r="BA186" s="375"/>
      <c r="BB186" s="375"/>
      <c r="BC186" s="375"/>
      <c r="BD186" s="375"/>
      <c r="BE186" s="375"/>
      <c r="BF186" s="375"/>
      <c r="BG186" s="375"/>
      <c r="BH186" s="375"/>
      <c r="BI186" s="375"/>
      <c r="BJ186" s="375"/>
      <c r="BK186" s="375"/>
      <c r="BL186" s="375"/>
      <c r="BM186" s="375"/>
      <c r="BN186" s="375"/>
      <c r="BO186" s="375"/>
      <c r="BP186" s="375"/>
      <c r="BQ186" s="375"/>
      <c r="BR186" s="375"/>
      <c r="BS186" s="375"/>
      <c r="BT186" s="375"/>
      <c r="BU186" s="375"/>
      <c r="BV186" s="375"/>
      <c r="BW186" s="375"/>
      <c r="BX186" s="375"/>
      <c r="BY186" s="375"/>
      <c r="BZ186" s="375"/>
      <c r="CA186" s="375"/>
      <c r="CB186" s="375"/>
      <c r="CC186" s="375"/>
      <c r="CD186" s="375"/>
      <c r="CE186" s="375"/>
      <c r="CF186" s="375"/>
      <c r="CG186" s="375"/>
      <c r="CH186" s="375"/>
      <c r="CI186" s="375"/>
      <c r="CJ186" s="375"/>
      <c r="CK186" s="375"/>
      <c r="CL186" s="375"/>
      <c r="CM186" s="375"/>
      <c r="CN186" s="375"/>
      <c r="CO186" s="375"/>
      <c r="CP186" s="375"/>
      <c r="CQ186" s="375"/>
      <c r="CR186" s="375"/>
      <c r="CS186" s="375"/>
      <c r="CT186" s="375"/>
      <c r="CU186" s="375"/>
      <c r="CV186" s="375"/>
      <c r="CW186" s="375"/>
      <c r="CX186" s="375"/>
      <c r="CY186" s="375"/>
      <c r="CZ186" s="375"/>
      <c r="DA186" s="375"/>
      <c r="DB186" s="375"/>
      <c r="DC186" s="375"/>
      <c r="DD186" s="375"/>
      <c r="DE186" s="375"/>
      <c r="DF186" s="375"/>
      <c r="DG186" s="375"/>
      <c r="DH186" s="375"/>
      <c r="DI186" s="375"/>
      <c r="DJ186" s="375"/>
      <c r="DK186" s="375"/>
      <c r="DL186" s="375"/>
      <c r="DM186" s="375"/>
      <c r="DN186" s="375"/>
      <c r="DO186" s="375"/>
      <c r="DP186" s="375"/>
      <c r="DQ186" s="375"/>
      <c r="DR186" s="375"/>
      <c r="DS186" s="375"/>
      <c r="DT186" s="375"/>
      <c r="DU186" s="375"/>
      <c r="DV186" s="375"/>
      <c r="DW186" s="375"/>
      <c r="DX186" s="375"/>
      <c r="DY186" s="375"/>
      <c r="DZ186" s="375"/>
      <c r="EA186" s="375"/>
      <c r="EB186" s="375"/>
      <c r="EC186" s="375"/>
      <c r="ED186" s="375"/>
      <c r="EE186" s="375"/>
      <c r="EF186" s="375"/>
      <c r="EG186" s="375"/>
      <c r="EH186" s="375"/>
      <c r="EI186" s="375"/>
      <c r="EJ186" s="375"/>
      <c r="EK186" s="375"/>
      <c r="EL186" s="375"/>
      <c r="EM186" s="375"/>
      <c r="EN186" s="375"/>
      <c r="EO186" s="375"/>
      <c r="EP186" s="375"/>
      <c r="EQ186" s="375"/>
      <c r="ER186" s="375"/>
      <c r="ES186" s="375"/>
      <c r="ET186" s="375"/>
      <c r="EU186" s="375"/>
      <c r="EV186" s="375"/>
      <c r="EW186" s="375"/>
      <c r="EX186" s="375"/>
      <c r="EY186" s="375"/>
      <c r="EZ186" s="375"/>
      <c r="FA186" s="375"/>
      <c r="FB186" s="375"/>
      <c r="FC186" s="375"/>
      <c r="FD186" s="375"/>
      <c r="FE186" s="375"/>
      <c r="FF186" s="375"/>
      <c r="FG186" s="375"/>
      <c r="FH186" s="375"/>
      <c r="FI186" s="375"/>
      <c r="FJ186" s="375"/>
      <c r="FK186" s="375"/>
      <c r="FL186" s="375"/>
      <c r="FM186" s="375"/>
      <c r="FN186" s="375"/>
      <c r="FO186" s="375"/>
      <c r="FP186" s="375"/>
      <c r="FQ186" s="375"/>
      <c r="FR186" s="375"/>
      <c r="FS186" s="375"/>
      <c r="FT186" s="375"/>
      <c r="FU186" s="375"/>
      <c r="FV186" s="375"/>
      <c r="FW186" s="375"/>
      <c r="FX186" s="375"/>
      <c r="FY186" s="375"/>
      <c r="FZ186" s="375"/>
      <c r="GA186" s="375"/>
      <c r="GB186" s="375"/>
      <c r="GC186" s="375"/>
      <c r="GD186" s="375"/>
      <c r="GE186" s="375"/>
      <c r="GF186" s="375"/>
      <c r="GG186" s="375"/>
      <c r="GH186" s="375"/>
      <c r="GI186" s="375"/>
      <c r="GJ186" s="375"/>
      <c r="GK186" s="375"/>
      <c r="GL186" s="375"/>
      <c r="GM186" s="375"/>
      <c r="GN186" s="375"/>
      <c r="GO186" s="375"/>
      <c r="GP186" s="375"/>
      <c r="GQ186" s="375"/>
      <c r="GR186" s="375"/>
      <c r="GS186" s="375"/>
      <c r="GT186" s="375"/>
      <c r="GU186" s="375"/>
      <c r="GV186" s="375"/>
      <c r="GW186" s="375"/>
      <c r="GX186" s="375"/>
      <c r="GY186" s="375"/>
      <c r="GZ186" s="375"/>
      <c r="HA186" s="375"/>
      <c r="HB186" s="375"/>
      <c r="HC186" s="375"/>
      <c r="HD186" s="375"/>
      <c r="HE186" s="375"/>
      <c r="HF186" s="375"/>
      <c r="HG186" s="375"/>
      <c r="HH186" s="375"/>
      <c r="HI186" s="375"/>
      <c r="HJ186" s="375"/>
      <c r="HK186" s="375"/>
      <c r="HL186" s="375"/>
      <c r="HM186" s="375"/>
      <c r="HN186" s="375"/>
      <c r="HO186" s="375"/>
      <c r="HP186" s="375"/>
      <c r="HQ186" s="375"/>
      <c r="HR186" s="375"/>
      <c r="HS186" s="375"/>
      <c r="HT186" s="375"/>
      <c r="HU186" s="375"/>
      <c r="HV186" s="375"/>
      <c r="HW186" s="375"/>
      <c r="HX186" s="375"/>
      <c r="HY186" s="375"/>
      <c r="HZ186" s="375"/>
      <c r="IA186" s="375"/>
      <c r="IB186" s="375"/>
      <c r="IC186" s="375"/>
      <c r="ID186" s="375"/>
      <c r="IE186" s="375"/>
      <c r="IF186" s="375"/>
      <c r="IG186" s="375"/>
      <c r="IH186" s="375"/>
      <c r="II186" s="375"/>
      <c r="IJ186" s="375"/>
      <c r="IK186" s="375"/>
      <c r="IL186" s="375"/>
      <c r="IM186" s="375"/>
      <c r="IN186" s="375"/>
      <c r="IO186" s="375"/>
      <c r="IP186" s="375"/>
      <c r="IQ186" s="375"/>
      <c r="IR186" s="375"/>
      <c r="IS186" s="375"/>
      <c r="IT186" s="375"/>
      <c r="IU186" s="375"/>
      <c r="IV186" s="375"/>
    </row>
    <row r="187" spans="1:256" ht="14.25" x14ac:dyDescent="0.2">
      <c r="A187" s="241"/>
      <c r="B187" s="241"/>
      <c r="C187" s="241"/>
      <c r="D187" s="241"/>
      <c r="E187" s="241"/>
      <c r="F187" s="241"/>
      <c r="G187" s="241"/>
      <c r="H187" s="241"/>
      <c r="I187" s="241"/>
      <c r="J187" s="241"/>
      <c r="K187" s="241"/>
      <c r="L187" s="241"/>
      <c r="M187" s="374"/>
      <c r="N187" s="375"/>
      <c r="O187" s="375"/>
      <c r="P187" s="375"/>
      <c r="Q187" s="375"/>
      <c r="R187" s="375"/>
      <c r="S187" s="375"/>
      <c r="T187" s="375"/>
      <c r="U187" s="375"/>
      <c r="V187" s="375"/>
      <c r="W187" s="375"/>
      <c r="X187" s="375"/>
      <c r="Y187" s="375"/>
      <c r="Z187" s="375"/>
      <c r="AA187" s="375"/>
      <c r="AB187" s="375"/>
      <c r="AC187" s="375"/>
      <c r="AD187" s="375"/>
      <c r="AE187" s="375"/>
      <c r="AF187" s="375"/>
      <c r="AG187" s="375"/>
      <c r="AH187" s="375"/>
      <c r="AI187" s="375"/>
      <c r="AJ187" s="375"/>
      <c r="AK187" s="375"/>
      <c r="AL187" s="375"/>
      <c r="AM187" s="375"/>
      <c r="AN187" s="375"/>
      <c r="AO187" s="375"/>
      <c r="AP187" s="375"/>
      <c r="AQ187" s="375"/>
      <c r="AR187" s="375"/>
      <c r="AS187" s="375"/>
      <c r="AT187" s="375"/>
      <c r="AU187" s="375"/>
      <c r="AV187" s="375"/>
      <c r="AW187" s="375"/>
      <c r="AX187" s="375"/>
      <c r="AY187" s="375"/>
      <c r="AZ187" s="375"/>
      <c r="BA187" s="375"/>
      <c r="BB187" s="375"/>
      <c r="BC187" s="375"/>
      <c r="BD187" s="375"/>
      <c r="BE187" s="375"/>
      <c r="BF187" s="375"/>
      <c r="BG187" s="375"/>
      <c r="BH187" s="375"/>
      <c r="BI187" s="375"/>
      <c r="BJ187" s="375"/>
      <c r="BK187" s="375"/>
      <c r="BL187" s="375"/>
      <c r="BM187" s="375"/>
      <c r="BN187" s="375"/>
      <c r="BO187" s="375"/>
      <c r="BP187" s="375"/>
      <c r="BQ187" s="375"/>
      <c r="BR187" s="375"/>
      <c r="BS187" s="375"/>
      <c r="BT187" s="375"/>
      <c r="BU187" s="375"/>
      <c r="BV187" s="375"/>
      <c r="BW187" s="375"/>
      <c r="BX187" s="375"/>
      <c r="BY187" s="375"/>
      <c r="BZ187" s="375"/>
      <c r="CA187" s="375"/>
      <c r="CB187" s="375"/>
      <c r="CC187" s="375"/>
      <c r="CD187" s="375"/>
      <c r="CE187" s="375"/>
      <c r="CF187" s="375"/>
      <c r="CG187" s="375"/>
      <c r="CH187" s="375"/>
      <c r="CI187" s="375"/>
      <c r="CJ187" s="375"/>
      <c r="CK187" s="375"/>
      <c r="CL187" s="375"/>
      <c r="CM187" s="375"/>
      <c r="CN187" s="375"/>
      <c r="CO187" s="375"/>
      <c r="CP187" s="375"/>
      <c r="CQ187" s="375"/>
      <c r="CR187" s="375"/>
      <c r="CS187" s="375"/>
      <c r="CT187" s="375"/>
      <c r="CU187" s="375"/>
      <c r="CV187" s="375"/>
      <c r="CW187" s="375"/>
      <c r="CX187" s="375"/>
      <c r="CY187" s="375"/>
      <c r="CZ187" s="375"/>
      <c r="DA187" s="375"/>
      <c r="DB187" s="375"/>
      <c r="DC187" s="375"/>
      <c r="DD187" s="375"/>
      <c r="DE187" s="375"/>
      <c r="DF187" s="375"/>
      <c r="DG187" s="375"/>
      <c r="DH187" s="375"/>
      <c r="DI187" s="375"/>
      <c r="DJ187" s="375"/>
      <c r="DK187" s="375"/>
      <c r="DL187" s="375"/>
      <c r="DM187" s="375"/>
      <c r="DN187" s="375"/>
      <c r="DO187" s="375"/>
      <c r="DP187" s="375"/>
      <c r="DQ187" s="375"/>
      <c r="DR187" s="375"/>
      <c r="DS187" s="375"/>
      <c r="DT187" s="375"/>
      <c r="DU187" s="375"/>
      <c r="DV187" s="375"/>
      <c r="DW187" s="375"/>
      <c r="DX187" s="375"/>
      <c r="DY187" s="375"/>
      <c r="DZ187" s="375"/>
      <c r="EA187" s="375"/>
      <c r="EB187" s="375"/>
      <c r="EC187" s="375"/>
      <c r="ED187" s="375"/>
      <c r="EE187" s="375"/>
      <c r="EF187" s="375"/>
      <c r="EG187" s="375"/>
      <c r="EH187" s="375"/>
      <c r="EI187" s="375"/>
      <c r="EJ187" s="375"/>
      <c r="EK187" s="375"/>
      <c r="EL187" s="375"/>
      <c r="EM187" s="375"/>
      <c r="EN187" s="375"/>
      <c r="EO187" s="375"/>
      <c r="EP187" s="375"/>
      <c r="EQ187" s="375"/>
      <c r="ER187" s="375"/>
      <c r="ES187" s="375"/>
      <c r="ET187" s="375"/>
      <c r="EU187" s="375"/>
      <c r="EV187" s="375"/>
      <c r="EW187" s="375"/>
      <c r="EX187" s="375"/>
      <c r="EY187" s="375"/>
      <c r="EZ187" s="375"/>
      <c r="FA187" s="375"/>
      <c r="FB187" s="375"/>
      <c r="FC187" s="375"/>
      <c r="FD187" s="375"/>
      <c r="FE187" s="375"/>
      <c r="FF187" s="375"/>
      <c r="FG187" s="375"/>
      <c r="FH187" s="375"/>
      <c r="FI187" s="375"/>
      <c r="FJ187" s="375"/>
      <c r="FK187" s="375"/>
      <c r="FL187" s="375"/>
      <c r="FM187" s="375"/>
      <c r="FN187" s="375"/>
      <c r="FO187" s="375"/>
      <c r="FP187" s="375"/>
      <c r="FQ187" s="375"/>
      <c r="FR187" s="375"/>
      <c r="FS187" s="375"/>
      <c r="FT187" s="375"/>
      <c r="FU187" s="375"/>
      <c r="FV187" s="375"/>
      <c r="FW187" s="375"/>
      <c r="FX187" s="375"/>
      <c r="FY187" s="375"/>
      <c r="FZ187" s="375"/>
      <c r="GA187" s="375"/>
      <c r="GB187" s="375"/>
      <c r="GC187" s="375"/>
      <c r="GD187" s="375"/>
      <c r="GE187" s="375"/>
      <c r="GF187" s="375"/>
      <c r="GG187" s="375"/>
      <c r="GH187" s="375"/>
      <c r="GI187" s="375"/>
      <c r="GJ187" s="375"/>
      <c r="GK187" s="375"/>
      <c r="GL187" s="375"/>
      <c r="GM187" s="375"/>
      <c r="GN187" s="375"/>
      <c r="GO187" s="375"/>
      <c r="GP187" s="375"/>
      <c r="GQ187" s="375"/>
      <c r="GR187" s="375"/>
      <c r="GS187" s="375"/>
      <c r="GT187" s="375"/>
      <c r="GU187" s="375"/>
      <c r="GV187" s="375"/>
      <c r="GW187" s="375"/>
      <c r="GX187" s="375"/>
      <c r="GY187" s="375"/>
      <c r="GZ187" s="375"/>
      <c r="HA187" s="375"/>
      <c r="HB187" s="375"/>
      <c r="HC187" s="375"/>
      <c r="HD187" s="375"/>
      <c r="HE187" s="375"/>
      <c r="HF187" s="375"/>
      <c r="HG187" s="375"/>
      <c r="HH187" s="375"/>
      <c r="HI187" s="375"/>
      <c r="HJ187" s="375"/>
      <c r="HK187" s="375"/>
      <c r="HL187" s="375"/>
      <c r="HM187" s="375"/>
      <c r="HN187" s="375"/>
      <c r="HO187" s="375"/>
      <c r="HP187" s="375"/>
      <c r="HQ187" s="375"/>
      <c r="HR187" s="375"/>
      <c r="HS187" s="375"/>
      <c r="HT187" s="375"/>
      <c r="HU187" s="375"/>
      <c r="HV187" s="375"/>
      <c r="HW187" s="375"/>
      <c r="HX187" s="375"/>
      <c r="HY187" s="375"/>
      <c r="HZ187" s="375"/>
      <c r="IA187" s="375"/>
      <c r="IB187" s="375"/>
      <c r="IC187" s="375"/>
      <c r="ID187" s="375"/>
      <c r="IE187" s="375"/>
      <c r="IF187" s="375"/>
      <c r="IG187" s="375"/>
      <c r="IH187" s="375"/>
      <c r="II187" s="375"/>
      <c r="IJ187" s="375"/>
      <c r="IK187" s="375"/>
      <c r="IL187" s="375"/>
      <c r="IM187" s="375"/>
      <c r="IN187" s="375"/>
      <c r="IO187" s="375"/>
      <c r="IP187" s="375"/>
      <c r="IQ187" s="375"/>
      <c r="IR187" s="375"/>
      <c r="IS187" s="375"/>
      <c r="IT187" s="375"/>
      <c r="IU187" s="375"/>
      <c r="IV187" s="375"/>
    </row>
    <row r="188" spans="1:256" ht="15" x14ac:dyDescent="0.25">
      <c r="A188" s="237"/>
      <c r="B188" s="237"/>
      <c r="C188" s="237"/>
      <c r="D188" s="257" t="s">
        <v>198</v>
      </c>
      <c r="E188" s="255"/>
      <c r="F188" s="255"/>
      <c r="G188" s="255"/>
      <c r="H188" s="255"/>
      <c r="I188" s="255"/>
      <c r="J188" s="260">
        <f>(J179-J182)*0.925+J182</f>
        <v>577918.75</v>
      </c>
      <c r="K188" s="260"/>
      <c r="L188" s="260">
        <f>(L179)*0.925</f>
        <v>2119028.91</v>
      </c>
      <c r="M188" s="287"/>
      <c r="N188" s="275"/>
      <c r="O188" s="275"/>
      <c r="P188" s="275"/>
      <c r="Q188" s="275"/>
      <c r="R188" s="275"/>
      <c r="S188" s="275"/>
      <c r="T188" s="275"/>
      <c r="U188" s="275"/>
      <c r="V188" s="275"/>
      <c r="W188" s="275"/>
      <c r="X188" s="275"/>
      <c r="Y188" s="275"/>
      <c r="Z188" s="275"/>
      <c r="AA188" s="275"/>
      <c r="AB188" s="275"/>
      <c r="AC188" s="275"/>
      <c r="AD188" s="275"/>
      <c r="AE188" s="275"/>
      <c r="AF188" s="275"/>
      <c r="AG188" s="275"/>
      <c r="AH188" s="275"/>
      <c r="AI188" s="275"/>
      <c r="AJ188" s="275"/>
      <c r="AK188" s="275"/>
      <c r="AL188" s="275"/>
      <c r="AM188" s="275"/>
      <c r="AN188" s="275"/>
      <c r="AO188" s="275"/>
      <c r="AP188" s="275"/>
      <c r="AQ188" s="275"/>
      <c r="AR188" s="275"/>
      <c r="AS188" s="275"/>
      <c r="AT188" s="275"/>
      <c r="AU188" s="275"/>
      <c r="AV188" s="275"/>
      <c r="AW188" s="275"/>
      <c r="AX188" s="275"/>
      <c r="AY188" s="275"/>
      <c r="AZ188" s="275"/>
      <c r="BA188" s="275"/>
      <c r="BB188" s="275"/>
      <c r="BC188" s="275"/>
      <c r="BD188" s="275"/>
      <c r="BE188" s="275"/>
      <c r="BF188" s="275"/>
      <c r="BG188" s="275"/>
      <c r="BH188" s="275"/>
      <c r="BI188" s="275"/>
      <c r="BJ188" s="275"/>
      <c r="BK188" s="275"/>
      <c r="BL188" s="275"/>
      <c r="BM188" s="275"/>
      <c r="BN188" s="275"/>
      <c r="BO188" s="275"/>
      <c r="BP188" s="275"/>
      <c r="BQ188" s="275"/>
      <c r="BR188" s="275"/>
      <c r="BS188" s="275"/>
      <c r="BT188" s="275"/>
      <c r="BU188" s="275"/>
      <c r="BV188" s="275"/>
      <c r="BW188" s="275"/>
      <c r="BX188" s="275"/>
      <c r="BY188" s="275"/>
      <c r="BZ188" s="275"/>
      <c r="CA188" s="275"/>
      <c r="CB188" s="275"/>
      <c r="CC188" s="275"/>
      <c r="CD188" s="275"/>
      <c r="CE188" s="275"/>
      <c r="CF188" s="275"/>
      <c r="CG188" s="275"/>
      <c r="CH188" s="275"/>
      <c r="CI188" s="275"/>
      <c r="CJ188" s="275"/>
      <c r="CK188" s="275"/>
      <c r="CL188" s="275"/>
      <c r="CM188" s="275"/>
      <c r="CN188" s="275"/>
      <c r="CO188" s="275"/>
      <c r="CP188" s="275"/>
      <c r="CQ188" s="275"/>
      <c r="CR188" s="275"/>
      <c r="CS188" s="275"/>
      <c r="CT188" s="275"/>
      <c r="CU188" s="275"/>
      <c r="CV188" s="275"/>
      <c r="CW188" s="275"/>
      <c r="CX188" s="275"/>
      <c r="CY188" s="275"/>
      <c r="CZ188" s="275"/>
      <c r="DA188" s="275"/>
      <c r="DB188" s="275"/>
      <c r="DC188" s="275"/>
      <c r="DD188" s="275"/>
      <c r="DE188" s="275"/>
      <c r="DF188" s="275"/>
      <c r="DG188" s="275"/>
      <c r="DH188" s="275"/>
      <c r="DI188" s="275"/>
      <c r="DJ188" s="275"/>
      <c r="DK188" s="275"/>
      <c r="DL188" s="275"/>
      <c r="DM188" s="275"/>
      <c r="DN188" s="275"/>
      <c r="DO188" s="275"/>
      <c r="DP188" s="275"/>
      <c r="DQ188" s="275"/>
      <c r="DR188" s="275"/>
      <c r="DS188" s="275"/>
      <c r="DT188" s="275"/>
      <c r="DU188" s="275"/>
      <c r="DV188" s="275"/>
      <c r="DW188" s="275"/>
      <c r="DX188" s="275"/>
      <c r="DY188" s="275"/>
      <c r="DZ188" s="275"/>
      <c r="EA188" s="275"/>
      <c r="EB188" s="275"/>
      <c r="EC188" s="275"/>
      <c r="ED188" s="275"/>
      <c r="EE188" s="275"/>
      <c r="EF188" s="275"/>
      <c r="EG188" s="275"/>
      <c r="EH188" s="275"/>
      <c r="EI188" s="275"/>
      <c r="EJ188" s="275"/>
      <c r="EK188" s="275"/>
      <c r="EL188" s="275"/>
      <c r="EM188" s="275"/>
      <c r="EN188" s="275"/>
      <c r="EO188" s="275"/>
      <c r="EP188" s="275"/>
      <c r="EQ188" s="275"/>
      <c r="ER188" s="275"/>
      <c r="ES188" s="275"/>
      <c r="ET188" s="275"/>
      <c r="EU188" s="275"/>
      <c r="EV188" s="275"/>
      <c r="EW188" s="275"/>
      <c r="EX188" s="275"/>
      <c r="EY188" s="275"/>
      <c r="EZ188" s="275"/>
      <c r="FA188" s="275"/>
      <c r="FB188" s="275"/>
      <c r="FC188" s="275"/>
      <c r="FD188" s="275"/>
      <c r="FE188" s="275"/>
      <c r="FF188" s="275"/>
      <c r="FG188" s="275"/>
      <c r="FH188" s="275"/>
      <c r="FI188" s="275"/>
      <c r="FJ188" s="275"/>
      <c r="FK188" s="275"/>
      <c r="FL188" s="275"/>
      <c r="FM188" s="275"/>
      <c r="FN188" s="275"/>
      <c r="FO188" s="275"/>
      <c r="FP188" s="275"/>
      <c r="FQ188" s="275"/>
      <c r="FR188" s="275"/>
      <c r="FS188" s="275"/>
      <c r="FT188" s="275"/>
      <c r="FU188" s="275"/>
      <c r="FV188" s="275"/>
      <c r="FW188" s="275"/>
      <c r="FX188" s="275"/>
      <c r="FY188" s="275"/>
      <c r="FZ188" s="275"/>
      <c r="GA188" s="275"/>
      <c r="GB188" s="275"/>
      <c r="GC188" s="275"/>
      <c r="GD188" s="275"/>
      <c r="GE188" s="275"/>
      <c r="GF188" s="275"/>
      <c r="GG188" s="275"/>
      <c r="GH188" s="275"/>
      <c r="GI188" s="275"/>
      <c r="GJ188" s="275"/>
      <c r="GK188" s="275"/>
      <c r="GL188" s="275"/>
      <c r="GM188" s="275"/>
      <c r="GN188" s="275"/>
      <c r="GO188" s="275"/>
      <c r="GP188" s="275"/>
      <c r="GQ188" s="275"/>
      <c r="GR188" s="275"/>
      <c r="GS188" s="275"/>
      <c r="GT188" s="275"/>
      <c r="GU188" s="275"/>
      <c r="GV188" s="275"/>
      <c r="GW188" s="275"/>
      <c r="GX188" s="275"/>
      <c r="GY188" s="275"/>
      <c r="GZ188" s="275"/>
      <c r="HA188" s="275"/>
      <c r="HB188" s="275"/>
      <c r="HC188" s="275"/>
      <c r="HD188" s="275"/>
      <c r="HE188" s="275"/>
      <c r="HF188" s="275"/>
      <c r="HG188" s="275"/>
      <c r="HH188" s="275"/>
      <c r="HI188" s="275"/>
      <c r="HJ188" s="275"/>
      <c r="HK188" s="275"/>
      <c r="HL188" s="275"/>
      <c r="HM188" s="275"/>
      <c r="HN188" s="275"/>
      <c r="HO188" s="275"/>
      <c r="HP188" s="275"/>
      <c r="HQ188" s="275"/>
      <c r="HR188" s="275"/>
      <c r="HS188" s="275"/>
      <c r="HT188" s="275"/>
      <c r="HU188" s="275"/>
      <c r="HV188" s="275"/>
      <c r="HW188" s="275"/>
      <c r="HX188" s="275"/>
      <c r="HY188" s="275"/>
      <c r="HZ188" s="275"/>
      <c r="IA188" s="275"/>
      <c r="IB188" s="275"/>
      <c r="IC188" s="275"/>
      <c r="ID188" s="275"/>
      <c r="IE188" s="275"/>
      <c r="IF188" s="275"/>
      <c r="IG188" s="275"/>
      <c r="IH188" s="275"/>
      <c r="II188" s="275"/>
      <c r="IJ188" s="275"/>
      <c r="IK188" s="275"/>
      <c r="IL188" s="275"/>
      <c r="IM188" s="275"/>
      <c r="IN188" s="275"/>
      <c r="IO188" s="275"/>
      <c r="IP188" s="275"/>
      <c r="IQ188" s="275"/>
      <c r="IR188" s="275"/>
      <c r="IS188" s="275"/>
      <c r="IT188" s="275"/>
      <c r="IU188" s="275"/>
      <c r="IV188" s="275"/>
    </row>
    <row r="189" spans="1:256" ht="14.25" x14ac:dyDescent="0.2">
      <c r="A189" s="237"/>
      <c r="B189" s="237"/>
      <c r="C189" s="237"/>
      <c r="D189" s="255" t="s">
        <v>69</v>
      </c>
      <c r="E189" s="255"/>
      <c r="F189" s="255"/>
      <c r="G189" s="255"/>
      <c r="H189" s="255"/>
      <c r="I189" s="255"/>
      <c r="J189" s="256">
        <f>J188</f>
        <v>577918.75</v>
      </c>
      <c r="K189" s="256"/>
      <c r="L189" s="256">
        <f>L188</f>
        <v>2119028.91</v>
      </c>
      <c r="M189" s="287"/>
      <c r="N189" s="275"/>
      <c r="O189" s="275"/>
      <c r="P189" s="275"/>
      <c r="Q189" s="275"/>
      <c r="R189" s="275"/>
      <c r="S189" s="275"/>
      <c r="T189" s="275"/>
      <c r="U189" s="275"/>
      <c r="V189" s="275"/>
      <c r="W189" s="275"/>
      <c r="X189" s="275"/>
      <c r="Y189" s="275"/>
      <c r="Z189" s="275"/>
      <c r="AA189" s="275"/>
      <c r="AB189" s="275"/>
      <c r="AC189" s="275"/>
      <c r="AD189" s="275"/>
      <c r="AE189" s="275"/>
      <c r="AF189" s="275"/>
      <c r="AG189" s="275"/>
      <c r="AH189" s="275"/>
      <c r="AI189" s="275"/>
      <c r="AJ189" s="275"/>
      <c r="AK189" s="275"/>
      <c r="AL189" s="275"/>
      <c r="AM189" s="275"/>
      <c r="AN189" s="275"/>
      <c r="AO189" s="275"/>
      <c r="AP189" s="275"/>
      <c r="AQ189" s="275"/>
      <c r="AR189" s="275"/>
      <c r="AS189" s="275"/>
      <c r="AT189" s="275"/>
      <c r="AU189" s="275"/>
      <c r="AV189" s="275"/>
      <c r="AW189" s="275"/>
      <c r="AX189" s="275"/>
      <c r="AY189" s="275"/>
      <c r="AZ189" s="275"/>
      <c r="BA189" s="275"/>
      <c r="BB189" s="275"/>
      <c r="BC189" s="275"/>
      <c r="BD189" s="275"/>
      <c r="BE189" s="275"/>
      <c r="BF189" s="275"/>
      <c r="BG189" s="275"/>
      <c r="BH189" s="275"/>
      <c r="BI189" s="275"/>
      <c r="BJ189" s="275"/>
      <c r="BK189" s="275"/>
      <c r="BL189" s="275"/>
      <c r="BM189" s="275"/>
      <c r="BN189" s="275"/>
      <c r="BO189" s="275"/>
      <c r="BP189" s="275"/>
      <c r="BQ189" s="275"/>
      <c r="BR189" s="275"/>
      <c r="BS189" s="275"/>
      <c r="BT189" s="275"/>
      <c r="BU189" s="275"/>
      <c r="BV189" s="275"/>
      <c r="BW189" s="275"/>
      <c r="BX189" s="275"/>
      <c r="BY189" s="275"/>
      <c r="BZ189" s="275"/>
      <c r="CA189" s="275"/>
      <c r="CB189" s="275"/>
      <c r="CC189" s="275"/>
      <c r="CD189" s="275"/>
      <c r="CE189" s="275"/>
      <c r="CF189" s="275"/>
      <c r="CG189" s="275"/>
      <c r="CH189" s="275"/>
      <c r="CI189" s="275"/>
      <c r="CJ189" s="275"/>
      <c r="CK189" s="275"/>
      <c r="CL189" s="275"/>
      <c r="CM189" s="275"/>
      <c r="CN189" s="275"/>
      <c r="CO189" s="275"/>
      <c r="CP189" s="275"/>
      <c r="CQ189" s="275"/>
      <c r="CR189" s="275"/>
      <c r="CS189" s="275"/>
      <c r="CT189" s="275"/>
      <c r="CU189" s="275"/>
      <c r="CV189" s="275"/>
      <c r="CW189" s="275"/>
      <c r="CX189" s="275"/>
      <c r="CY189" s="275"/>
      <c r="CZ189" s="275"/>
      <c r="DA189" s="275"/>
      <c r="DB189" s="275"/>
      <c r="DC189" s="275"/>
      <c r="DD189" s="275"/>
      <c r="DE189" s="275"/>
      <c r="DF189" s="275"/>
      <c r="DG189" s="275"/>
      <c r="DH189" s="275"/>
      <c r="DI189" s="275"/>
      <c r="DJ189" s="275"/>
      <c r="DK189" s="275"/>
      <c r="DL189" s="275"/>
      <c r="DM189" s="275"/>
      <c r="DN189" s="275"/>
      <c r="DO189" s="275"/>
      <c r="DP189" s="275"/>
      <c r="DQ189" s="275"/>
      <c r="DR189" s="275"/>
      <c r="DS189" s="275"/>
      <c r="DT189" s="275"/>
      <c r="DU189" s="275"/>
      <c r="DV189" s="275"/>
      <c r="DW189" s="275"/>
      <c r="DX189" s="275"/>
      <c r="DY189" s="275"/>
      <c r="DZ189" s="275"/>
      <c r="EA189" s="275"/>
      <c r="EB189" s="275"/>
      <c r="EC189" s="275"/>
      <c r="ED189" s="275"/>
      <c r="EE189" s="275"/>
      <c r="EF189" s="275"/>
      <c r="EG189" s="275"/>
      <c r="EH189" s="275"/>
      <c r="EI189" s="275"/>
      <c r="EJ189" s="275"/>
      <c r="EK189" s="275"/>
      <c r="EL189" s="275"/>
      <c r="EM189" s="275"/>
      <c r="EN189" s="275"/>
      <c r="EO189" s="275"/>
      <c r="EP189" s="275"/>
      <c r="EQ189" s="275"/>
      <c r="ER189" s="275"/>
      <c r="ES189" s="275"/>
      <c r="ET189" s="275"/>
      <c r="EU189" s="275"/>
      <c r="EV189" s="275"/>
      <c r="EW189" s="275"/>
      <c r="EX189" s="275"/>
      <c r="EY189" s="275"/>
      <c r="EZ189" s="275"/>
      <c r="FA189" s="275"/>
      <c r="FB189" s="275"/>
      <c r="FC189" s="275"/>
      <c r="FD189" s="275"/>
      <c r="FE189" s="275"/>
      <c r="FF189" s="275"/>
      <c r="FG189" s="275"/>
      <c r="FH189" s="275"/>
      <c r="FI189" s="275"/>
      <c r="FJ189" s="275"/>
      <c r="FK189" s="275"/>
      <c r="FL189" s="275"/>
      <c r="FM189" s="275"/>
      <c r="FN189" s="275"/>
      <c r="FO189" s="275"/>
      <c r="FP189" s="275"/>
      <c r="FQ189" s="275"/>
      <c r="FR189" s="275"/>
      <c r="FS189" s="275"/>
      <c r="FT189" s="275"/>
      <c r="FU189" s="275"/>
      <c r="FV189" s="275"/>
      <c r="FW189" s="275"/>
      <c r="FX189" s="275"/>
      <c r="FY189" s="275"/>
      <c r="FZ189" s="275"/>
      <c r="GA189" s="275"/>
      <c r="GB189" s="275"/>
      <c r="GC189" s="275"/>
      <c r="GD189" s="275"/>
      <c r="GE189" s="275"/>
      <c r="GF189" s="275"/>
      <c r="GG189" s="275"/>
      <c r="GH189" s="275"/>
      <c r="GI189" s="275"/>
      <c r="GJ189" s="275"/>
      <c r="GK189" s="275"/>
      <c r="GL189" s="275"/>
      <c r="GM189" s="275"/>
      <c r="GN189" s="275"/>
      <c r="GO189" s="275"/>
      <c r="GP189" s="275"/>
      <c r="GQ189" s="275"/>
      <c r="GR189" s="275"/>
      <c r="GS189" s="275"/>
      <c r="GT189" s="275"/>
      <c r="GU189" s="275"/>
      <c r="GV189" s="275"/>
      <c r="GW189" s="275"/>
      <c r="GX189" s="275"/>
      <c r="GY189" s="275"/>
      <c r="GZ189" s="275"/>
      <c r="HA189" s="275"/>
      <c r="HB189" s="275"/>
      <c r="HC189" s="275"/>
      <c r="HD189" s="275"/>
      <c r="HE189" s="275"/>
      <c r="HF189" s="275"/>
      <c r="HG189" s="275"/>
      <c r="HH189" s="275"/>
      <c r="HI189" s="275"/>
      <c r="HJ189" s="275"/>
      <c r="HK189" s="275"/>
      <c r="HL189" s="275"/>
      <c r="HM189" s="275"/>
      <c r="HN189" s="275"/>
      <c r="HO189" s="275"/>
      <c r="HP189" s="275"/>
      <c r="HQ189" s="275"/>
      <c r="HR189" s="275"/>
      <c r="HS189" s="275"/>
      <c r="HT189" s="275"/>
      <c r="HU189" s="275"/>
      <c r="HV189" s="275"/>
      <c r="HW189" s="275"/>
      <c r="HX189" s="275"/>
      <c r="HY189" s="275"/>
      <c r="HZ189" s="275"/>
      <c r="IA189" s="275"/>
      <c r="IB189" s="275"/>
      <c r="IC189" s="275"/>
      <c r="ID189" s="275"/>
      <c r="IE189" s="275"/>
      <c r="IF189" s="275"/>
      <c r="IG189" s="275"/>
      <c r="IH189" s="275"/>
      <c r="II189" s="275"/>
      <c r="IJ189" s="275"/>
      <c r="IK189" s="275"/>
      <c r="IL189" s="275"/>
      <c r="IM189" s="275"/>
      <c r="IN189" s="275"/>
      <c r="IO189" s="275"/>
      <c r="IP189" s="275"/>
      <c r="IQ189" s="275"/>
      <c r="IR189" s="275"/>
      <c r="IS189" s="275"/>
      <c r="IT189" s="275"/>
      <c r="IU189" s="275"/>
      <c r="IV189" s="275"/>
    </row>
    <row r="190" spans="1:256" ht="14.25" x14ac:dyDescent="0.2">
      <c r="A190" s="237"/>
      <c r="B190" s="237"/>
      <c r="C190" s="237"/>
      <c r="D190" s="255" t="s">
        <v>70</v>
      </c>
      <c r="E190" s="255"/>
      <c r="F190" s="255"/>
      <c r="G190" s="255"/>
      <c r="H190" s="255"/>
      <c r="I190" s="255"/>
      <c r="J190" s="256">
        <f>J181*0.925</f>
        <v>6839.01</v>
      </c>
      <c r="K190" s="256"/>
      <c r="L190" s="256">
        <f>L181*0.925</f>
        <v>165709.1</v>
      </c>
      <c r="M190" s="287"/>
      <c r="N190" s="275"/>
      <c r="O190" s="275"/>
      <c r="P190" s="275"/>
      <c r="Q190" s="275"/>
      <c r="R190" s="275"/>
      <c r="S190" s="275"/>
      <c r="T190" s="275"/>
      <c r="U190" s="275"/>
      <c r="V190" s="275"/>
      <c r="W190" s="275"/>
      <c r="X190" s="275"/>
      <c r="Y190" s="275"/>
      <c r="Z190" s="275"/>
      <c r="AA190" s="275"/>
      <c r="AB190" s="275"/>
      <c r="AC190" s="275"/>
      <c r="AD190" s="275"/>
      <c r="AE190" s="275"/>
      <c r="AF190" s="275"/>
      <c r="AG190" s="275"/>
      <c r="AH190" s="275"/>
      <c r="AI190" s="275"/>
      <c r="AJ190" s="275"/>
      <c r="AK190" s="275"/>
      <c r="AL190" s="275"/>
      <c r="AM190" s="275"/>
      <c r="AN190" s="275"/>
      <c r="AO190" s="275"/>
      <c r="AP190" s="275"/>
      <c r="AQ190" s="275"/>
      <c r="AR190" s="275"/>
      <c r="AS190" s="275"/>
      <c r="AT190" s="275"/>
      <c r="AU190" s="275"/>
      <c r="AV190" s="275"/>
      <c r="AW190" s="275"/>
      <c r="AX190" s="275"/>
      <c r="AY190" s="275"/>
      <c r="AZ190" s="275"/>
      <c r="BA190" s="275"/>
      <c r="BB190" s="275"/>
      <c r="BC190" s="275"/>
      <c r="BD190" s="275"/>
      <c r="BE190" s="275"/>
      <c r="BF190" s="275"/>
      <c r="BG190" s="275"/>
      <c r="BH190" s="275"/>
      <c r="BI190" s="275"/>
      <c r="BJ190" s="275"/>
      <c r="BK190" s="275"/>
      <c r="BL190" s="275"/>
      <c r="BM190" s="275"/>
      <c r="BN190" s="275"/>
      <c r="BO190" s="275"/>
      <c r="BP190" s="275"/>
      <c r="BQ190" s="275"/>
      <c r="BR190" s="275"/>
      <c r="BS190" s="275"/>
      <c r="BT190" s="275"/>
      <c r="BU190" s="275"/>
      <c r="BV190" s="275"/>
      <c r="BW190" s="275"/>
      <c r="BX190" s="275"/>
      <c r="BY190" s="275"/>
      <c r="BZ190" s="275"/>
      <c r="CA190" s="275"/>
      <c r="CB190" s="275"/>
      <c r="CC190" s="275"/>
      <c r="CD190" s="275"/>
      <c r="CE190" s="275"/>
      <c r="CF190" s="275"/>
      <c r="CG190" s="275"/>
      <c r="CH190" s="275"/>
      <c r="CI190" s="275"/>
      <c r="CJ190" s="275"/>
      <c r="CK190" s="275"/>
      <c r="CL190" s="275"/>
      <c r="CM190" s="275"/>
      <c r="CN190" s="275"/>
      <c r="CO190" s="275"/>
      <c r="CP190" s="275"/>
      <c r="CQ190" s="275"/>
      <c r="CR190" s="275"/>
      <c r="CS190" s="275"/>
      <c r="CT190" s="275"/>
      <c r="CU190" s="275"/>
      <c r="CV190" s="275"/>
      <c r="CW190" s="275"/>
      <c r="CX190" s="275"/>
      <c r="CY190" s="275"/>
      <c r="CZ190" s="275"/>
      <c r="DA190" s="275"/>
      <c r="DB190" s="275"/>
      <c r="DC190" s="275"/>
      <c r="DD190" s="275"/>
      <c r="DE190" s="275"/>
      <c r="DF190" s="275"/>
      <c r="DG190" s="275"/>
      <c r="DH190" s="275"/>
      <c r="DI190" s="275"/>
      <c r="DJ190" s="275"/>
      <c r="DK190" s="275"/>
      <c r="DL190" s="275"/>
      <c r="DM190" s="275"/>
      <c r="DN190" s="275"/>
      <c r="DO190" s="275"/>
      <c r="DP190" s="275"/>
      <c r="DQ190" s="275"/>
      <c r="DR190" s="275"/>
      <c r="DS190" s="275"/>
      <c r="DT190" s="275"/>
      <c r="DU190" s="275"/>
      <c r="DV190" s="275"/>
      <c r="DW190" s="275"/>
      <c r="DX190" s="275"/>
      <c r="DY190" s="275"/>
      <c r="DZ190" s="275"/>
      <c r="EA190" s="275"/>
      <c r="EB190" s="275"/>
      <c r="EC190" s="275"/>
      <c r="ED190" s="275"/>
      <c r="EE190" s="275"/>
      <c r="EF190" s="275"/>
      <c r="EG190" s="275"/>
      <c r="EH190" s="275"/>
      <c r="EI190" s="275"/>
      <c r="EJ190" s="275"/>
      <c r="EK190" s="275"/>
      <c r="EL190" s="275"/>
      <c r="EM190" s="275"/>
      <c r="EN190" s="275"/>
      <c r="EO190" s="275"/>
      <c r="EP190" s="275"/>
      <c r="EQ190" s="275"/>
      <c r="ER190" s="275"/>
      <c r="ES190" s="275"/>
      <c r="ET190" s="275"/>
      <c r="EU190" s="275"/>
      <c r="EV190" s="275"/>
      <c r="EW190" s="275"/>
      <c r="EX190" s="275"/>
      <c r="EY190" s="275"/>
      <c r="EZ190" s="275"/>
      <c r="FA190" s="275"/>
      <c r="FB190" s="275"/>
      <c r="FC190" s="275"/>
      <c r="FD190" s="275"/>
      <c r="FE190" s="275"/>
      <c r="FF190" s="275"/>
      <c r="FG190" s="275"/>
      <c r="FH190" s="275"/>
      <c r="FI190" s="275"/>
      <c r="FJ190" s="275"/>
      <c r="FK190" s="275"/>
      <c r="FL190" s="275"/>
      <c r="FM190" s="275"/>
      <c r="FN190" s="275"/>
      <c r="FO190" s="275"/>
      <c r="FP190" s="275"/>
      <c r="FQ190" s="275"/>
      <c r="FR190" s="275"/>
      <c r="FS190" s="275"/>
      <c r="FT190" s="275"/>
      <c r="FU190" s="275"/>
      <c r="FV190" s="275"/>
      <c r="FW190" s="275"/>
      <c r="FX190" s="275"/>
      <c r="FY190" s="275"/>
      <c r="FZ190" s="275"/>
      <c r="GA190" s="275"/>
      <c r="GB190" s="275"/>
      <c r="GC190" s="275"/>
      <c r="GD190" s="275"/>
      <c r="GE190" s="275"/>
      <c r="GF190" s="275"/>
      <c r="GG190" s="275"/>
      <c r="GH190" s="275"/>
      <c r="GI190" s="275"/>
      <c r="GJ190" s="275"/>
      <c r="GK190" s="275"/>
      <c r="GL190" s="275"/>
      <c r="GM190" s="275"/>
      <c r="GN190" s="275"/>
      <c r="GO190" s="275"/>
      <c r="GP190" s="275"/>
      <c r="GQ190" s="275"/>
      <c r="GR190" s="275"/>
      <c r="GS190" s="275"/>
      <c r="GT190" s="275"/>
      <c r="GU190" s="275"/>
      <c r="GV190" s="275"/>
      <c r="GW190" s="275"/>
      <c r="GX190" s="275"/>
      <c r="GY190" s="275"/>
      <c r="GZ190" s="275"/>
      <c r="HA190" s="275"/>
      <c r="HB190" s="275"/>
      <c r="HC190" s="275"/>
      <c r="HD190" s="275"/>
      <c r="HE190" s="275"/>
      <c r="HF190" s="275"/>
      <c r="HG190" s="275"/>
      <c r="HH190" s="275"/>
      <c r="HI190" s="275"/>
      <c r="HJ190" s="275"/>
      <c r="HK190" s="275"/>
      <c r="HL190" s="275"/>
      <c r="HM190" s="275"/>
      <c r="HN190" s="275"/>
      <c r="HO190" s="275"/>
      <c r="HP190" s="275"/>
      <c r="HQ190" s="275"/>
      <c r="HR190" s="275"/>
      <c r="HS190" s="275"/>
      <c r="HT190" s="275"/>
      <c r="HU190" s="275"/>
      <c r="HV190" s="275"/>
      <c r="HW190" s="275"/>
      <c r="HX190" s="275"/>
      <c r="HY190" s="275"/>
      <c r="HZ190" s="275"/>
      <c r="IA190" s="275"/>
      <c r="IB190" s="275"/>
      <c r="IC190" s="275"/>
      <c r="ID190" s="275"/>
      <c r="IE190" s="275"/>
      <c r="IF190" s="275"/>
      <c r="IG190" s="275"/>
      <c r="IH190" s="275"/>
      <c r="II190" s="275"/>
      <c r="IJ190" s="275"/>
      <c r="IK190" s="275"/>
      <c r="IL190" s="275"/>
      <c r="IM190" s="275"/>
      <c r="IN190" s="275"/>
      <c r="IO190" s="275"/>
      <c r="IP190" s="275"/>
      <c r="IQ190" s="275"/>
      <c r="IR190" s="275"/>
      <c r="IS190" s="275"/>
      <c r="IT190" s="275"/>
      <c r="IU190" s="275"/>
      <c r="IV190" s="275"/>
    </row>
    <row r="191" spans="1:256" ht="14.25" x14ac:dyDescent="0.2">
      <c r="A191" s="237"/>
      <c r="B191" s="237"/>
      <c r="C191" s="237"/>
      <c r="D191" s="255" t="s">
        <v>195</v>
      </c>
      <c r="E191" s="255"/>
      <c r="F191" s="255"/>
      <c r="G191" s="255"/>
      <c r="H191" s="255"/>
      <c r="I191" s="255"/>
      <c r="J191" s="256">
        <f>J182</f>
        <v>555583.43999999994</v>
      </c>
      <c r="K191" s="256"/>
      <c r="L191" s="256">
        <f>L182*0.925</f>
        <v>1711475.05</v>
      </c>
      <c r="M191" s="287"/>
    </row>
    <row r="192" spans="1:256" ht="14.25" x14ac:dyDescent="0.2">
      <c r="A192" s="237"/>
      <c r="B192" s="237"/>
      <c r="C192" s="237"/>
      <c r="D192" s="246" t="s">
        <v>157</v>
      </c>
      <c r="E192" s="255"/>
      <c r="F192" s="255"/>
      <c r="G192" s="255"/>
      <c r="H192" s="255"/>
      <c r="I192" s="255"/>
      <c r="J192" s="261">
        <v>0</v>
      </c>
      <c r="K192" s="256"/>
      <c r="L192" s="261">
        <v>0</v>
      </c>
      <c r="M192" s="287"/>
    </row>
    <row r="193" spans="1:13" ht="14.25" x14ac:dyDescent="0.2">
      <c r="A193" s="237"/>
      <c r="B193" s="237"/>
      <c r="C193" s="237"/>
      <c r="D193" s="255" t="s">
        <v>196</v>
      </c>
      <c r="E193" s="255"/>
      <c r="F193" s="255"/>
      <c r="G193" s="255"/>
      <c r="H193" s="255"/>
      <c r="I193" s="255"/>
      <c r="J193" s="256">
        <f>J190*0.15</f>
        <v>1025.8499999999999</v>
      </c>
      <c r="K193" s="256"/>
      <c r="L193" s="256">
        <f>L190*0.15</f>
        <v>24856.37</v>
      </c>
      <c r="M193" s="287"/>
    </row>
    <row r="194" spans="1:13" ht="15" x14ac:dyDescent="0.25">
      <c r="A194" s="237"/>
      <c r="B194" s="237"/>
      <c r="C194" s="237"/>
      <c r="D194" s="257" t="s">
        <v>199</v>
      </c>
      <c r="E194" s="258"/>
      <c r="F194" s="258"/>
      <c r="G194" s="258"/>
      <c r="H194" s="258"/>
      <c r="I194" s="258"/>
      <c r="J194" s="260">
        <f>J193+J188</f>
        <v>578944.6</v>
      </c>
      <c r="K194" s="258"/>
      <c r="L194" s="260">
        <f>L193+L188</f>
        <v>2143885.2799999998</v>
      </c>
      <c r="M194" s="287"/>
    </row>
    <row r="195" spans="1:13" ht="14.25" x14ac:dyDescent="0.2">
      <c r="A195" s="237"/>
      <c r="B195" s="237"/>
      <c r="C195" s="237"/>
      <c r="D195" s="262"/>
      <c r="E195" s="262"/>
      <c r="F195" s="262"/>
      <c r="G195" s="262"/>
      <c r="H195" s="262"/>
      <c r="I195" s="262"/>
      <c r="J195" s="262"/>
      <c r="K195" s="262"/>
      <c r="L195" s="262"/>
      <c r="M195" s="287"/>
    </row>
    <row r="196" spans="1:13" ht="14.25" x14ac:dyDescent="0.2">
      <c r="A196" s="237"/>
      <c r="B196" s="237"/>
      <c r="C196" s="237"/>
      <c r="D196" s="262"/>
      <c r="E196" s="262"/>
      <c r="F196" s="262"/>
      <c r="G196" s="262"/>
      <c r="H196" s="262"/>
      <c r="I196" s="262"/>
      <c r="J196" s="262"/>
      <c r="K196" s="262"/>
      <c r="L196" s="262"/>
      <c r="M196" s="287"/>
    </row>
    <row r="197" spans="1:13" ht="15" x14ac:dyDescent="0.25">
      <c r="A197" s="237"/>
      <c r="B197" s="237"/>
      <c r="C197" s="237"/>
      <c r="D197" s="263" t="s">
        <v>200</v>
      </c>
      <c r="E197" s="264"/>
      <c r="F197" s="264"/>
      <c r="G197" s="264"/>
      <c r="H197" s="264"/>
      <c r="I197" s="265"/>
      <c r="J197" s="266">
        <f>J194</f>
        <v>578944.6</v>
      </c>
      <c r="K197" s="267"/>
      <c r="L197" s="266">
        <f>L194</f>
        <v>2143885.2799999998</v>
      </c>
      <c r="M197" s="287"/>
    </row>
    <row r="198" spans="1:13" ht="14.25" x14ac:dyDescent="0.2">
      <c r="A198" s="237"/>
      <c r="B198" s="237"/>
      <c r="C198" s="237"/>
      <c r="D198" s="268" t="s">
        <v>201</v>
      </c>
      <c r="E198" s="269"/>
      <c r="F198" s="269"/>
      <c r="G198" s="269"/>
      <c r="H198" s="269"/>
      <c r="I198" s="270"/>
      <c r="J198" s="271">
        <f>J189</f>
        <v>577918.75</v>
      </c>
      <c r="K198" s="272"/>
      <c r="L198" s="271">
        <f>L189</f>
        <v>2119028.91</v>
      </c>
      <c r="M198" s="287"/>
    </row>
    <row r="199" spans="1:13" ht="14.25" x14ac:dyDescent="0.2">
      <c r="A199" s="237"/>
      <c r="B199" s="237"/>
      <c r="C199" s="237"/>
      <c r="D199" s="268" t="s">
        <v>202</v>
      </c>
      <c r="E199" s="269"/>
      <c r="F199" s="269"/>
      <c r="G199" s="269"/>
      <c r="H199" s="269"/>
      <c r="I199" s="270"/>
      <c r="J199" s="271">
        <f>J193</f>
        <v>1025.8499999999999</v>
      </c>
      <c r="K199" s="273"/>
      <c r="L199" s="271">
        <f>L193</f>
        <v>24856.37</v>
      </c>
      <c r="M199" s="287"/>
    </row>
    <row r="200" spans="1:13" ht="14.25" x14ac:dyDescent="0.2">
      <c r="A200" s="237"/>
      <c r="B200" s="237"/>
      <c r="C200" s="237"/>
      <c r="D200" s="268" t="s">
        <v>203</v>
      </c>
      <c r="E200" s="269"/>
      <c r="F200" s="269"/>
      <c r="G200" s="269"/>
      <c r="H200" s="269"/>
      <c r="I200" s="270"/>
      <c r="J200" s="271">
        <v>0</v>
      </c>
      <c r="K200" s="271"/>
      <c r="L200" s="271">
        <v>0</v>
      </c>
      <c r="M200" s="287"/>
    </row>
    <row r="201" spans="1:13" ht="14.25" x14ac:dyDescent="0.2">
      <c r="A201" s="237"/>
      <c r="B201" s="237"/>
      <c r="C201" s="237"/>
      <c r="D201" s="268" t="s">
        <v>204</v>
      </c>
      <c r="E201" s="269"/>
      <c r="F201" s="269"/>
      <c r="G201" s="269"/>
      <c r="H201" s="269"/>
      <c r="I201" s="270"/>
      <c r="J201" s="274">
        <v>0</v>
      </c>
      <c r="K201" s="274"/>
      <c r="L201" s="274">
        <v>0</v>
      </c>
      <c r="M201" s="287"/>
    </row>
    <row r="202" spans="1:13" ht="14.25" x14ac:dyDescent="0.2">
      <c r="A202" s="423"/>
      <c r="B202" s="423"/>
      <c r="C202" s="423"/>
      <c r="D202" s="423"/>
      <c r="E202" s="423"/>
      <c r="F202" s="423"/>
      <c r="G202" s="423"/>
      <c r="H202" s="423"/>
      <c r="I202" s="423"/>
      <c r="J202" s="423"/>
      <c r="K202" s="423"/>
      <c r="L202" s="423"/>
    </row>
    <row r="203" spans="1:13" ht="14.25" x14ac:dyDescent="0.2">
      <c r="A203" s="423"/>
      <c r="B203" s="423"/>
      <c r="C203" s="423"/>
      <c r="D203" s="423"/>
      <c r="E203" s="423"/>
      <c r="F203" s="423"/>
      <c r="G203" s="423"/>
      <c r="H203" s="423"/>
      <c r="I203" s="423"/>
      <c r="J203" s="423"/>
      <c r="K203" s="423"/>
      <c r="L203" s="423"/>
    </row>
    <row r="204" spans="1:13" ht="14.25" x14ac:dyDescent="0.2">
      <c r="A204" s="423"/>
      <c r="B204" s="423"/>
      <c r="C204" s="423"/>
      <c r="D204" s="423"/>
      <c r="E204" s="423"/>
      <c r="F204" s="423"/>
      <c r="G204" s="423"/>
      <c r="H204" s="423"/>
      <c r="I204" s="423"/>
      <c r="J204" s="423"/>
      <c r="K204" s="423"/>
      <c r="L204" s="423"/>
    </row>
  </sheetData>
  <mergeCells count="138">
    <mergeCell ref="I2:L2"/>
    <mergeCell ref="I3:L3"/>
    <mergeCell ref="I4:L4"/>
    <mergeCell ref="I6:L6"/>
    <mergeCell ref="I7:L7"/>
    <mergeCell ref="I8:L8"/>
    <mergeCell ref="C16:H16"/>
    <mergeCell ref="J16:L17"/>
    <mergeCell ref="C17:H17"/>
    <mergeCell ref="C18:H18"/>
    <mergeCell ref="J18:L19"/>
    <mergeCell ref="C19:H19"/>
    <mergeCell ref="J10:L10"/>
    <mergeCell ref="J11:L11"/>
    <mergeCell ref="J12:L13"/>
    <mergeCell ref="C13:H13"/>
    <mergeCell ref="C14:H14"/>
    <mergeCell ref="J14:L15"/>
    <mergeCell ref="C15:H15"/>
    <mergeCell ref="C24:H24"/>
    <mergeCell ref="G25:I25"/>
    <mergeCell ref="J25:L25"/>
    <mergeCell ref="G26:H26"/>
    <mergeCell ref="J26:L26"/>
    <mergeCell ref="J27:L27"/>
    <mergeCell ref="C20:H20"/>
    <mergeCell ref="J20:L21"/>
    <mergeCell ref="C21:H21"/>
    <mergeCell ref="C22:H22"/>
    <mergeCell ref="J22:L23"/>
    <mergeCell ref="C23:H23"/>
    <mergeCell ref="A38:L38"/>
    <mergeCell ref="A39:B39"/>
    <mergeCell ref="C39:C43"/>
    <mergeCell ref="D39:D43"/>
    <mergeCell ref="E39:E43"/>
    <mergeCell ref="F39:F43"/>
    <mergeCell ref="G39:G43"/>
    <mergeCell ref="H39:H43"/>
    <mergeCell ref="J28:L28"/>
    <mergeCell ref="G30:G31"/>
    <mergeCell ref="H30:H31"/>
    <mergeCell ref="I30:J30"/>
    <mergeCell ref="A34:L34"/>
    <mergeCell ref="A35:L35"/>
    <mergeCell ref="A36:L36"/>
    <mergeCell ref="A37:L37"/>
    <mergeCell ref="A54:L54"/>
    <mergeCell ref="I64:J64"/>
    <mergeCell ref="K64:L64"/>
    <mergeCell ref="I69:J69"/>
    <mergeCell ref="K69:L69"/>
    <mergeCell ref="A49:L49"/>
    <mergeCell ref="A50:L50"/>
    <mergeCell ref="A51:L51"/>
    <mergeCell ref="I39:I43"/>
    <mergeCell ref="J39:J43"/>
    <mergeCell ref="K39:K43"/>
    <mergeCell ref="L39:L43"/>
    <mergeCell ref="A40:A43"/>
    <mergeCell ref="B40:B43"/>
    <mergeCell ref="A46:L46"/>
    <mergeCell ref="A47:L47"/>
    <mergeCell ref="A48:L48"/>
    <mergeCell ref="I77:J77"/>
    <mergeCell ref="K77:L77"/>
    <mergeCell ref="I79:J79"/>
    <mergeCell ref="K79:L79"/>
    <mergeCell ref="I81:J81"/>
    <mergeCell ref="K81:L81"/>
    <mergeCell ref="I71:J71"/>
    <mergeCell ref="K71:L71"/>
    <mergeCell ref="I73:J73"/>
    <mergeCell ref="K73:L73"/>
    <mergeCell ref="I75:J75"/>
    <mergeCell ref="K75:L75"/>
    <mergeCell ref="A91:L91"/>
    <mergeCell ref="I93:J93"/>
    <mergeCell ref="K93:L93"/>
    <mergeCell ref="I95:J95"/>
    <mergeCell ref="K95:L95"/>
    <mergeCell ref="I97:J97"/>
    <mergeCell ref="K97:L97"/>
    <mergeCell ref="I83:J83"/>
    <mergeCell ref="K83:L83"/>
    <mergeCell ref="I85:J85"/>
    <mergeCell ref="K85:L85"/>
    <mergeCell ref="A87:H87"/>
    <mergeCell ref="I87:J87"/>
    <mergeCell ref="K87:L87"/>
    <mergeCell ref="I116:J116"/>
    <mergeCell ref="K116:L116"/>
    <mergeCell ref="I127:J127"/>
    <mergeCell ref="K127:L127"/>
    <mergeCell ref="I132:J132"/>
    <mergeCell ref="K132:L132"/>
    <mergeCell ref="I107:J107"/>
    <mergeCell ref="K107:L107"/>
    <mergeCell ref="I112:J112"/>
    <mergeCell ref="K112:L112"/>
    <mergeCell ref="I114:J114"/>
    <mergeCell ref="K114:L114"/>
    <mergeCell ref="I140:J140"/>
    <mergeCell ref="K140:L140"/>
    <mergeCell ref="I142:J142"/>
    <mergeCell ref="K142:L142"/>
    <mergeCell ref="I151:J151"/>
    <mergeCell ref="K151:L151"/>
    <mergeCell ref="I134:J134"/>
    <mergeCell ref="K134:L134"/>
    <mergeCell ref="I136:J136"/>
    <mergeCell ref="K136:L136"/>
    <mergeCell ref="I138:J138"/>
    <mergeCell ref="K138:L138"/>
    <mergeCell ref="K162:L162"/>
    <mergeCell ref="A166:H166"/>
    <mergeCell ref="I166:J166"/>
    <mergeCell ref="K166:L166"/>
    <mergeCell ref="I156:J156"/>
    <mergeCell ref="K156:L156"/>
    <mergeCell ref="I158:J158"/>
    <mergeCell ref="K158:L158"/>
    <mergeCell ref="I160:J160"/>
    <mergeCell ref="K160:L160"/>
    <mergeCell ref="A162:H162"/>
    <mergeCell ref="I162:J162"/>
    <mergeCell ref="I172:J172"/>
    <mergeCell ref="K172:L172"/>
    <mergeCell ref="I173:J173"/>
    <mergeCell ref="K173:L173"/>
    <mergeCell ref="D175:H175"/>
    <mergeCell ref="D176:H176"/>
    <mergeCell ref="I169:J169"/>
    <mergeCell ref="K169:L169"/>
    <mergeCell ref="I170:J170"/>
    <mergeCell ref="K170:L170"/>
    <mergeCell ref="I171:J171"/>
    <mergeCell ref="K171:L171"/>
  </mergeCells>
  <pageMargins left="0.4" right="0.2" top="0.2" bottom="0.4" header="0.2" footer="0.2"/>
  <pageSetup paperSize="9" scale="57" fitToHeight="0" orientation="portrait" r:id="rId1"/>
  <headerFooter>
    <oddHeader>&amp;L&amp;8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V161"/>
  <sheetViews>
    <sheetView view="pageBreakPreview" topLeftCell="A98" zoomScale="85" zoomScaleNormal="70" zoomScaleSheetLayoutView="85" workbookViewId="0">
      <selection activeCell="J116" sqref="J116"/>
    </sheetView>
  </sheetViews>
  <sheetFormatPr defaultRowHeight="12.75" x14ac:dyDescent="0.2"/>
  <cols>
    <col min="1" max="2" width="5.7109375" style="422" customWidth="1"/>
    <col min="3" max="3" width="11.7109375" style="422" customWidth="1"/>
    <col min="4" max="4" width="40.7109375" style="422" customWidth="1"/>
    <col min="5" max="6" width="11.7109375" style="422" customWidth="1"/>
    <col min="7" max="7" width="15" style="422" customWidth="1"/>
    <col min="8" max="8" width="12.7109375" style="422" customWidth="1"/>
    <col min="9" max="9" width="15.7109375" style="422" customWidth="1"/>
    <col min="10" max="12" width="12.7109375" style="422" customWidth="1"/>
    <col min="13" max="13" width="11.85546875" style="422" bestFit="1" customWidth="1"/>
    <col min="14" max="14" width="9.140625" style="422"/>
    <col min="15" max="35" width="0" style="422" hidden="1" customWidth="1"/>
    <col min="36" max="36" width="99.7109375" style="422" hidden="1" customWidth="1"/>
    <col min="37" max="37" width="155.7109375" style="422" hidden="1" customWidth="1"/>
    <col min="38" max="38" width="109.7109375" style="422" hidden="1" customWidth="1"/>
    <col min="39" max="39" width="0" style="422" hidden="1" customWidth="1"/>
    <col min="40" max="40" width="110.7109375" style="422" hidden="1" customWidth="1"/>
    <col min="41" max="42" width="0" style="422" hidden="1" customWidth="1"/>
    <col min="43" max="16384" width="9.140625" style="422"/>
  </cols>
  <sheetData>
    <row r="1" spans="1:12" hidden="1" x14ac:dyDescent="0.2">
      <c r="A1" s="449" t="str">
        <f>[87]Source!B1</f>
        <v>Smeta.RU  (495) 974-1589</v>
      </c>
    </row>
    <row r="2" spans="1:12" ht="15" hidden="1" x14ac:dyDescent="0.25">
      <c r="A2" s="423"/>
      <c r="B2" s="423"/>
      <c r="C2" s="450"/>
      <c r="D2" s="450"/>
      <c r="E2" s="450"/>
      <c r="F2" s="423"/>
      <c r="G2" s="423"/>
      <c r="H2" s="423"/>
      <c r="I2" s="713" t="s">
        <v>0</v>
      </c>
      <c r="J2" s="713"/>
      <c r="K2" s="713"/>
      <c r="L2" s="713"/>
    </row>
    <row r="3" spans="1:12" ht="14.25" hidden="1" x14ac:dyDescent="0.2">
      <c r="A3" s="423"/>
      <c r="B3" s="423"/>
      <c r="C3" s="423"/>
      <c r="D3" s="423"/>
      <c r="E3" s="423"/>
      <c r="F3" s="423"/>
      <c r="G3" s="423"/>
      <c r="H3" s="423"/>
      <c r="I3" s="713" t="s">
        <v>1</v>
      </c>
      <c r="J3" s="713"/>
      <c r="K3" s="713"/>
      <c r="L3" s="713"/>
    </row>
    <row r="4" spans="1:12" ht="14.25" hidden="1" x14ac:dyDescent="0.2">
      <c r="A4" s="423"/>
      <c r="B4" s="423"/>
      <c r="C4" s="423"/>
      <c r="D4" s="423"/>
      <c r="E4" s="423"/>
      <c r="F4" s="423"/>
      <c r="G4" s="423"/>
      <c r="H4" s="423"/>
      <c r="I4" s="713" t="s">
        <v>2</v>
      </c>
      <c r="J4" s="713"/>
      <c r="K4" s="713"/>
      <c r="L4" s="713"/>
    </row>
    <row r="5" spans="1:12" ht="14.25" hidden="1" x14ac:dyDescent="0.2">
      <c r="A5" s="423"/>
      <c r="B5" s="423"/>
      <c r="C5" s="423"/>
      <c r="D5" s="423"/>
      <c r="E5" s="423"/>
      <c r="F5" s="423"/>
      <c r="G5" s="423"/>
      <c r="H5" s="423"/>
      <c r="I5" s="423"/>
      <c r="J5" s="423"/>
      <c r="K5" s="423"/>
      <c r="L5" s="423"/>
    </row>
    <row r="6" spans="1:12" ht="14.25" hidden="1" x14ac:dyDescent="0.2">
      <c r="A6" s="423"/>
      <c r="B6" s="423"/>
      <c r="C6" s="423"/>
      <c r="D6" s="423"/>
      <c r="E6" s="423"/>
      <c r="F6" s="423"/>
      <c r="G6" s="423"/>
      <c r="H6" s="423"/>
      <c r="I6" s="423"/>
      <c r="J6" s="690" t="s">
        <v>3</v>
      </c>
      <c r="K6" s="690"/>
      <c r="L6" s="690"/>
    </row>
    <row r="7" spans="1:12" ht="14.25" hidden="1" x14ac:dyDescent="0.2">
      <c r="A7" s="423"/>
      <c r="B7" s="423"/>
      <c r="C7" s="423"/>
      <c r="D7" s="423"/>
      <c r="E7" s="423"/>
      <c r="F7" s="423"/>
      <c r="G7" s="423"/>
      <c r="H7" s="423"/>
      <c r="I7" s="436" t="s">
        <v>4</v>
      </c>
      <c r="J7" s="712" t="s">
        <v>5</v>
      </c>
      <c r="K7" s="712"/>
      <c r="L7" s="712"/>
    </row>
    <row r="8" spans="1:12" ht="14.25" hidden="1" x14ac:dyDescent="0.2">
      <c r="A8" s="423"/>
      <c r="B8" s="423"/>
      <c r="C8" s="423"/>
      <c r="D8" s="423"/>
      <c r="E8" s="423"/>
      <c r="F8" s="423"/>
      <c r="G8" s="423"/>
      <c r="H8" s="423"/>
      <c r="I8" s="423"/>
      <c r="J8" s="711" t="s">
        <v>6</v>
      </c>
      <c r="K8" s="711"/>
      <c r="L8" s="711"/>
    </row>
    <row r="9" spans="1:12" ht="14.25" hidden="1" x14ac:dyDescent="0.2">
      <c r="A9" s="423" t="s">
        <v>218</v>
      </c>
      <c r="B9" s="423"/>
      <c r="C9" s="689" t="s">
        <v>219</v>
      </c>
      <c r="D9" s="689"/>
      <c r="E9" s="689"/>
      <c r="F9" s="689"/>
      <c r="G9" s="689"/>
      <c r="H9" s="689"/>
      <c r="I9" s="436" t="s">
        <v>9</v>
      </c>
      <c r="J9" s="711"/>
      <c r="K9" s="711"/>
      <c r="L9" s="711"/>
    </row>
    <row r="10" spans="1:12" ht="14.25" hidden="1" x14ac:dyDescent="0.2">
      <c r="A10" s="423"/>
      <c r="B10" s="423"/>
      <c r="C10" s="699" t="s">
        <v>10</v>
      </c>
      <c r="D10" s="699"/>
      <c r="E10" s="699"/>
      <c r="F10" s="699"/>
      <c r="G10" s="699"/>
      <c r="H10" s="699"/>
      <c r="I10" s="423"/>
      <c r="J10" s="704" t="s">
        <v>11</v>
      </c>
      <c r="K10" s="705"/>
      <c r="L10" s="706"/>
    </row>
    <row r="11" spans="1:12" ht="14.25" hidden="1" x14ac:dyDescent="0.2">
      <c r="A11" s="423" t="s">
        <v>220</v>
      </c>
      <c r="B11" s="423"/>
      <c r="C11" s="689" t="s">
        <v>221</v>
      </c>
      <c r="D11" s="689"/>
      <c r="E11" s="689"/>
      <c r="F11" s="689"/>
      <c r="G11" s="689"/>
      <c r="H11" s="689"/>
      <c r="I11" s="436" t="s">
        <v>9</v>
      </c>
      <c r="J11" s="707"/>
      <c r="K11" s="708"/>
      <c r="L11" s="709"/>
    </row>
    <row r="12" spans="1:12" ht="14.25" hidden="1" x14ac:dyDescent="0.2">
      <c r="A12" s="423"/>
      <c r="B12" s="423"/>
      <c r="C12" s="699" t="s">
        <v>10</v>
      </c>
      <c r="D12" s="699"/>
      <c r="E12" s="699"/>
      <c r="F12" s="699"/>
      <c r="G12" s="699"/>
      <c r="H12" s="699"/>
      <c r="I12" s="423"/>
      <c r="J12" s="711">
        <v>29478604</v>
      </c>
      <c r="K12" s="711"/>
      <c r="L12" s="711"/>
    </row>
    <row r="13" spans="1:12" ht="14.25" hidden="1" x14ac:dyDescent="0.2">
      <c r="A13" s="423" t="s">
        <v>15</v>
      </c>
      <c r="B13" s="423"/>
      <c r="C13" s="689" t="s">
        <v>222</v>
      </c>
      <c r="D13" s="689"/>
      <c r="E13" s="689"/>
      <c r="F13" s="689"/>
      <c r="G13" s="689"/>
      <c r="H13" s="689"/>
      <c r="I13" s="436" t="s">
        <v>9</v>
      </c>
      <c r="J13" s="711"/>
      <c r="K13" s="711"/>
      <c r="L13" s="711"/>
    </row>
    <row r="14" spans="1:12" ht="14.25" hidden="1" x14ac:dyDescent="0.2">
      <c r="A14" s="423"/>
      <c r="B14" s="423"/>
      <c r="C14" s="699" t="s">
        <v>10</v>
      </c>
      <c r="D14" s="699"/>
      <c r="E14" s="699"/>
      <c r="F14" s="699"/>
      <c r="G14" s="699"/>
      <c r="H14" s="699"/>
      <c r="I14" s="423"/>
      <c r="J14" s="704" t="s">
        <v>132</v>
      </c>
      <c r="K14" s="705"/>
      <c r="L14" s="706"/>
    </row>
    <row r="15" spans="1:12" ht="30.75" hidden="1" customHeight="1" x14ac:dyDescent="0.2">
      <c r="A15" s="423" t="s">
        <v>185</v>
      </c>
      <c r="B15" s="423"/>
      <c r="C15" s="689" t="s">
        <v>213</v>
      </c>
      <c r="D15" s="689"/>
      <c r="E15" s="689"/>
      <c r="F15" s="689"/>
      <c r="G15" s="689"/>
      <c r="H15" s="689"/>
      <c r="I15" s="436" t="s">
        <v>9</v>
      </c>
      <c r="J15" s="707"/>
      <c r="K15" s="708"/>
      <c r="L15" s="709"/>
    </row>
    <row r="16" spans="1:12" ht="14.25" hidden="1" x14ac:dyDescent="0.2">
      <c r="A16" s="423"/>
      <c r="B16" s="423"/>
      <c r="C16" s="699" t="s">
        <v>10</v>
      </c>
      <c r="D16" s="699"/>
      <c r="E16" s="699"/>
      <c r="F16" s="699"/>
      <c r="G16" s="699"/>
      <c r="H16" s="699"/>
      <c r="I16" s="423"/>
      <c r="J16" s="472"/>
      <c r="K16" s="473"/>
      <c r="L16" s="474"/>
    </row>
    <row r="17" spans="1:36" ht="29.25" hidden="1" customHeight="1" x14ac:dyDescent="0.2">
      <c r="A17" s="423" t="s">
        <v>17</v>
      </c>
      <c r="B17" s="423"/>
      <c r="C17" s="710" t="s">
        <v>223</v>
      </c>
      <c r="D17" s="710"/>
      <c r="E17" s="710"/>
      <c r="F17" s="710"/>
      <c r="G17" s="710"/>
      <c r="H17" s="710"/>
      <c r="I17" s="423"/>
      <c r="J17" s="475"/>
      <c r="K17" s="476"/>
      <c r="L17" s="477"/>
      <c r="AJ17" s="451" t="s">
        <v>224</v>
      </c>
    </row>
    <row r="18" spans="1:36" ht="14.25" hidden="1" x14ac:dyDescent="0.2">
      <c r="A18" s="423"/>
      <c r="B18" s="423"/>
      <c r="C18" s="699" t="s">
        <v>20</v>
      </c>
      <c r="D18" s="699"/>
      <c r="E18" s="699"/>
      <c r="F18" s="699"/>
      <c r="G18" s="699"/>
      <c r="H18" s="699"/>
      <c r="I18" s="423"/>
      <c r="J18" s="690" t="str">
        <f>IF([80]Source!CP15 &lt;&gt; "", [80]Source!CP15, "")</f>
        <v/>
      </c>
      <c r="K18" s="690"/>
      <c r="L18" s="690"/>
    </row>
    <row r="19" spans="1:36" ht="27" hidden="1" customHeight="1" x14ac:dyDescent="0.2">
      <c r="A19" s="423" t="s">
        <v>21</v>
      </c>
      <c r="B19" s="423"/>
      <c r="C19" s="710" t="s">
        <v>223</v>
      </c>
      <c r="D19" s="710"/>
      <c r="E19" s="710"/>
      <c r="F19" s="710"/>
      <c r="G19" s="710"/>
      <c r="H19" s="710"/>
      <c r="I19" s="423"/>
      <c r="J19" s="690"/>
      <c r="K19" s="690"/>
      <c r="L19" s="690"/>
      <c r="AJ19" s="452" t="str">
        <f>IF([80]Source!G12&lt;&gt;"Новый объект", [80]Source!G12, "")</f>
        <v>12-4017-Л-Р-8.3.1-ВК-СМ1 Инженерные системы. Тонельный водопровод и водоотвод</v>
      </c>
    </row>
    <row r="20" spans="1:36" ht="14.25" hidden="1" x14ac:dyDescent="0.2">
      <c r="A20" s="423"/>
      <c r="B20" s="423"/>
      <c r="C20" s="699" t="s">
        <v>22</v>
      </c>
      <c r="D20" s="699"/>
      <c r="E20" s="699"/>
      <c r="F20" s="699"/>
      <c r="G20" s="699"/>
      <c r="H20" s="699"/>
      <c r="I20" s="423"/>
      <c r="J20" s="423"/>
      <c r="K20" s="423"/>
      <c r="L20" s="423"/>
    </row>
    <row r="21" spans="1:36" ht="14.25" hidden="1" x14ac:dyDescent="0.2">
      <c r="A21" s="423"/>
      <c r="B21" s="423"/>
      <c r="C21" s="423"/>
      <c r="D21" s="423"/>
      <c r="E21" s="423"/>
      <c r="F21" s="423"/>
      <c r="G21" s="700" t="s">
        <v>23</v>
      </c>
      <c r="H21" s="700"/>
      <c r="I21" s="701"/>
      <c r="J21" s="690" t="str">
        <f>IF([80]Source!CQ15 &lt;&gt; "", [80]Source!CQ15, "")</f>
        <v/>
      </c>
      <c r="K21" s="690"/>
      <c r="L21" s="690"/>
    </row>
    <row r="22" spans="1:36" ht="14.25" hidden="1" x14ac:dyDescent="0.2">
      <c r="A22" s="423"/>
      <c r="B22" s="423"/>
      <c r="C22" s="423"/>
      <c r="D22" s="423"/>
      <c r="E22" s="423"/>
      <c r="F22" s="423"/>
      <c r="G22" s="700" t="s">
        <v>24</v>
      </c>
      <c r="H22" s="702"/>
      <c r="I22" s="453" t="s">
        <v>25</v>
      </c>
      <c r="J22" s="690" t="s">
        <v>225</v>
      </c>
      <c r="K22" s="690"/>
      <c r="L22" s="690"/>
    </row>
    <row r="23" spans="1:36" ht="14.25" hidden="1" x14ac:dyDescent="0.2">
      <c r="A23" s="423"/>
      <c r="B23" s="423"/>
      <c r="C23" s="423"/>
      <c r="D23" s="423"/>
      <c r="E23" s="423"/>
      <c r="F23" s="423"/>
      <c r="G23" s="423"/>
      <c r="H23" s="423"/>
      <c r="I23" s="454" t="s">
        <v>26</v>
      </c>
      <c r="J23" s="703">
        <v>43713</v>
      </c>
      <c r="K23" s="703"/>
      <c r="L23" s="703"/>
    </row>
    <row r="24" spans="1:36" ht="14.25" hidden="1" x14ac:dyDescent="0.2">
      <c r="A24" s="423"/>
      <c r="B24" s="423"/>
      <c r="C24" s="423"/>
      <c r="D24" s="423"/>
      <c r="E24" s="423"/>
      <c r="F24" s="423"/>
      <c r="G24" s="423"/>
      <c r="H24" s="423"/>
      <c r="I24" s="436" t="s">
        <v>27</v>
      </c>
      <c r="J24" s="690" t="str">
        <f>IF([80]Source!CT15 &lt;&gt; "", [80]Source!CT15, "")</f>
        <v/>
      </c>
      <c r="K24" s="690"/>
      <c r="L24" s="690"/>
    </row>
    <row r="25" spans="1:36" ht="14.25" hidden="1" x14ac:dyDescent="0.2">
      <c r="A25" s="423"/>
      <c r="B25" s="423"/>
      <c r="C25" s="423"/>
      <c r="D25" s="423"/>
      <c r="E25" s="423"/>
      <c r="F25" s="423"/>
      <c r="G25" s="423"/>
      <c r="H25" s="423"/>
      <c r="I25" s="423"/>
      <c r="J25" s="423"/>
      <c r="K25" s="423"/>
      <c r="L25" s="423"/>
    </row>
    <row r="26" spans="1:36" ht="14.25" hidden="1" x14ac:dyDescent="0.2">
      <c r="A26" s="423"/>
      <c r="B26" s="423"/>
      <c r="C26" s="423"/>
      <c r="D26" s="423"/>
      <c r="E26" s="423"/>
      <c r="F26" s="423"/>
      <c r="G26" s="691" t="s">
        <v>28</v>
      </c>
      <c r="H26" s="693" t="s">
        <v>29</v>
      </c>
      <c r="I26" s="693" t="s">
        <v>30</v>
      </c>
      <c r="J26" s="695"/>
      <c r="K26" s="423"/>
      <c r="L26" s="423"/>
    </row>
    <row r="27" spans="1:36" ht="14.25" hidden="1" x14ac:dyDescent="0.2">
      <c r="A27" s="423"/>
      <c r="B27" s="423"/>
      <c r="C27" s="423"/>
      <c r="D27" s="423"/>
      <c r="E27" s="423"/>
      <c r="F27" s="423"/>
      <c r="G27" s="692"/>
      <c r="H27" s="694"/>
      <c r="I27" s="438" t="s">
        <v>31</v>
      </c>
      <c r="J27" s="455" t="s">
        <v>32</v>
      </c>
      <c r="K27" s="423"/>
      <c r="L27" s="423"/>
    </row>
    <row r="28" spans="1:36" ht="14.25" hidden="1" x14ac:dyDescent="0.2">
      <c r="A28" s="423"/>
      <c r="B28" s="423"/>
      <c r="C28" s="423"/>
      <c r="D28" s="423"/>
      <c r="E28" s="423"/>
      <c r="F28" s="423"/>
      <c r="G28" s="424">
        <v>44086</v>
      </c>
      <c r="H28" s="424">
        <v>44104</v>
      </c>
      <c r="I28" s="424">
        <v>44075</v>
      </c>
      <c r="J28" s="456">
        <f>H28</f>
        <v>44104</v>
      </c>
      <c r="K28" s="423"/>
      <c r="L28" s="423"/>
    </row>
    <row r="29" spans="1:36" ht="14.25" hidden="1" x14ac:dyDescent="0.2">
      <c r="A29" s="423"/>
      <c r="B29" s="423"/>
      <c r="C29" s="423"/>
      <c r="D29" s="423"/>
      <c r="E29" s="423"/>
      <c r="F29" s="423"/>
      <c r="G29" s="423"/>
      <c r="H29" s="423"/>
      <c r="I29" s="423"/>
      <c r="J29" s="423"/>
      <c r="K29" s="423"/>
      <c r="L29" s="423"/>
    </row>
    <row r="30" spans="1:36" ht="18" hidden="1" x14ac:dyDescent="0.25">
      <c r="A30" s="696" t="s">
        <v>34</v>
      </c>
      <c r="B30" s="696"/>
      <c r="C30" s="696"/>
      <c r="D30" s="696"/>
      <c r="E30" s="696"/>
      <c r="F30" s="696"/>
      <c r="G30" s="696"/>
      <c r="H30" s="696"/>
      <c r="I30" s="696"/>
      <c r="J30" s="696"/>
      <c r="K30" s="696"/>
      <c r="L30" s="696"/>
    </row>
    <row r="31" spans="1:36" ht="18" hidden="1" x14ac:dyDescent="0.25">
      <c r="A31" s="696" t="s">
        <v>35</v>
      </c>
      <c r="B31" s="696"/>
      <c r="C31" s="696"/>
      <c r="D31" s="696"/>
      <c r="E31" s="696"/>
      <c r="F31" s="696"/>
      <c r="G31" s="696"/>
      <c r="H31" s="696"/>
      <c r="I31" s="696"/>
      <c r="J31" s="696"/>
      <c r="K31" s="696"/>
      <c r="L31" s="696"/>
    </row>
    <row r="32" spans="1:36" ht="15" x14ac:dyDescent="0.25">
      <c r="A32" s="697" t="s">
        <v>390</v>
      </c>
      <c r="B32" s="697"/>
      <c r="C32" s="697"/>
      <c r="D32" s="697"/>
      <c r="E32" s="697"/>
      <c r="F32" s="697"/>
      <c r="G32" s="697"/>
      <c r="H32" s="697"/>
      <c r="I32" s="697"/>
      <c r="J32" s="697"/>
      <c r="K32" s="697"/>
      <c r="L32" s="697"/>
    </row>
    <row r="33" spans="1:37" ht="15" x14ac:dyDescent="0.2">
      <c r="A33" s="698" t="s">
        <v>253</v>
      </c>
      <c r="B33" s="698"/>
      <c r="C33" s="698"/>
      <c r="D33" s="698"/>
      <c r="E33" s="698"/>
      <c r="F33" s="698"/>
      <c r="G33" s="698"/>
      <c r="H33" s="698"/>
      <c r="I33" s="698"/>
      <c r="J33" s="698"/>
      <c r="K33" s="698"/>
      <c r="L33" s="698"/>
    </row>
    <row r="34" spans="1:37" ht="28.5" x14ac:dyDescent="0.2">
      <c r="A34" s="689" t="s">
        <v>415</v>
      </c>
      <c r="B34" s="689"/>
      <c r="C34" s="689"/>
      <c r="D34" s="689"/>
      <c r="E34" s="689"/>
      <c r="F34" s="689"/>
      <c r="G34" s="689"/>
      <c r="H34" s="689"/>
      <c r="I34" s="689"/>
      <c r="J34" s="689"/>
      <c r="K34" s="689"/>
      <c r="L34" s="689"/>
      <c r="M34" s="457" t="s">
        <v>416</v>
      </c>
      <c r="AK34" s="451" t="s">
        <v>226</v>
      </c>
    </row>
    <row r="35" spans="1:37" ht="14.25" x14ac:dyDescent="0.2">
      <c r="A35" s="687" t="s">
        <v>36</v>
      </c>
      <c r="B35" s="687"/>
      <c r="C35" s="687" t="s">
        <v>37</v>
      </c>
      <c r="D35" s="687" t="s">
        <v>38</v>
      </c>
      <c r="E35" s="687" t="s">
        <v>39</v>
      </c>
      <c r="F35" s="687" t="s">
        <v>40</v>
      </c>
      <c r="G35" s="687" t="s">
        <v>41</v>
      </c>
      <c r="H35" s="684" t="s">
        <v>42</v>
      </c>
      <c r="I35" s="684" t="s">
        <v>43</v>
      </c>
      <c r="J35" s="687" t="s">
        <v>227</v>
      </c>
      <c r="K35" s="687" t="s">
        <v>44</v>
      </c>
      <c r="L35" s="687" t="s">
        <v>45</v>
      </c>
    </row>
    <row r="36" spans="1:37" x14ac:dyDescent="0.2">
      <c r="A36" s="684" t="s">
        <v>46</v>
      </c>
      <c r="B36" s="684" t="s">
        <v>47</v>
      </c>
      <c r="C36" s="687"/>
      <c r="D36" s="687"/>
      <c r="E36" s="687"/>
      <c r="F36" s="687"/>
      <c r="G36" s="687"/>
      <c r="H36" s="685"/>
      <c r="I36" s="685"/>
      <c r="J36" s="687"/>
      <c r="K36" s="687"/>
      <c r="L36" s="687"/>
    </row>
    <row r="37" spans="1:37" x14ac:dyDescent="0.2">
      <c r="A37" s="685"/>
      <c r="B37" s="685"/>
      <c r="C37" s="687"/>
      <c r="D37" s="687"/>
      <c r="E37" s="687"/>
      <c r="F37" s="687"/>
      <c r="G37" s="687"/>
      <c r="H37" s="685"/>
      <c r="I37" s="685"/>
      <c r="J37" s="687"/>
      <c r="K37" s="687"/>
      <c r="L37" s="687"/>
    </row>
    <row r="38" spans="1:37" ht="20.100000000000001" customHeight="1" x14ac:dyDescent="0.2">
      <c r="A38" s="685"/>
      <c r="B38" s="685"/>
      <c r="C38" s="687"/>
      <c r="D38" s="687"/>
      <c r="E38" s="687"/>
      <c r="F38" s="687"/>
      <c r="G38" s="687"/>
      <c r="H38" s="685"/>
      <c r="I38" s="685"/>
      <c r="J38" s="687"/>
      <c r="K38" s="687"/>
      <c r="L38" s="687"/>
    </row>
    <row r="39" spans="1:37" ht="20.100000000000001" customHeight="1" x14ac:dyDescent="0.2">
      <c r="A39" s="686"/>
      <c r="B39" s="686"/>
      <c r="C39" s="687"/>
      <c r="D39" s="687"/>
      <c r="E39" s="687"/>
      <c r="F39" s="687"/>
      <c r="G39" s="687"/>
      <c r="H39" s="686"/>
      <c r="I39" s="686"/>
      <c r="J39" s="687"/>
      <c r="K39" s="687"/>
      <c r="L39" s="687"/>
    </row>
    <row r="40" spans="1:37" ht="14.25" x14ac:dyDescent="0.2">
      <c r="A40" s="425">
        <v>1</v>
      </c>
      <c r="B40" s="425">
        <v>2</v>
      </c>
      <c r="C40" s="425">
        <v>3</v>
      </c>
      <c r="D40" s="425">
        <v>4</v>
      </c>
      <c r="E40" s="425">
        <v>5</v>
      </c>
      <c r="F40" s="425">
        <v>6</v>
      </c>
      <c r="G40" s="425">
        <v>7</v>
      </c>
      <c r="H40" s="425">
        <v>8</v>
      </c>
      <c r="I40" s="425">
        <v>9</v>
      </c>
      <c r="J40" s="425">
        <v>10</v>
      </c>
      <c r="K40" s="425">
        <v>11</v>
      </c>
      <c r="L40" s="425">
        <v>12</v>
      </c>
    </row>
    <row r="42" spans="1:37" ht="15.75" x14ac:dyDescent="0.25">
      <c r="A42" s="688" t="s">
        <v>48</v>
      </c>
      <c r="B42" s="688"/>
      <c r="C42" s="688"/>
      <c r="D42" s="688"/>
      <c r="E42" s="688"/>
      <c r="F42" s="688"/>
      <c r="G42" s="688"/>
      <c r="H42" s="688"/>
      <c r="I42" s="688"/>
      <c r="J42" s="688"/>
      <c r="K42" s="688"/>
      <c r="L42" s="688"/>
    </row>
    <row r="43" spans="1:37" ht="15.75" x14ac:dyDescent="0.25">
      <c r="A43" s="688" t="s">
        <v>388</v>
      </c>
      <c r="B43" s="688"/>
      <c r="C43" s="688"/>
      <c r="D43" s="688"/>
      <c r="E43" s="688"/>
      <c r="F43" s="688"/>
      <c r="G43" s="688"/>
      <c r="H43" s="688"/>
      <c r="I43" s="688"/>
      <c r="J43" s="688"/>
      <c r="K43" s="688"/>
      <c r="L43" s="688"/>
    </row>
    <row r="44" spans="1:37" ht="15.75" x14ac:dyDescent="0.25">
      <c r="A44" s="688" t="s">
        <v>389</v>
      </c>
      <c r="B44" s="688"/>
      <c r="C44" s="688"/>
      <c r="D44" s="688"/>
      <c r="E44" s="688"/>
      <c r="F44" s="688"/>
      <c r="G44" s="688"/>
      <c r="H44" s="688"/>
      <c r="I44" s="688"/>
      <c r="J44" s="688"/>
      <c r="K44" s="688"/>
      <c r="L44" s="688"/>
    </row>
    <row r="45" spans="1:37" ht="15.75" hidden="1" x14ac:dyDescent="0.25">
      <c r="A45" s="680" t="s">
        <v>49</v>
      </c>
      <c r="B45" s="681"/>
      <c r="C45" s="681"/>
      <c r="D45" s="681"/>
      <c r="E45" s="681"/>
      <c r="F45" s="681"/>
      <c r="G45" s="681"/>
      <c r="H45" s="681"/>
      <c r="I45" s="681"/>
      <c r="J45" s="681"/>
      <c r="K45" s="681"/>
      <c r="L45" s="682"/>
    </row>
    <row r="46" spans="1:37" ht="15.75" hidden="1" x14ac:dyDescent="0.2">
      <c r="A46" s="683" t="s">
        <v>50</v>
      </c>
      <c r="B46" s="683"/>
      <c r="C46" s="683"/>
      <c r="D46" s="683"/>
      <c r="E46" s="683"/>
      <c r="F46" s="683"/>
      <c r="G46" s="683"/>
      <c r="H46" s="683"/>
      <c r="I46" s="683"/>
      <c r="J46" s="683"/>
      <c r="K46" s="683"/>
      <c r="L46" s="683"/>
    </row>
    <row r="47" spans="1:37" ht="15.75" hidden="1" x14ac:dyDescent="0.2">
      <c r="A47" s="683" t="s">
        <v>51</v>
      </c>
      <c r="B47" s="683"/>
      <c r="C47" s="683"/>
      <c r="D47" s="683"/>
      <c r="E47" s="683"/>
      <c r="F47" s="683"/>
      <c r="G47" s="683"/>
      <c r="H47" s="683"/>
      <c r="I47" s="683"/>
      <c r="J47" s="683"/>
      <c r="K47" s="683"/>
      <c r="L47" s="683"/>
    </row>
    <row r="48" spans="1:37" ht="14.25" x14ac:dyDescent="0.2">
      <c r="A48" s="458" t="s">
        <v>379</v>
      </c>
      <c r="B48" s="426"/>
      <c r="C48" s="426"/>
      <c r="D48" s="426"/>
      <c r="E48" s="426"/>
      <c r="F48" s="426"/>
      <c r="G48" s="426"/>
      <c r="H48" s="426"/>
      <c r="I48" s="426"/>
      <c r="J48" s="426"/>
      <c r="K48" s="426"/>
      <c r="L48" s="426"/>
    </row>
    <row r="50" spans="1:37" ht="33" x14ac:dyDescent="0.25">
      <c r="A50" s="679" t="str">
        <f>CONCATENATE("Раздел: ",IF([87]Source!G26&lt;&gt;"Новый раздел", [87]Source!G26, ""))</f>
        <v>Раздел: ТОННЕЛИ ЗА СТ. "АМИНЬЕВСКОЕ ШОССЕ". ХОЗЯЙСТВЕННО-ПИТЬЕВОЙ, ПРОИЗВОДСТВЕННЫЙ И ПРОТИВОПОЖАРНЫЙ ТОННЕЛЬНЫЙ ВОДОПРОВОД В1Т</v>
      </c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AK50" s="459" t="str">
        <f>CONCATENATE("Раздел: ",IF([87]Source!G26&lt;&gt;"Новый раздел", [87]Source!G26, ""))</f>
        <v>Раздел: ТОННЕЛИ ЗА СТ. "АМИНЬЕВСКОЕ ШОССЕ". ХОЗЯЙСТВЕННО-ПИТЬЕВОЙ, ПРОИЗВОДСТВЕННЫЙ И ПРОТИВОПОЖАРНЫЙ ТОННЕЛЬНЫЙ ВОДОПРОВОД В1Т</v>
      </c>
    </row>
    <row r="51" spans="1:37" ht="65.25" x14ac:dyDescent="0.2">
      <c r="A51" s="400">
        <v>1</v>
      </c>
      <c r="B51" s="400">
        <v>44</v>
      </c>
      <c r="C51" s="460" t="s">
        <v>282</v>
      </c>
      <c r="D51" s="460" t="s">
        <v>283</v>
      </c>
      <c r="E51" s="428" t="str">
        <f>[87]Source!H127</f>
        <v>1 т фасонных частей</v>
      </c>
      <c r="F51" s="436">
        <f>[87]Source!I127</f>
        <v>3.0000000000000001E-3</v>
      </c>
      <c r="G51" s="461"/>
      <c r="H51" s="427"/>
      <c r="I51" s="436"/>
      <c r="J51" s="437"/>
      <c r="K51" s="436"/>
      <c r="L51" s="437"/>
      <c r="Q51" s="422">
        <f>ROUND(([87]Source!DN127/100)*ROUND((ROUND(([87]Source!AF127*[87]Source!AV127*[87]Source!I127),2)),2), 2)</f>
        <v>31.48</v>
      </c>
      <c r="R51" s="422">
        <f>[87]Source!X127</f>
        <v>607.92999999999995</v>
      </c>
      <c r="S51" s="422">
        <f>ROUND(([87]Source!DO127/100)*ROUND((ROUND(([87]Source!AF127*[87]Source!AV127*[87]Source!I127),2)),2), 2)</f>
        <v>26.75</v>
      </c>
      <c r="T51" s="422">
        <f>[87]Source!Y127</f>
        <v>303.97000000000003</v>
      </c>
      <c r="U51" s="422">
        <f>ROUND((175/100)*ROUND((ROUND(([87]Source!AE127*[87]Source!AV127*[87]Source!I127),2)),2), 2)</f>
        <v>21.67</v>
      </c>
      <c r="V51" s="422">
        <f>ROUND((157/100)*ROUND(ROUND((ROUND(([87]Source!AE127*[87]Source!AV127*[87]Source!I127),2)*[87]Source!BS127),2), 2), 2)</f>
        <v>470.95</v>
      </c>
    </row>
    <row r="52" spans="1:37" ht="14.25" x14ac:dyDescent="0.2">
      <c r="A52" s="400"/>
      <c r="B52" s="400"/>
      <c r="C52" s="460"/>
      <c r="D52" s="460" t="s">
        <v>52</v>
      </c>
      <c r="E52" s="428"/>
      <c r="F52" s="436"/>
      <c r="G52" s="461">
        <f>[87]Source!AO127</f>
        <v>4427.83</v>
      </c>
      <c r="H52" s="427" t="str">
        <f>[87]Source!DG127</f>
        <v>)*1,67</v>
      </c>
      <c r="I52" s="436">
        <f>[87]Source!AV127</f>
        <v>1.0669999999999999</v>
      </c>
      <c r="J52" s="437">
        <f>ROUND((ROUND(([87]Source!AF127*[87]Source!AV127*[87]Source!I127),2)),2)</f>
        <v>23.67</v>
      </c>
      <c r="K52" s="436">
        <f>IF([87]Source!BA127&lt;&gt; 0, [87]Source!BA127, 1)</f>
        <v>24.23</v>
      </c>
      <c r="L52" s="437">
        <v>573.52</v>
      </c>
      <c r="W52" s="422">
        <f>J52</f>
        <v>23.67</v>
      </c>
    </row>
    <row r="53" spans="1:37" ht="14.25" x14ac:dyDescent="0.2">
      <c r="A53" s="400"/>
      <c r="B53" s="400"/>
      <c r="C53" s="460"/>
      <c r="D53" s="460" t="s">
        <v>53</v>
      </c>
      <c r="E53" s="428"/>
      <c r="F53" s="436"/>
      <c r="G53" s="461">
        <f>[87]Source!AM127</f>
        <v>10124.379999999999</v>
      </c>
      <c r="H53" s="427">
        <f>[87]Source!DE127</f>
        <v>0</v>
      </c>
      <c r="I53" s="436">
        <f>[87]Source!AV127</f>
        <v>1.0669999999999999</v>
      </c>
      <c r="J53" s="437">
        <f>(ROUND((ROUND((([87]Source!ET127)*[87]Source!AV127*[87]Source!I127),2)),2)+ROUND((ROUND((([87]Source!AE127-([87]Source!EU127))*[87]Source!AV127*[87]Source!I127),2)),2))-J62</f>
        <v>32.409999999999997</v>
      </c>
      <c r="K53" s="436">
        <f>IF([87]Source!BB127&lt;&gt; 0, [87]Source!BB127, 1)</f>
        <v>9.15</v>
      </c>
      <c r="L53" s="437">
        <v>296.52999999999997</v>
      </c>
    </row>
    <row r="54" spans="1:37" ht="14.25" x14ac:dyDescent="0.2">
      <c r="A54" s="400"/>
      <c r="B54" s="400"/>
      <c r="C54" s="460"/>
      <c r="D54" s="460" t="s">
        <v>54</v>
      </c>
      <c r="E54" s="428"/>
      <c r="F54" s="436"/>
      <c r="G54" s="461">
        <f>[87]Source!AN127</f>
        <v>2315.9499999999998</v>
      </c>
      <c r="H54" s="427">
        <f>[87]Source!DE127</f>
        <v>0</v>
      </c>
      <c r="I54" s="436">
        <f>[87]Source!AV127</f>
        <v>1.0669999999999999</v>
      </c>
      <c r="J54" s="435">
        <f>ROUND((ROUND(([87]Source!AE127*[87]Source!AV127*[87]Source!I127),2)),2)-J63</f>
        <v>7.41</v>
      </c>
      <c r="K54" s="436">
        <f>IF([87]Source!BS127&lt;&gt; 0, [87]Source!BS127, 1)</f>
        <v>24.23</v>
      </c>
      <c r="L54" s="435">
        <v>179.62</v>
      </c>
      <c r="W54" s="422">
        <f>J54</f>
        <v>7.41</v>
      </c>
    </row>
    <row r="55" spans="1:37" ht="14.25" x14ac:dyDescent="0.2">
      <c r="A55" s="400"/>
      <c r="B55" s="400"/>
      <c r="C55" s="460"/>
      <c r="D55" s="460" t="s">
        <v>55</v>
      </c>
      <c r="E55" s="428"/>
      <c r="F55" s="436"/>
      <c r="G55" s="461">
        <f>[87]Source!AL127</f>
        <v>647.26</v>
      </c>
      <c r="H55" s="427">
        <f>[87]Source!DD127</f>
        <v>0</v>
      </c>
      <c r="I55" s="436">
        <f>[87]Source!AW127</f>
        <v>1.0029999999999999</v>
      </c>
      <c r="J55" s="437">
        <f>ROUND((ROUND(([87]Source!AC127*[87]Source!AW127*[87]Source!I127),2)),2)</f>
        <v>1.95</v>
      </c>
      <c r="K55" s="436">
        <f>IF([87]Source!BC127&lt;&gt; 0, [87]Source!BC127, 1)</f>
        <v>12.21</v>
      </c>
      <c r="L55" s="437">
        <v>23.78</v>
      </c>
    </row>
    <row r="56" spans="1:37" ht="14.25" x14ac:dyDescent="0.2">
      <c r="A56" s="400"/>
      <c r="B56" s="400"/>
      <c r="C56" s="460"/>
      <c r="D56" s="460" t="s">
        <v>56</v>
      </c>
      <c r="E56" s="428" t="s">
        <v>57</v>
      </c>
      <c r="F56" s="436">
        <f>[87]Source!DN127</f>
        <v>133</v>
      </c>
      <c r="G56" s="461"/>
      <c r="H56" s="427"/>
      <c r="I56" s="436"/>
      <c r="J56" s="437">
        <f>SUM(Q51:Q55)</f>
        <v>31.48</v>
      </c>
      <c r="K56" s="436">
        <f>[87]Source!BZ127</f>
        <v>106</v>
      </c>
      <c r="L56" s="437">
        <v>607.92999999999995</v>
      </c>
    </row>
    <row r="57" spans="1:37" ht="14.25" x14ac:dyDescent="0.2">
      <c r="A57" s="400"/>
      <c r="B57" s="400"/>
      <c r="C57" s="460"/>
      <c r="D57" s="460" t="s">
        <v>58</v>
      </c>
      <c r="E57" s="428" t="s">
        <v>57</v>
      </c>
      <c r="F57" s="436">
        <f>[87]Source!DO127</f>
        <v>113</v>
      </c>
      <c r="G57" s="461"/>
      <c r="H57" s="427"/>
      <c r="I57" s="436"/>
      <c r="J57" s="437">
        <f>SUM(S51:S56)</f>
        <v>26.75</v>
      </c>
      <c r="K57" s="436">
        <f>[87]Source!CA127</f>
        <v>53</v>
      </c>
      <c r="L57" s="437">
        <v>303.97000000000003</v>
      </c>
    </row>
    <row r="58" spans="1:37" ht="14.25" x14ac:dyDescent="0.2">
      <c r="A58" s="400"/>
      <c r="B58" s="400"/>
      <c r="C58" s="460"/>
      <c r="D58" s="460" t="s">
        <v>59</v>
      </c>
      <c r="E58" s="428" t="s">
        <v>57</v>
      </c>
      <c r="F58" s="436">
        <f>175</f>
        <v>175</v>
      </c>
      <c r="G58" s="461"/>
      <c r="H58" s="427"/>
      <c r="I58" s="436"/>
      <c r="J58" s="437">
        <f>SUM(U51:U57)-J64</f>
        <v>12.97</v>
      </c>
      <c r="K58" s="436">
        <f>157</f>
        <v>157</v>
      </c>
      <c r="L58" s="437">
        <v>282</v>
      </c>
    </row>
    <row r="59" spans="1:37" ht="14.25" x14ac:dyDescent="0.2">
      <c r="A59" s="400"/>
      <c r="B59" s="400"/>
      <c r="C59" s="460"/>
      <c r="D59" s="460" t="s">
        <v>60</v>
      </c>
      <c r="E59" s="428" t="s">
        <v>61</v>
      </c>
      <c r="F59" s="436">
        <f>[87]Source!AQ127</f>
        <v>312.7</v>
      </c>
      <c r="G59" s="461"/>
      <c r="H59" s="427">
        <f>[87]Source!DI127</f>
        <v>0</v>
      </c>
      <c r="I59" s="436">
        <f>[87]Source!AV127</f>
        <v>1.0669999999999999</v>
      </c>
      <c r="J59" s="437">
        <f>[87]Source!U127</f>
        <v>1</v>
      </c>
      <c r="K59" s="436"/>
      <c r="L59" s="437"/>
    </row>
    <row r="60" spans="1:37" ht="15" x14ac:dyDescent="0.25">
      <c r="I60" s="678">
        <f>J52+J53+J55+J56+J57+J58</f>
        <v>129.22999999999999</v>
      </c>
      <c r="J60" s="678"/>
      <c r="K60" s="678">
        <f>L52+L53+L55+L56+L57+L58</f>
        <v>2087.73</v>
      </c>
      <c r="L60" s="678"/>
      <c r="O60" s="462">
        <f>J52+J53+J55+J56+J57+J58</f>
        <v>129.22999999999999</v>
      </c>
      <c r="P60" s="462">
        <f>L52+L53+L55+L56+L57+L58</f>
        <v>2087.73</v>
      </c>
      <c r="X60" s="422">
        <f>IF([87]Source!BI127&lt;=1,J52+J53+J55+J56+J57+J58-0, 0)</f>
        <v>129.22999999999999</v>
      </c>
      <c r="Y60" s="422">
        <f>IF([87]Source!BI127=2,J52+J53+J55+J56+J57+J58-0, 0)</f>
        <v>0</v>
      </c>
      <c r="Z60" s="422">
        <f>IF([87]Source!BI127=3,J52+J53+J55+J56+J57+J58-0, 0)</f>
        <v>0</v>
      </c>
      <c r="AA60" s="422">
        <f>IF([87]Source!BI127=4,J52+J53+J55+J56+J57+J58,0)</f>
        <v>0</v>
      </c>
    </row>
    <row r="61" spans="1:37" ht="28.5" x14ac:dyDescent="0.2">
      <c r="A61" s="463"/>
      <c r="B61" s="463"/>
      <c r="C61" s="464"/>
      <c r="D61" s="464" t="s">
        <v>62</v>
      </c>
      <c r="E61" s="428"/>
      <c r="F61" s="434"/>
      <c r="G61" s="465"/>
      <c r="H61" s="428"/>
      <c r="I61" s="434"/>
      <c r="J61" s="435"/>
      <c r="K61" s="434"/>
      <c r="L61" s="435"/>
    </row>
    <row r="62" spans="1:37" ht="14.25" x14ac:dyDescent="0.2">
      <c r="A62" s="463"/>
      <c r="B62" s="463"/>
      <c r="C62" s="464"/>
      <c r="D62" s="464" t="s">
        <v>53</v>
      </c>
      <c r="E62" s="428"/>
      <c r="F62" s="434"/>
      <c r="G62" s="465">
        <f t="shared" ref="G62:L62" si="0">G63</f>
        <v>2315.9499999999998</v>
      </c>
      <c r="H62" s="429" t="str">
        <f t="shared" si="0"/>
        <v>)*(1.67-1)</v>
      </c>
      <c r="I62" s="434">
        <f t="shared" si="0"/>
        <v>1.0669999999999999</v>
      </c>
      <c r="J62" s="435">
        <f t="shared" si="0"/>
        <v>4.97</v>
      </c>
      <c r="K62" s="434">
        <f t="shared" si="0"/>
        <v>24.23</v>
      </c>
      <c r="L62" s="435">
        <f t="shared" si="0"/>
        <v>120.35</v>
      </c>
    </row>
    <row r="63" spans="1:37" ht="14.25" x14ac:dyDescent="0.2">
      <c r="A63" s="463"/>
      <c r="B63" s="463"/>
      <c r="C63" s="464"/>
      <c r="D63" s="464" t="s">
        <v>54</v>
      </c>
      <c r="E63" s="428"/>
      <c r="F63" s="434"/>
      <c r="G63" s="465">
        <f>[87]Source!AN127</f>
        <v>2315.9499999999998</v>
      </c>
      <c r="H63" s="429" t="s">
        <v>63</v>
      </c>
      <c r="I63" s="434">
        <f>[87]Source!AV127</f>
        <v>1.0669999999999999</v>
      </c>
      <c r="J63" s="435">
        <f>ROUND(F51*G63*I63*(1.67-1), 2)</f>
        <v>4.97</v>
      </c>
      <c r="K63" s="434">
        <f>IF([87]Source!BS127&lt;&gt; 0, [87]Source!BS127, 1)</f>
        <v>24.23</v>
      </c>
      <c r="L63" s="435">
        <f>ROUND(F51*G63*I63*(1.67-1)*K63, 2)</f>
        <v>120.35</v>
      </c>
      <c r="W63" s="422">
        <f>J63</f>
        <v>4.97</v>
      </c>
    </row>
    <row r="64" spans="1:37" ht="14.25" x14ac:dyDescent="0.2">
      <c r="A64" s="463"/>
      <c r="B64" s="463"/>
      <c r="C64" s="464"/>
      <c r="D64" s="464" t="s">
        <v>59</v>
      </c>
      <c r="E64" s="428" t="s">
        <v>57</v>
      </c>
      <c r="F64" s="434">
        <f>175</f>
        <v>175</v>
      </c>
      <c r="G64" s="465"/>
      <c r="H64" s="428"/>
      <c r="I64" s="434"/>
      <c r="J64" s="435">
        <f>ROUND(J63*(F64/100), 2)</f>
        <v>8.6999999999999993</v>
      </c>
      <c r="K64" s="434">
        <f>157</f>
        <v>157</v>
      </c>
      <c r="L64" s="435">
        <f>ROUND(L63*(K64/100), 2)</f>
        <v>188.95</v>
      </c>
    </row>
    <row r="65" spans="1:38" ht="15" x14ac:dyDescent="0.25">
      <c r="I65" s="678">
        <f>J64+J63</f>
        <v>13.67</v>
      </c>
      <c r="J65" s="678"/>
      <c r="K65" s="678">
        <f>L64+L63</f>
        <v>309.3</v>
      </c>
      <c r="L65" s="678"/>
      <c r="O65" s="462">
        <f>I65</f>
        <v>13.67</v>
      </c>
      <c r="P65" s="462">
        <f>K65</f>
        <v>309.3</v>
      </c>
      <c r="X65" s="422">
        <f>IF([87]Source!BI127&lt;=1,I65, 0)</f>
        <v>13.67</v>
      </c>
      <c r="Y65" s="422">
        <f>IF([87]Source!BI127=2,I65, 0)</f>
        <v>0</v>
      </c>
      <c r="Z65" s="422">
        <f>IF([87]Source!BI127=3,I65, 0)</f>
        <v>0</v>
      </c>
      <c r="AA65" s="422">
        <f>IF([87]Source!BI127=4,I65, 0)</f>
        <v>0</v>
      </c>
    </row>
    <row r="67" spans="1:38" ht="15" x14ac:dyDescent="0.25">
      <c r="A67" s="466"/>
      <c r="B67" s="466"/>
      <c r="C67" s="467"/>
      <c r="D67" s="467" t="s">
        <v>64</v>
      </c>
      <c r="E67" s="468"/>
      <c r="F67" s="469"/>
      <c r="G67" s="470"/>
      <c r="H67" s="430"/>
      <c r="I67" s="678">
        <f>I60+I65</f>
        <v>142.9</v>
      </c>
      <c r="J67" s="678"/>
      <c r="K67" s="678">
        <f>K60+K65</f>
        <v>2397.0300000000002</v>
      </c>
      <c r="L67" s="678"/>
    </row>
    <row r="68" spans="1:38" ht="57" x14ac:dyDescent="0.2">
      <c r="A68" s="400">
        <v>2</v>
      </c>
      <c r="B68" s="400">
        <v>47</v>
      </c>
      <c r="C68" s="460" t="str">
        <f>[87]Source!F133</f>
        <v>МКЭ-33-1163/7-1 от 27.06.2017</v>
      </c>
      <c r="D68" s="460" t="s">
        <v>284</v>
      </c>
      <c r="E68" s="428" t="str">
        <f>[87]Source!H133</f>
        <v>шт.</v>
      </c>
      <c r="F68" s="436">
        <f>[87]Source!I133</f>
        <v>2</v>
      </c>
      <c r="G68" s="413">
        <f>J68/F68</f>
        <v>318.66000000000003</v>
      </c>
      <c r="H68" s="414">
        <v>1.02</v>
      </c>
      <c r="I68" s="415">
        <v>1</v>
      </c>
      <c r="J68" s="413">
        <f>L68/K68</f>
        <v>637.30999999999995</v>
      </c>
      <c r="K68" s="415">
        <v>5.58</v>
      </c>
      <c r="L68" s="413">
        <f>1743.22*H68*F68</f>
        <v>3556.17</v>
      </c>
      <c r="Q68" s="422">
        <f>ROUND(([87]Source!DN133/100)*ROUND((ROUND(([87]Source!AF133*[87]Source!AV133*[87]Source!I133),2)),2), 2)</f>
        <v>0</v>
      </c>
      <c r="R68" s="422">
        <f>[87]Source!X133</f>
        <v>0</v>
      </c>
      <c r="S68" s="422">
        <f>ROUND(([87]Source!DO133/100)*ROUND((ROUND(([87]Source!AF133*[87]Source!AV133*[87]Source!I133),2)),2), 2)</f>
        <v>0</v>
      </c>
      <c r="T68" s="422">
        <f>[87]Source!Y133</f>
        <v>0</v>
      </c>
      <c r="U68" s="422">
        <f>ROUND((175/100)*ROUND((ROUND(([87]Source!AE133*[87]Source!AV133*[87]Source!I133),2)),2), 2)</f>
        <v>0</v>
      </c>
      <c r="V68" s="422">
        <f>ROUND((157/100)*ROUND(ROUND((ROUND(([87]Source!AE133*[87]Source!AV133*[87]Source!I133),2)*[87]Source!BS133),2), 2), 2)</f>
        <v>0</v>
      </c>
    </row>
    <row r="69" spans="1:38" ht="15" x14ac:dyDescent="0.25">
      <c r="A69" s="431"/>
      <c r="B69" s="431"/>
      <c r="C69" s="431"/>
      <c r="D69" s="431"/>
      <c r="E69" s="431"/>
      <c r="F69" s="431"/>
      <c r="G69" s="431"/>
      <c r="H69" s="431"/>
      <c r="I69" s="678">
        <f>J68</f>
        <v>637.30999999999995</v>
      </c>
      <c r="J69" s="678"/>
      <c r="K69" s="678">
        <f>L68</f>
        <v>3556.17</v>
      </c>
      <c r="L69" s="678"/>
      <c r="O69" s="462">
        <f>J68</f>
        <v>637.30999999999995</v>
      </c>
      <c r="P69" s="462">
        <f>L68</f>
        <v>3556.17</v>
      </c>
      <c r="X69" s="422">
        <f>IF([87]Source!BI133&lt;=1,J68-0, 0)</f>
        <v>637.30999999999995</v>
      </c>
      <c r="Y69" s="422">
        <f>IF([87]Source!BI133=2,J68-0, 0)</f>
        <v>0</v>
      </c>
      <c r="Z69" s="422">
        <f>IF([87]Source!BI133=3,J68-0, 0)</f>
        <v>0</v>
      </c>
      <c r="AA69" s="422">
        <f>IF([87]Source!BI133=4,J68,0)</f>
        <v>0</v>
      </c>
    </row>
    <row r="71" spans="1:38" ht="30" x14ac:dyDescent="0.25">
      <c r="A71" s="677" t="str">
        <f>CONCATENATE("Итого по разделу: ",IF([87]Source!G231&lt;&gt;"Новый раздел", [87]Source!G231, ""))</f>
        <v>Итого по разделу: ТОННЕЛИ ЗА СТ. "АМИНЬЕВСКОЕ ШОССЕ". ХОЗЯЙСТВЕННО-ПИТЬЕВОЙ, ПРОИЗВОДСТВЕННЫЙ И ПРОТИВОПОЖАРНЫЙ ТОННЕЛЬНЫЙ ВОДОПРОВОД В1Т</v>
      </c>
      <c r="B71" s="677"/>
      <c r="C71" s="677"/>
      <c r="D71" s="677"/>
      <c r="E71" s="677"/>
      <c r="F71" s="677"/>
      <c r="G71" s="677"/>
      <c r="H71" s="677"/>
      <c r="I71" s="675">
        <f>SUM(O50:O70)</f>
        <v>780.21</v>
      </c>
      <c r="J71" s="676"/>
      <c r="K71" s="675">
        <f>SUM(P50:P70)</f>
        <v>5953.2</v>
      </c>
      <c r="L71" s="676"/>
      <c r="AL71" s="471" t="str">
        <f>CONCATENATE("Итого по разделу: ",IF([87]Source!G231&lt;&gt;"Новый раздел", [87]Source!G231, ""))</f>
        <v>Итого по разделу: ТОННЕЛИ ЗА СТ. "АМИНЬЕВСКОЕ ШОССЕ". ХОЗЯЙСТВЕННО-ПИТЬЕВОЙ, ПРОИЗВОДСТВЕННЫЙ И ПРОТИВОПОЖАРНЫЙ ТОННЕЛЬНЫЙ ВОДОПРОВОД В1Т</v>
      </c>
    </row>
    <row r="72" spans="1:38" hidden="1" x14ac:dyDescent="0.2">
      <c r="A72" s="422" t="s">
        <v>67</v>
      </c>
      <c r="J72" s="422">
        <f>SUM(AC50:AC71)</f>
        <v>0</v>
      </c>
      <c r="K72" s="422">
        <f>SUM(AD50:AD71)</f>
        <v>0</v>
      </c>
    </row>
    <row r="73" spans="1:38" hidden="1" x14ac:dyDescent="0.2">
      <c r="A73" s="422" t="s">
        <v>68</v>
      </c>
      <c r="J73" s="422">
        <f>SUM(AE50:AE72)</f>
        <v>0</v>
      </c>
      <c r="K73" s="422">
        <f>SUM(AF50:AF72)</f>
        <v>0</v>
      </c>
    </row>
    <row r="75" spans="1:38" ht="33" x14ac:dyDescent="0.25">
      <c r="A75" s="679" t="str">
        <f>CONCATENATE("Раздел: ",IF([87]Source!G260&lt;&gt;"Новый раздел", [87]Source!G260, ""))</f>
        <v>Раздел: ТУПИК ЗА СТ."АМИНЬЕВСКОЕ ШОССЕ". ХОЗЯЙСТВЕННО-ПИТЬЕВОЙ, ПРОИЗВОДСТВЕННЫЙ И ПРОТИВОПОЖАРНЫЙ ТОННЕЛЬНЫЙ ВОДОПРОВОД В1Т</v>
      </c>
      <c r="B75" s="679"/>
      <c r="C75" s="679"/>
      <c r="D75" s="679"/>
      <c r="E75" s="679"/>
      <c r="F75" s="679"/>
      <c r="G75" s="679"/>
      <c r="H75" s="679"/>
      <c r="I75" s="679"/>
      <c r="J75" s="679"/>
      <c r="K75" s="679"/>
      <c r="L75" s="679"/>
      <c r="AK75" s="459" t="str">
        <f>CONCATENATE("Раздел: ",IF([87]Source!G260&lt;&gt;"Новый раздел", [87]Source!G260, ""))</f>
        <v>Раздел: ТУПИК ЗА СТ."АМИНЬЕВСКОЕ ШОССЕ". ХОЗЯЙСТВЕННО-ПИТЬЕВОЙ, ПРОИЗВОДСТВЕННЫЙ И ПРОТИВОПОЖАРНЫЙ ТОННЕЛЬНЫЙ ВОДОПРОВОД В1Т</v>
      </c>
    </row>
    <row r="76" spans="1:38" ht="85.5" x14ac:dyDescent="0.2">
      <c r="A76" s="400">
        <v>3</v>
      </c>
      <c r="B76" s="400">
        <v>95</v>
      </c>
      <c r="C76" s="460" t="str">
        <f>[87]Source!F279</f>
        <v>1.12-10-23</v>
      </c>
      <c r="D76" s="460" t="s">
        <v>285</v>
      </c>
      <c r="E76" s="428" t="str">
        <f>[87]Source!H279</f>
        <v>КОМПЛЕКТ</v>
      </c>
      <c r="F76" s="436">
        <f>[87]Source!I279</f>
        <v>10</v>
      </c>
      <c r="G76" s="461">
        <f>[87]Source!AL279</f>
        <v>21.42</v>
      </c>
      <c r="H76" s="427">
        <f>[87]Source!DD279</f>
        <v>0</v>
      </c>
      <c r="I76" s="436">
        <f>[87]Source!AW279</f>
        <v>1</v>
      </c>
      <c r="J76" s="437">
        <f>ROUND((ROUND(([87]Source!AC279*[87]Source!AW279*[87]Source!I279),2)),2)</f>
        <v>214.2</v>
      </c>
      <c r="K76" s="436">
        <f>IF([87]Source!BC279&lt;&gt; 0, [87]Source!BC279, 1)</f>
        <v>8.08</v>
      </c>
      <c r="L76" s="437">
        <f>[87]Source!P279</f>
        <v>1730.74</v>
      </c>
      <c r="Q76" s="422">
        <f>ROUND(([87]Source!DN279/100)*ROUND((ROUND(([87]Source!AF279*[87]Source!AV279*[87]Source!I279),2)),2), 2)</f>
        <v>0</v>
      </c>
      <c r="R76" s="422">
        <f>[87]Source!X279</f>
        <v>0</v>
      </c>
      <c r="S76" s="422">
        <f>ROUND(([87]Source!DO279/100)*ROUND((ROUND(([87]Source!AF279*[87]Source!AV279*[87]Source!I279),2)),2), 2)</f>
        <v>0</v>
      </c>
      <c r="T76" s="422">
        <f>[87]Source!Y279</f>
        <v>0</v>
      </c>
      <c r="U76" s="422">
        <f>ROUND((175/100)*ROUND((ROUND(([87]Source!AE279*[87]Source!AV279*[87]Source!I279),2)),2), 2)</f>
        <v>0</v>
      </c>
      <c r="V76" s="422">
        <f>ROUND((157/100)*ROUND(ROUND((ROUND(([87]Source!AE279*[87]Source!AV279*[87]Source!I279),2)*[87]Source!BS279),2), 2), 2)</f>
        <v>0</v>
      </c>
    </row>
    <row r="77" spans="1:38" ht="15" x14ac:dyDescent="0.25">
      <c r="A77" s="431"/>
      <c r="B77" s="431"/>
      <c r="C77" s="431"/>
      <c r="D77" s="431"/>
      <c r="E77" s="431"/>
      <c r="F77" s="431"/>
      <c r="G77" s="431"/>
      <c r="H77" s="431"/>
      <c r="I77" s="678">
        <f>J76</f>
        <v>214.2</v>
      </c>
      <c r="J77" s="678"/>
      <c r="K77" s="678">
        <f>L76</f>
        <v>1730.74</v>
      </c>
      <c r="L77" s="678"/>
      <c r="O77" s="462">
        <f>J76</f>
        <v>214.2</v>
      </c>
      <c r="P77" s="462">
        <f>L76</f>
        <v>1730.74</v>
      </c>
      <c r="X77" s="422">
        <f>IF([87]Source!BI279&lt;=1,J76-0, 0)</f>
        <v>214.2</v>
      </c>
      <c r="Y77" s="422">
        <f>IF([87]Source!BI279=2,J76-0, 0)</f>
        <v>0</v>
      </c>
      <c r="Z77" s="422">
        <f>IF([87]Source!BI279=3,J76-0, 0)</f>
        <v>0</v>
      </c>
      <c r="AA77" s="422">
        <f>IF([87]Source!BI279=4,J76,0)</f>
        <v>0</v>
      </c>
    </row>
    <row r="78" spans="1:38" ht="65.25" x14ac:dyDescent="0.2">
      <c r="A78" s="400">
        <v>4</v>
      </c>
      <c r="B78" s="400">
        <v>96</v>
      </c>
      <c r="C78" s="460" t="s">
        <v>286</v>
      </c>
      <c r="D78" s="460" t="s">
        <v>229</v>
      </c>
      <c r="E78" s="428" t="str">
        <f>[87]Source!H281</f>
        <v>1 т фасонных частей</v>
      </c>
      <c r="F78" s="436">
        <f>[87]Source!I281</f>
        <v>9.3600000000000003E-3</v>
      </c>
      <c r="G78" s="461"/>
      <c r="H78" s="427"/>
      <c r="I78" s="436"/>
      <c r="J78" s="437"/>
      <c r="K78" s="436"/>
      <c r="L78" s="437"/>
      <c r="Q78" s="422">
        <f>ROUND(([87]Source!DN281/100)*ROUND((ROUND(([87]Source!AF281*[87]Source!AV281*[87]Source!I281),2)),2), 2)</f>
        <v>11.64</v>
      </c>
      <c r="R78" s="422">
        <f>[87]Source!X281</f>
        <v>225.58</v>
      </c>
      <c r="S78" s="422">
        <f>ROUND(([87]Source!DO281/100)*ROUND((ROUND(([87]Source!AF281*[87]Source!AV281*[87]Source!I281),2)),2), 2)</f>
        <v>8.75</v>
      </c>
      <c r="T78" s="422">
        <f>[87]Source!Y281</f>
        <v>101.51</v>
      </c>
      <c r="U78" s="422">
        <f>ROUND((175/100)*ROUND((ROUND(([87]Source!AE281*[87]Source!AV281*[87]Source!I281),2)),2), 2)</f>
        <v>0.68</v>
      </c>
      <c r="V78" s="422">
        <f>ROUND((157/100)*ROUND(ROUND((ROUND(([87]Source!AE281*[87]Source!AV281*[87]Source!I281),2)*[87]Source!BS281),2), 2), 2)</f>
        <v>14.84</v>
      </c>
    </row>
    <row r="79" spans="1:38" ht="14.25" x14ac:dyDescent="0.2">
      <c r="A79" s="400"/>
      <c r="B79" s="400"/>
      <c r="C79" s="460"/>
      <c r="D79" s="460" t="s">
        <v>52</v>
      </c>
      <c r="E79" s="428"/>
      <c r="F79" s="436"/>
      <c r="G79" s="461">
        <f>[87]Source!AO281</f>
        <v>558.44000000000005</v>
      </c>
      <c r="H79" s="427" t="str">
        <f>[87]Source!DG281</f>
        <v>)*1,67</v>
      </c>
      <c r="I79" s="436">
        <f>[87]Source!AV281</f>
        <v>1.0669999999999999</v>
      </c>
      <c r="J79" s="437">
        <f>ROUND((ROUND(([87]Source!AF281*[87]Source!AV281*[87]Source!I281),2)),2)</f>
        <v>9.31</v>
      </c>
      <c r="K79" s="436">
        <f>IF([87]Source!BA281&lt;&gt; 0, [87]Source!BA281, 1)</f>
        <v>24.23</v>
      </c>
      <c r="L79" s="437">
        <v>225.68</v>
      </c>
      <c r="W79" s="422">
        <f>J79</f>
        <v>9.31</v>
      </c>
    </row>
    <row r="80" spans="1:38" ht="14.25" x14ac:dyDescent="0.2">
      <c r="A80" s="400"/>
      <c r="B80" s="400"/>
      <c r="C80" s="460"/>
      <c r="D80" s="460" t="s">
        <v>53</v>
      </c>
      <c r="E80" s="428"/>
      <c r="F80" s="436"/>
      <c r="G80" s="461">
        <f>[87]Source!AM281</f>
        <v>97.03</v>
      </c>
      <c r="H80" s="427">
        <f>[87]Source!DE281</f>
        <v>0</v>
      </c>
      <c r="I80" s="436">
        <f>[87]Source!AV281</f>
        <v>1.0669999999999999</v>
      </c>
      <c r="J80" s="437">
        <f>(ROUND((ROUND((([87]Source!ET281)*[87]Source!AV281*[87]Source!I281),2)),2)+ROUND((ROUND((([87]Source!AE281-([87]Source!EU281))*[87]Source!AV281*[87]Source!I281),2)),2))-J89</f>
        <v>0.97</v>
      </c>
      <c r="K80" s="436">
        <f>IF([87]Source!BB281&lt;&gt; 0, [87]Source!BB281, 1)</f>
        <v>10.07</v>
      </c>
      <c r="L80" s="437">
        <v>9.76</v>
      </c>
    </row>
    <row r="81" spans="1:27" ht="14.25" x14ac:dyDescent="0.2">
      <c r="A81" s="400"/>
      <c r="B81" s="400"/>
      <c r="C81" s="460"/>
      <c r="D81" s="460" t="s">
        <v>54</v>
      </c>
      <c r="E81" s="428"/>
      <c r="F81" s="436"/>
      <c r="G81" s="461">
        <f>[87]Source!AN281</f>
        <v>23.46</v>
      </c>
      <c r="H81" s="427">
        <f>[87]Source!DE281</f>
        <v>0</v>
      </c>
      <c r="I81" s="436">
        <f>[87]Source!AV281</f>
        <v>1.0669999999999999</v>
      </c>
      <c r="J81" s="435">
        <f>ROUND((ROUND(([87]Source!AE281*[87]Source!AV281*[87]Source!I281),2)),2)-J90</f>
        <v>0.23</v>
      </c>
      <c r="K81" s="436">
        <f>IF([87]Source!BS281&lt;&gt; 0, [87]Source!BS281, 1)</f>
        <v>24.23</v>
      </c>
      <c r="L81" s="435">
        <v>5.68</v>
      </c>
      <c r="W81" s="422">
        <f>J81</f>
        <v>0.23</v>
      </c>
    </row>
    <row r="82" spans="1:27" ht="14.25" x14ac:dyDescent="0.2">
      <c r="A82" s="400"/>
      <c r="B82" s="400"/>
      <c r="C82" s="460"/>
      <c r="D82" s="460" t="s">
        <v>55</v>
      </c>
      <c r="E82" s="428"/>
      <c r="F82" s="436"/>
      <c r="G82" s="461">
        <f>[87]Source!AL281</f>
        <v>681.49</v>
      </c>
      <c r="H82" s="427">
        <f>[87]Source!DD281</f>
        <v>0</v>
      </c>
      <c r="I82" s="436">
        <f>[87]Source!AW281</f>
        <v>1</v>
      </c>
      <c r="J82" s="437">
        <f>ROUND((ROUND(([87]Source!AC281*[87]Source!AW281*[87]Source!I281),2)),2)</f>
        <v>6.38</v>
      </c>
      <c r="K82" s="436">
        <f>IF([87]Source!BC281&lt;&gt; 0, [87]Source!BC281, 1)</f>
        <v>4.5999999999999996</v>
      </c>
      <c r="L82" s="437">
        <v>29.34</v>
      </c>
    </row>
    <row r="83" spans="1:27" ht="14.25" x14ac:dyDescent="0.2">
      <c r="A83" s="400"/>
      <c r="B83" s="400"/>
      <c r="C83" s="460"/>
      <c r="D83" s="460" t="s">
        <v>56</v>
      </c>
      <c r="E83" s="428" t="s">
        <v>57</v>
      </c>
      <c r="F83" s="436">
        <f>[87]Source!DN281</f>
        <v>125</v>
      </c>
      <c r="G83" s="461"/>
      <c r="H83" s="427"/>
      <c r="I83" s="436"/>
      <c r="J83" s="437">
        <f>SUM(Q78:Q82)</f>
        <v>11.64</v>
      </c>
      <c r="K83" s="436">
        <f>[87]Source!BZ281</f>
        <v>100</v>
      </c>
      <c r="L83" s="437">
        <v>225.68</v>
      </c>
    </row>
    <row r="84" spans="1:27" ht="14.25" x14ac:dyDescent="0.2">
      <c r="A84" s="400"/>
      <c r="B84" s="400"/>
      <c r="C84" s="460"/>
      <c r="D84" s="460" t="s">
        <v>58</v>
      </c>
      <c r="E84" s="428" t="s">
        <v>57</v>
      </c>
      <c r="F84" s="436">
        <f>[87]Source!DO281</f>
        <v>94</v>
      </c>
      <c r="G84" s="461"/>
      <c r="H84" s="427"/>
      <c r="I84" s="436"/>
      <c r="J84" s="437">
        <f>SUM(S78:S83)</f>
        <v>8.75</v>
      </c>
      <c r="K84" s="436">
        <f>[87]Source!CA281</f>
        <v>45</v>
      </c>
      <c r="L84" s="437">
        <v>101.56</v>
      </c>
    </row>
    <row r="85" spans="1:27" ht="14.25" x14ac:dyDescent="0.2">
      <c r="A85" s="400"/>
      <c r="B85" s="400"/>
      <c r="C85" s="460"/>
      <c r="D85" s="460" t="s">
        <v>59</v>
      </c>
      <c r="E85" s="428" t="s">
        <v>57</v>
      </c>
      <c r="F85" s="436">
        <f>175</f>
        <v>175</v>
      </c>
      <c r="G85" s="461"/>
      <c r="H85" s="427"/>
      <c r="I85" s="436"/>
      <c r="J85" s="437">
        <f>SUM(U78:U84)-J91</f>
        <v>0.4</v>
      </c>
      <c r="K85" s="436">
        <f>157</f>
        <v>157</v>
      </c>
      <c r="L85" s="437">
        <v>8.91</v>
      </c>
    </row>
    <row r="86" spans="1:27" ht="14.25" x14ac:dyDescent="0.2">
      <c r="A86" s="400"/>
      <c r="B86" s="400"/>
      <c r="C86" s="460"/>
      <c r="D86" s="460" t="s">
        <v>60</v>
      </c>
      <c r="E86" s="428" t="s">
        <v>61</v>
      </c>
      <c r="F86" s="436">
        <f>[87]Source!AQ281</f>
        <v>48.1</v>
      </c>
      <c r="G86" s="461"/>
      <c r="H86" s="427">
        <f>[87]Source!DI281</f>
        <v>0</v>
      </c>
      <c r="I86" s="436">
        <f>[87]Source!AV281</f>
        <v>1.0669999999999999</v>
      </c>
      <c r="J86" s="437">
        <f>[87]Source!U281</f>
        <v>0.48</v>
      </c>
      <c r="K86" s="436"/>
      <c r="L86" s="437"/>
    </row>
    <row r="87" spans="1:27" ht="15" x14ac:dyDescent="0.25">
      <c r="I87" s="678">
        <f>J79+J80+J82+J83+J84+J85</f>
        <v>37.450000000000003</v>
      </c>
      <c r="J87" s="678"/>
      <c r="K87" s="678">
        <f>L79+L80+L82+L83+L84+L85</f>
        <v>600.92999999999995</v>
      </c>
      <c r="L87" s="678"/>
      <c r="O87" s="462">
        <f>J79+J80+J82+J83+J84+J85</f>
        <v>37.450000000000003</v>
      </c>
      <c r="P87" s="462">
        <f>L79+L80+L82+L83+L84+L85</f>
        <v>600.92999999999995</v>
      </c>
      <c r="X87" s="422">
        <f>IF([87]Source!BI281&lt;=1,J79+J80+J82+J83+J84+J85-0, 0)</f>
        <v>37.450000000000003</v>
      </c>
      <c r="Y87" s="422">
        <f>IF([87]Source!BI281=2,J79+J80+J82+J83+J84+J85-0, 0)</f>
        <v>0</v>
      </c>
      <c r="Z87" s="422">
        <f>IF([87]Source!BI281=3,J79+J80+J82+J83+J84+J85-0, 0)</f>
        <v>0</v>
      </c>
      <c r="AA87" s="422">
        <f>IF([87]Source!BI281=4,J79+J80+J82+J83+J84+J85,0)</f>
        <v>0</v>
      </c>
    </row>
    <row r="88" spans="1:27" ht="28.5" x14ac:dyDescent="0.2">
      <c r="A88" s="463"/>
      <c r="B88" s="463"/>
      <c r="C88" s="464"/>
      <c r="D88" s="464" t="s">
        <v>62</v>
      </c>
      <c r="E88" s="428"/>
      <c r="F88" s="434"/>
      <c r="G88" s="465"/>
      <c r="H88" s="428"/>
      <c r="I88" s="434"/>
      <c r="J88" s="435"/>
      <c r="K88" s="434"/>
      <c r="L88" s="435"/>
    </row>
    <row r="89" spans="1:27" ht="14.25" x14ac:dyDescent="0.2">
      <c r="A89" s="463"/>
      <c r="B89" s="463"/>
      <c r="C89" s="464"/>
      <c r="D89" s="464" t="s">
        <v>53</v>
      </c>
      <c r="E89" s="428"/>
      <c r="F89" s="434"/>
      <c r="G89" s="465">
        <f t="shared" ref="G89:L89" si="1">G90</f>
        <v>23.46</v>
      </c>
      <c r="H89" s="429" t="str">
        <f t="shared" si="1"/>
        <v>)*(1.67-1)</v>
      </c>
      <c r="I89" s="434">
        <f t="shared" si="1"/>
        <v>1.0669999999999999</v>
      </c>
      <c r="J89" s="435">
        <f t="shared" si="1"/>
        <v>0.16</v>
      </c>
      <c r="K89" s="434">
        <f t="shared" si="1"/>
        <v>24.23</v>
      </c>
      <c r="L89" s="435">
        <f t="shared" si="1"/>
        <v>3.8</v>
      </c>
    </row>
    <row r="90" spans="1:27" ht="14.25" x14ac:dyDescent="0.2">
      <c r="A90" s="463"/>
      <c r="B90" s="463"/>
      <c r="C90" s="464"/>
      <c r="D90" s="464" t="s">
        <v>54</v>
      </c>
      <c r="E90" s="428"/>
      <c r="F90" s="434"/>
      <c r="G90" s="465">
        <f>[87]Source!AN281</f>
        <v>23.46</v>
      </c>
      <c r="H90" s="429" t="s">
        <v>63</v>
      </c>
      <c r="I90" s="434">
        <f>[87]Source!AV281</f>
        <v>1.0669999999999999</v>
      </c>
      <c r="J90" s="435">
        <f>ROUND(F78*G90*I90*(1.67-1), 2)</f>
        <v>0.16</v>
      </c>
      <c r="K90" s="434">
        <f>IF([87]Source!BS281&lt;&gt; 0, [87]Source!BS281, 1)</f>
        <v>24.23</v>
      </c>
      <c r="L90" s="435">
        <f>ROUND(F78*G90*I90*(1.67-1)*K90, 2)</f>
        <v>3.8</v>
      </c>
      <c r="W90" s="422">
        <f>J90</f>
        <v>0.16</v>
      </c>
    </row>
    <row r="91" spans="1:27" ht="14.25" x14ac:dyDescent="0.2">
      <c r="A91" s="463"/>
      <c r="B91" s="463"/>
      <c r="C91" s="464"/>
      <c r="D91" s="464" t="s">
        <v>59</v>
      </c>
      <c r="E91" s="428" t="s">
        <v>57</v>
      </c>
      <c r="F91" s="434">
        <f>175</f>
        <v>175</v>
      </c>
      <c r="G91" s="465"/>
      <c r="H91" s="428"/>
      <c r="I91" s="434"/>
      <c r="J91" s="435">
        <f>ROUND(J90*(F91/100), 2)</f>
        <v>0.28000000000000003</v>
      </c>
      <c r="K91" s="434">
        <f>157</f>
        <v>157</v>
      </c>
      <c r="L91" s="435">
        <f>ROUND(L90*(K91/100), 2)</f>
        <v>5.97</v>
      </c>
    </row>
    <row r="92" spans="1:27" ht="15" x14ac:dyDescent="0.25">
      <c r="I92" s="678">
        <f>J91+J90</f>
        <v>0.44</v>
      </c>
      <c r="J92" s="678"/>
      <c r="K92" s="678">
        <f>L91+L90</f>
        <v>9.77</v>
      </c>
      <c r="L92" s="678"/>
      <c r="O92" s="462">
        <f>I92</f>
        <v>0.44</v>
      </c>
      <c r="P92" s="462">
        <f>K92</f>
        <v>9.77</v>
      </c>
      <c r="X92" s="422">
        <f>IF([87]Source!BI281&lt;=1,I92, 0)</f>
        <v>0.44</v>
      </c>
      <c r="Y92" s="422">
        <f>IF([87]Source!BI281=2,I92, 0)</f>
        <v>0</v>
      </c>
      <c r="Z92" s="422">
        <f>IF([87]Source!BI281=3,I92, 0)</f>
        <v>0</v>
      </c>
      <c r="AA92" s="422">
        <f>IF([87]Source!BI281=4,I92, 0)</f>
        <v>0</v>
      </c>
    </row>
    <row r="94" spans="1:27" ht="15" x14ac:dyDescent="0.25">
      <c r="A94" s="466"/>
      <c r="B94" s="466"/>
      <c r="C94" s="467"/>
      <c r="D94" s="467" t="s">
        <v>64</v>
      </c>
      <c r="E94" s="468"/>
      <c r="F94" s="469"/>
      <c r="G94" s="470"/>
      <c r="H94" s="430"/>
      <c r="I94" s="678">
        <f>I87+I92</f>
        <v>37.89</v>
      </c>
      <c r="J94" s="678"/>
      <c r="K94" s="678">
        <f>K87+K92</f>
        <v>610.70000000000005</v>
      </c>
      <c r="L94" s="678"/>
    </row>
    <row r="95" spans="1:27" ht="57" x14ac:dyDescent="0.2">
      <c r="A95" s="400">
        <v>5</v>
      </c>
      <c r="B95" s="400">
        <v>97</v>
      </c>
      <c r="C95" s="460" t="str">
        <f>[87]Source!F283</f>
        <v>МКЭ-33-1820/8-2 от 16.11.2018</v>
      </c>
      <c r="D95" s="460" t="s">
        <v>287</v>
      </c>
      <c r="E95" s="428" t="str">
        <f>[87]Source!H283</f>
        <v>шт.</v>
      </c>
      <c r="F95" s="436">
        <f>[87]Source!I283</f>
        <v>13</v>
      </c>
      <c r="G95" s="478">
        <f>J95/F95</f>
        <v>26.18</v>
      </c>
      <c r="H95" s="414">
        <v>1.02</v>
      </c>
      <c r="I95" s="415">
        <v>1</v>
      </c>
      <c r="J95" s="413">
        <f>L95/K95</f>
        <v>340.34</v>
      </c>
      <c r="K95" s="415">
        <v>5.58</v>
      </c>
      <c r="L95" s="413">
        <f>143.22*H95*F95</f>
        <v>1899.1</v>
      </c>
      <c r="Q95" s="422">
        <f>ROUND(([87]Source!DN283/100)*ROUND((ROUND(([87]Source!AF283*[87]Source!AV283*[87]Source!I283),2)),2), 2)</f>
        <v>0</v>
      </c>
      <c r="R95" s="422">
        <f>[87]Source!X283</f>
        <v>0</v>
      </c>
      <c r="S95" s="422">
        <f>ROUND(([87]Source!DO283/100)*ROUND((ROUND(([87]Source!AF283*[87]Source!AV283*[87]Source!I283),2)),2), 2)</f>
        <v>0</v>
      </c>
      <c r="T95" s="422">
        <f>[87]Source!Y283</f>
        <v>0</v>
      </c>
      <c r="U95" s="422">
        <f>ROUND((175/100)*ROUND((ROUND(([87]Source!AE283*[87]Source!AV283*[87]Source!I283),2)),2), 2)</f>
        <v>0</v>
      </c>
      <c r="V95" s="422">
        <f>ROUND((157/100)*ROUND(ROUND((ROUND(([87]Source!AE283*[87]Source!AV283*[87]Source!I283),2)*[87]Source!BS283),2), 2), 2)</f>
        <v>0</v>
      </c>
    </row>
    <row r="96" spans="1:27" ht="15" x14ac:dyDescent="0.25">
      <c r="A96" s="431"/>
      <c r="B96" s="431"/>
      <c r="C96" s="431"/>
      <c r="D96" s="431"/>
      <c r="E96" s="431"/>
      <c r="F96" s="431"/>
      <c r="G96" s="431"/>
      <c r="H96" s="431"/>
      <c r="I96" s="678">
        <f>J95</f>
        <v>340.34</v>
      </c>
      <c r="J96" s="678"/>
      <c r="K96" s="678">
        <f>L95</f>
        <v>1899.1</v>
      </c>
      <c r="L96" s="678"/>
      <c r="O96" s="462">
        <f>J95</f>
        <v>340.34</v>
      </c>
      <c r="P96" s="462">
        <f>L95</f>
        <v>1899.1</v>
      </c>
      <c r="X96" s="422">
        <f>IF([87]Source!BI283&lt;=1,J95-0, 0)</f>
        <v>340.34</v>
      </c>
      <c r="Y96" s="422">
        <f>IF([87]Source!BI283=2,J95-0, 0)</f>
        <v>0</v>
      </c>
      <c r="Z96" s="422">
        <f>IF([87]Source!BI283=3,J95-0, 0)</f>
        <v>0</v>
      </c>
      <c r="AA96" s="422">
        <f>IF([87]Source!BI283=4,J95,0)</f>
        <v>0</v>
      </c>
    </row>
    <row r="97" spans="1:27" ht="65.25" x14ac:dyDescent="0.2">
      <c r="A97" s="400">
        <v>6</v>
      </c>
      <c r="B97" s="400">
        <v>105</v>
      </c>
      <c r="C97" s="460" t="s">
        <v>286</v>
      </c>
      <c r="D97" s="460" t="s">
        <v>229</v>
      </c>
      <c r="E97" s="428" t="str">
        <f>[87]Source!H299</f>
        <v>1 т фасонных частей</v>
      </c>
      <c r="F97" s="436">
        <f>[87]Source!I299</f>
        <v>1.9499999999999999E-3</v>
      </c>
      <c r="G97" s="461"/>
      <c r="H97" s="427"/>
      <c r="I97" s="436"/>
      <c r="J97" s="437"/>
      <c r="K97" s="436"/>
      <c r="L97" s="437"/>
      <c r="Q97" s="422">
        <f>ROUND(([87]Source!DN299/100)*ROUND((ROUND(([87]Source!AF299*[87]Source!AV299*[87]Source!I299),2)),2), 2)</f>
        <v>2.4300000000000002</v>
      </c>
      <c r="R97" s="422">
        <f>[87]Source!X299</f>
        <v>47.01</v>
      </c>
      <c r="S97" s="422">
        <f>ROUND(([87]Source!DO299/100)*ROUND((ROUND(([87]Source!AF299*[87]Source!AV299*[87]Source!I299),2)),2), 2)</f>
        <v>1.82</v>
      </c>
      <c r="T97" s="422">
        <f>[87]Source!Y299</f>
        <v>21.15</v>
      </c>
      <c r="U97" s="422">
        <f>ROUND((175/100)*ROUND((ROUND(([87]Source!AE299*[87]Source!AV299*[87]Source!I299),2)),2), 2)</f>
        <v>0.14000000000000001</v>
      </c>
      <c r="V97" s="422">
        <f>ROUND((157/100)*ROUND(ROUND((ROUND(([87]Source!AE299*[87]Source!AV299*[87]Source!I299),2)*[87]Source!BS299),2), 2), 2)</f>
        <v>3.05</v>
      </c>
    </row>
    <row r="98" spans="1:27" ht="14.25" x14ac:dyDescent="0.2">
      <c r="A98" s="400"/>
      <c r="B98" s="400"/>
      <c r="C98" s="460"/>
      <c r="D98" s="460" t="s">
        <v>52</v>
      </c>
      <c r="E98" s="428"/>
      <c r="F98" s="436"/>
      <c r="G98" s="461">
        <f>[87]Source!AO299</f>
        <v>558.44000000000005</v>
      </c>
      <c r="H98" s="427" t="str">
        <f>[87]Source!DG299</f>
        <v>)*1,67</v>
      </c>
      <c r="I98" s="436">
        <f>[87]Source!AV299</f>
        <v>1.0669999999999999</v>
      </c>
      <c r="J98" s="437">
        <f>ROUND((ROUND(([87]Source!AF299*[87]Source!AV299*[87]Source!I299),2)),2)</f>
        <v>1.94</v>
      </c>
      <c r="K98" s="436">
        <f>IF([87]Source!BA299&lt;&gt; 0, [87]Source!BA299, 1)</f>
        <v>24.23</v>
      </c>
      <c r="L98" s="437">
        <v>47.02</v>
      </c>
      <c r="W98" s="422">
        <f>J98</f>
        <v>1.94</v>
      </c>
    </row>
    <row r="99" spans="1:27" ht="14.25" x14ac:dyDescent="0.2">
      <c r="A99" s="400"/>
      <c r="B99" s="400"/>
      <c r="C99" s="460"/>
      <c r="D99" s="460" t="s">
        <v>53</v>
      </c>
      <c r="E99" s="428"/>
      <c r="F99" s="436"/>
      <c r="G99" s="461">
        <f>[87]Source!AM299</f>
        <v>97.03</v>
      </c>
      <c r="H99" s="427">
        <f>[87]Source!DE299</f>
        <v>0</v>
      </c>
      <c r="I99" s="436">
        <f>[87]Source!AV299</f>
        <v>1.0669999999999999</v>
      </c>
      <c r="J99" s="437">
        <f>(ROUND((ROUND((([87]Source!ET299)*[87]Source!AV299*[87]Source!I299),2)),2)+ROUND((ROUND((([87]Source!AE299-([87]Source!EU299))*[87]Source!AV299*[87]Source!I299),2)),2))-J108</f>
        <v>0.2</v>
      </c>
      <c r="K99" s="436">
        <f>IF([87]Source!BB299&lt;&gt; 0, [87]Source!BB299, 1)</f>
        <v>10.07</v>
      </c>
      <c r="L99" s="437">
        <v>2.04</v>
      </c>
    </row>
    <row r="100" spans="1:27" ht="14.25" x14ac:dyDescent="0.2">
      <c r="A100" s="400"/>
      <c r="B100" s="400"/>
      <c r="C100" s="460"/>
      <c r="D100" s="460" t="s">
        <v>54</v>
      </c>
      <c r="E100" s="428"/>
      <c r="F100" s="436"/>
      <c r="G100" s="461">
        <f>[87]Source!AN299</f>
        <v>23.46</v>
      </c>
      <c r="H100" s="427">
        <f>[87]Source!DE299</f>
        <v>0</v>
      </c>
      <c r="I100" s="436">
        <f>[87]Source!AV299</f>
        <v>1.0669999999999999</v>
      </c>
      <c r="J100" s="435">
        <f>ROUND((ROUND(([87]Source!AE299*[87]Source!AV299*[87]Source!I299),2)),2)-J109</f>
        <v>0.05</v>
      </c>
      <c r="K100" s="436">
        <f>IF([87]Source!BS299&lt;&gt; 0, [87]Source!BS299, 1)</f>
        <v>24.23</v>
      </c>
      <c r="L100" s="435">
        <v>1.19</v>
      </c>
      <c r="W100" s="422">
        <f>J100</f>
        <v>0.05</v>
      </c>
    </row>
    <row r="101" spans="1:27" ht="14.25" x14ac:dyDescent="0.2">
      <c r="A101" s="400"/>
      <c r="B101" s="400"/>
      <c r="C101" s="460"/>
      <c r="D101" s="460" t="s">
        <v>55</v>
      </c>
      <c r="E101" s="428"/>
      <c r="F101" s="436"/>
      <c r="G101" s="461">
        <f>[87]Source!AL299</f>
        <v>681.49</v>
      </c>
      <c r="H101" s="427">
        <f>[87]Source!DD299</f>
        <v>0</v>
      </c>
      <c r="I101" s="436">
        <f>[87]Source!AW299</f>
        <v>1</v>
      </c>
      <c r="J101" s="437">
        <f>ROUND((ROUND(([87]Source!AC299*[87]Source!AW299*[87]Source!I299),2)),2)</f>
        <v>1.33</v>
      </c>
      <c r="K101" s="436">
        <f>IF([87]Source!BC299&lt;&gt; 0, [87]Source!BC299, 1)</f>
        <v>4.5999999999999996</v>
      </c>
      <c r="L101" s="437">
        <v>6.11</v>
      </c>
    </row>
    <row r="102" spans="1:27" ht="14.25" x14ac:dyDescent="0.2">
      <c r="A102" s="400"/>
      <c r="B102" s="400"/>
      <c r="C102" s="460"/>
      <c r="D102" s="460" t="s">
        <v>56</v>
      </c>
      <c r="E102" s="428" t="s">
        <v>57</v>
      </c>
      <c r="F102" s="436">
        <f>[87]Source!DN299</f>
        <v>125</v>
      </c>
      <c r="G102" s="461"/>
      <c r="H102" s="427"/>
      <c r="I102" s="436"/>
      <c r="J102" s="437">
        <f>SUM(Q97:Q101)</f>
        <v>2.4300000000000002</v>
      </c>
      <c r="K102" s="436">
        <f>[87]Source!BZ299</f>
        <v>100</v>
      </c>
      <c r="L102" s="437">
        <v>47.02</v>
      </c>
    </row>
    <row r="103" spans="1:27" ht="14.25" x14ac:dyDescent="0.2">
      <c r="A103" s="400"/>
      <c r="B103" s="400"/>
      <c r="C103" s="460"/>
      <c r="D103" s="460" t="s">
        <v>58</v>
      </c>
      <c r="E103" s="428" t="s">
        <v>57</v>
      </c>
      <c r="F103" s="436">
        <f>[87]Source!DO299</f>
        <v>94</v>
      </c>
      <c r="G103" s="461"/>
      <c r="H103" s="427"/>
      <c r="I103" s="436"/>
      <c r="J103" s="437">
        <f>SUM(S97:S102)</f>
        <v>1.82</v>
      </c>
      <c r="K103" s="436">
        <f>[87]Source!CA299</f>
        <v>45</v>
      </c>
      <c r="L103" s="437">
        <v>21.16</v>
      </c>
    </row>
    <row r="104" spans="1:27" ht="14.25" x14ac:dyDescent="0.2">
      <c r="A104" s="400"/>
      <c r="B104" s="400"/>
      <c r="C104" s="460"/>
      <c r="D104" s="460" t="s">
        <v>59</v>
      </c>
      <c r="E104" s="428" t="s">
        <v>57</v>
      </c>
      <c r="F104" s="436">
        <f>175</f>
        <v>175</v>
      </c>
      <c r="G104" s="461"/>
      <c r="H104" s="427"/>
      <c r="I104" s="436"/>
      <c r="J104" s="437">
        <f>SUM(U97:U103)-J110</f>
        <v>0.09</v>
      </c>
      <c r="K104" s="436">
        <f>157</f>
        <v>157</v>
      </c>
      <c r="L104" s="437">
        <v>1.87</v>
      </c>
    </row>
    <row r="105" spans="1:27" ht="14.25" x14ac:dyDescent="0.2">
      <c r="A105" s="400"/>
      <c r="B105" s="400"/>
      <c r="C105" s="460"/>
      <c r="D105" s="460" t="s">
        <v>60</v>
      </c>
      <c r="E105" s="428" t="s">
        <v>61</v>
      </c>
      <c r="F105" s="436">
        <f>[87]Source!AQ299</f>
        <v>48.1</v>
      </c>
      <c r="G105" s="461"/>
      <c r="H105" s="427">
        <f>[87]Source!DI299</f>
        <v>0</v>
      </c>
      <c r="I105" s="436">
        <f>[87]Source!AV299</f>
        <v>1.0669999999999999</v>
      </c>
      <c r="J105" s="437">
        <f>[87]Source!U299</f>
        <v>0.1</v>
      </c>
      <c r="K105" s="436"/>
      <c r="L105" s="437"/>
    </row>
    <row r="106" spans="1:27" ht="15" x14ac:dyDescent="0.25">
      <c r="I106" s="678">
        <f>J98+J99+J101+J102+J103+J104</f>
        <v>7.81</v>
      </c>
      <c r="J106" s="678"/>
      <c r="K106" s="678">
        <f>L98+L99+L101+L102+L103+L104</f>
        <v>125.22</v>
      </c>
      <c r="L106" s="678"/>
      <c r="O106" s="462">
        <f>J98+J99+J101+J102+J103+J104</f>
        <v>7.81</v>
      </c>
      <c r="P106" s="462">
        <f>L98+L99+L101+L102+L103+L104</f>
        <v>125.22</v>
      </c>
      <c r="X106" s="422">
        <f>IF([87]Source!BI299&lt;=1,J98+J99+J101+J102+J103+J104-0, 0)</f>
        <v>7.81</v>
      </c>
      <c r="Y106" s="422">
        <f>IF([87]Source!BI299=2,J98+J99+J101+J102+J103+J104-0, 0)</f>
        <v>0</v>
      </c>
      <c r="Z106" s="422">
        <f>IF([87]Source!BI299=3,J98+J99+J101+J102+J103+J104-0, 0)</f>
        <v>0</v>
      </c>
      <c r="AA106" s="422">
        <f>IF([87]Source!BI299=4,J98+J99+J101+J102+J103+J104,0)</f>
        <v>0</v>
      </c>
    </row>
    <row r="107" spans="1:27" ht="28.5" x14ac:dyDescent="0.2">
      <c r="A107" s="463"/>
      <c r="B107" s="463"/>
      <c r="C107" s="464"/>
      <c r="D107" s="464" t="s">
        <v>62</v>
      </c>
      <c r="E107" s="428"/>
      <c r="F107" s="434"/>
      <c r="G107" s="465"/>
      <c r="H107" s="428"/>
      <c r="I107" s="434"/>
      <c r="J107" s="435"/>
      <c r="K107" s="434"/>
      <c r="L107" s="435"/>
    </row>
    <row r="108" spans="1:27" ht="14.25" x14ac:dyDescent="0.2">
      <c r="A108" s="463"/>
      <c r="B108" s="463"/>
      <c r="C108" s="464"/>
      <c r="D108" s="464" t="s">
        <v>53</v>
      </c>
      <c r="E108" s="428"/>
      <c r="F108" s="434"/>
      <c r="G108" s="465">
        <f t="shared" ref="G108:L108" si="2">G109</f>
        <v>23.46</v>
      </c>
      <c r="H108" s="429" t="str">
        <f t="shared" si="2"/>
        <v>)*(1.67-1)</v>
      </c>
      <c r="I108" s="434">
        <f t="shared" si="2"/>
        <v>1.0669999999999999</v>
      </c>
      <c r="J108" s="435">
        <f t="shared" si="2"/>
        <v>0.03</v>
      </c>
      <c r="K108" s="434">
        <f t="shared" si="2"/>
        <v>24.23</v>
      </c>
      <c r="L108" s="435">
        <f t="shared" si="2"/>
        <v>0.79</v>
      </c>
    </row>
    <row r="109" spans="1:27" ht="14.25" x14ac:dyDescent="0.2">
      <c r="A109" s="463"/>
      <c r="B109" s="463"/>
      <c r="C109" s="464"/>
      <c r="D109" s="464" t="s">
        <v>54</v>
      </c>
      <c r="E109" s="428"/>
      <c r="F109" s="434"/>
      <c r="G109" s="465">
        <f>[87]Source!AN299</f>
        <v>23.46</v>
      </c>
      <c r="H109" s="429" t="s">
        <v>63</v>
      </c>
      <c r="I109" s="434">
        <f>[87]Source!AV299</f>
        <v>1.0669999999999999</v>
      </c>
      <c r="J109" s="435">
        <f>ROUND(F97*G109*I109*(1.67-1), 2)</f>
        <v>0.03</v>
      </c>
      <c r="K109" s="434">
        <f>IF([87]Source!BS299&lt;&gt; 0, [87]Source!BS299, 1)</f>
        <v>24.23</v>
      </c>
      <c r="L109" s="435">
        <f>ROUND(F97*G109*I109*(1.67-1)*K109, 2)</f>
        <v>0.79</v>
      </c>
      <c r="W109" s="422">
        <f>J109</f>
        <v>0.03</v>
      </c>
    </row>
    <row r="110" spans="1:27" ht="14.25" x14ac:dyDescent="0.2">
      <c r="A110" s="463"/>
      <c r="B110" s="463"/>
      <c r="C110" s="464"/>
      <c r="D110" s="464" t="s">
        <v>59</v>
      </c>
      <c r="E110" s="428" t="s">
        <v>57</v>
      </c>
      <c r="F110" s="434">
        <f>175</f>
        <v>175</v>
      </c>
      <c r="G110" s="465"/>
      <c r="H110" s="428"/>
      <c r="I110" s="434"/>
      <c r="J110" s="435">
        <f>ROUND(J109*(F110/100), 2)</f>
        <v>0.05</v>
      </c>
      <c r="K110" s="434">
        <f>157</f>
        <v>157</v>
      </c>
      <c r="L110" s="435">
        <f>ROUND(L109*(K110/100), 2)</f>
        <v>1.24</v>
      </c>
    </row>
    <row r="111" spans="1:27" ht="15" x14ac:dyDescent="0.25">
      <c r="I111" s="678">
        <f>J110+J109</f>
        <v>0.08</v>
      </c>
      <c r="J111" s="678"/>
      <c r="K111" s="678">
        <f>L110+L109</f>
        <v>2.0299999999999998</v>
      </c>
      <c r="L111" s="678"/>
      <c r="O111" s="462">
        <f>I111</f>
        <v>0.08</v>
      </c>
      <c r="P111" s="462">
        <f>K111</f>
        <v>2.0299999999999998</v>
      </c>
      <c r="X111" s="422">
        <f>IF([87]Source!BI299&lt;=1,I111, 0)</f>
        <v>0.08</v>
      </c>
      <c r="Y111" s="422">
        <f>IF([87]Source!BI299=2,I111, 0)</f>
        <v>0</v>
      </c>
      <c r="Z111" s="422">
        <f>IF([87]Source!BI299=3,I111, 0)</f>
        <v>0</v>
      </c>
      <c r="AA111" s="422">
        <f>IF([87]Source!BI299=4,I111, 0)</f>
        <v>0</v>
      </c>
    </row>
    <row r="113" spans="1:38" ht="15" x14ac:dyDescent="0.25">
      <c r="A113" s="466"/>
      <c r="B113" s="466"/>
      <c r="C113" s="467"/>
      <c r="D113" s="467" t="s">
        <v>64</v>
      </c>
      <c r="E113" s="468"/>
      <c r="F113" s="469"/>
      <c r="G113" s="470"/>
      <c r="H113" s="430"/>
      <c r="I113" s="678">
        <f>I106+I111</f>
        <v>7.89</v>
      </c>
      <c r="J113" s="678"/>
      <c r="K113" s="678">
        <f>K106+K111</f>
        <v>127.25</v>
      </c>
      <c r="L113" s="678"/>
    </row>
    <row r="114" spans="1:38" ht="85.5" x14ac:dyDescent="0.2">
      <c r="A114" s="400">
        <v>7</v>
      </c>
      <c r="B114" s="400">
        <v>106</v>
      </c>
      <c r="C114" s="460" t="str">
        <f>[87]Source!F301</f>
        <v>МКЭ-33-168/8-5 от 14.09.2018</v>
      </c>
      <c r="D114" s="460" t="s">
        <v>288</v>
      </c>
      <c r="E114" s="428" t="str">
        <f>[87]Source!H301</f>
        <v>шт.</v>
      </c>
      <c r="F114" s="436">
        <f>[87]Source!I301</f>
        <v>13</v>
      </c>
      <c r="G114" s="413">
        <f>J114/F114</f>
        <v>23.58</v>
      </c>
      <c r="H114" s="414">
        <v>1.02</v>
      </c>
      <c r="I114" s="415">
        <v>1</v>
      </c>
      <c r="J114" s="413">
        <f>L114/K114</f>
        <v>306.55</v>
      </c>
      <c r="K114" s="415">
        <v>5.58</v>
      </c>
      <c r="L114" s="413">
        <f>129*H114*F114</f>
        <v>1710.54</v>
      </c>
      <c r="Q114" s="422">
        <f>ROUND(([87]Source!DN301/100)*ROUND((ROUND(([87]Source!AF301*[87]Source!AV301*[87]Source!I301),2)),2), 2)</f>
        <v>0</v>
      </c>
      <c r="R114" s="422">
        <f>[87]Source!X301</f>
        <v>0</v>
      </c>
      <c r="S114" s="422">
        <f>ROUND(([87]Source!DO301/100)*ROUND((ROUND(([87]Source!AF301*[87]Source!AV301*[87]Source!I301),2)),2), 2)</f>
        <v>0</v>
      </c>
      <c r="T114" s="422">
        <f>[87]Source!Y301</f>
        <v>0</v>
      </c>
      <c r="U114" s="422">
        <f>ROUND((175/100)*ROUND((ROUND(([87]Source!AE301*[87]Source!AV301*[87]Source!I301),2)),2), 2)</f>
        <v>0</v>
      </c>
      <c r="V114" s="422">
        <f>ROUND((157/100)*ROUND(ROUND((ROUND(([87]Source!AE301*[87]Source!AV301*[87]Source!I301),2)*[87]Source!BS301),2), 2), 2)</f>
        <v>0</v>
      </c>
    </row>
    <row r="115" spans="1:38" ht="15" x14ac:dyDescent="0.25">
      <c r="A115" s="431"/>
      <c r="B115" s="431"/>
      <c r="C115" s="431"/>
      <c r="D115" s="431"/>
      <c r="E115" s="431"/>
      <c r="F115" s="431"/>
      <c r="G115" s="431"/>
      <c r="H115" s="431"/>
      <c r="I115" s="678">
        <f>J114</f>
        <v>306.55</v>
      </c>
      <c r="J115" s="678"/>
      <c r="K115" s="678">
        <f>L114</f>
        <v>1710.54</v>
      </c>
      <c r="L115" s="678"/>
      <c r="O115" s="462">
        <f>J114</f>
        <v>306.55</v>
      </c>
      <c r="P115" s="462">
        <f>L114</f>
        <v>1710.54</v>
      </c>
      <c r="X115" s="422">
        <f>IF([87]Source!BI301&lt;=1,J114-0, 0)</f>
        <v>306.55</v>
      </c>
      <c r="Y115" s="422">
        <f>IF([87]Source!BI301=2,J114-0, 0)</f>
        <v>0</v>
      </c>
      <c r="Z115" s="422">
        <f>IF([87]Source!BI301=3,J114-0, 0)</f>
        <v>0</v>
      </c>
      <c r="AA115" s="422">
        <f>IF([87]Source!BI301=4,J114,0)</f>
        <v>0</v>
      </c>
    </row>
    <row r="116" spans="1:38" ht="85.5" x14ac:dyDescent="0.2">
      <c r="A116" s="400">
        <v>8</v>
      </c>
      <c r="B116" s="400">
        <v>110</v>
      </c>
      <c r="C116" s="460" t="str">
        <f>[87]Source!F311</f>
        <v>1.12-10-23</v>
      </c>
      <c r="D116" s="460" t="s">
        <v>285</v>
      </c>
      <c r="E116" s="428" t="str">
        <f>[87]Source!H311</f>
        <v>КОМПЛЕКТ</v>
      </c>
      <c r="F116" s="436">
        <f>[87]Source!I311</f>
        <v>2</v>
      </c>
      <c r="G116" s="461">
        <f>[87]Source!AL311</f>
        <v>21.42</v>
      </c>
      <c r="H116" s="427">
        <f>[87]Source!DD311</f>
        <v>0</v>
      </c>
      <c r="I116" s="436">
        <f>[87]Source!AW311</f>
        <v>1</v>
      </c>
      <c r="J116" s="437">
        <f>ROUND((ROUND(([87]Source!AC311*[87]Source!AW311*[87]Source!I311),2)),2)</f>
        <v>42.84</v>
      </c>
      <c r="K116" s="436">
        <f>IF([87]Source!BC311&lt;&gt; 0, [87]Source!BC311, 1)</f>
        <v>8.08</v>
      </c>
      <c r="L116" s="437">
        <f>[87]Source!P311</f>
        <v>346.15</v>
      </c>
      <c r="Q116" s="422">
        <f>ROUND(([87]Source!DN311/100)*ROUND((ROUND(([87]Source!AF311*[87]Source!AV311*[87]Source!I311),2)),2), 2)</f>
        <v>0</v>
      </c>
      <c r="R116" s="422">
        <f>[87]Source!X311</f>
        <v>0</v>
      </c>
      <c r="S116" s="422">
        <f>ROUND(([87]Source!DO311/100)*ROUND((ROUND(([87]Source!AF311*[87]Source!AV311*[87]Source!I311),2)),2), 2)</f>
        <v>0</v>
      </c>
      <c r="T116" s="422">
        <f>[87]Source!Y311</f>
        <v>0</v>
      </c>
      <c r="U116" s="422">
        <f>ROUND((175/100)*ROUND((ROUND(([87]Source!AE311*[87]Source!AV311*[87]Source!I311),2)),2), 2)</f>
        <v>0</v>
      </c>
      <c r="V116" s="422">
        <f>ROUND((157/100)*ROUND(ROUND((ROUND(([87]Source!AE311*[87]Source!AV311*[87]Source!I311),2)*[87]Source!BS311),2), 2), 2)</f>
        <v>0</v>
      </c>
    </row>
    <row r="117" spans="1:38" ht="15" x14ac:dyDescent="0.25">
      <c r="A117" s="431"/>
      <c r="B117" s="431"/>
      <c r="C117" s="431"/>
      <c r="D117" s="431"/>
      <c r="E117" s="431"/>
      <c r="F117" s="431"/>
      <c r="G117" s="431"/>
      <c r="H117" s="431"/>
      <c r="I117" s="678">
        <f>J116</f>
        <v>42.84</v>
      </c>
      <c r="J117" s="678"/>
      <c r="K117" s="678">
        <f>L116</f>
        <v>346.15</v>
      </c>
      <c r="L117" s="678"/>
      <c r="O117" s="462">
        <f>J116</f>
        <v>42.84</v>
      </c>
      <c r="P117" s="462">
        <f>L116</f>
        <v>346.15</v>
      </c>
      <c r="X117" s="422">
        <f>IF([87]Source!BI311&lt;=1,J116-0, 0)</f>
        <v>42.84</v>
      </c>
      <c r="Y117" s="422">
        <f>IF([87]Source!BI311=2,J116-0, 0)</f>
        <v>0</v>
      </c>
      <c r="Z117" s="422">
        <f>IF([87]Source!BI311=3,J116-0, 0)</f>
        <v>0</v>
      </c>
      <c r="AA117" s="422">
        <f>IF([87]Source!BI311=4,J116,0)</f>
        <v>0</v>
      </c>
    </row>
    <row r="119" spans="1:38" ht="30" x14ac:dyDescent="0.25">
      <c r="A119" s="677" t="str">
        <f>CONCATENATE("Итого по разделу: ",IF([87]Source!G385&lt;&gt;"Новый раздел", [87]Source!G385, ""))</f>
        <v>Итого по разделу: ТУПИК ЗА СТ."АМИНЬЕВСКОЕ ШОССЕ". ХОЗЯЙСТВЕННО-ПИТЬЕВОЙ, ПРОИЗВОДСТВЕННЫЙ И ПРОТИВОПОЖАРНЫЙ ТОННЕЛЬНЫЙ ВОДОПРОВОД В1Т</v>
      </c>
      <c r="B119" s="677"/>
      <c r="C119" s="677"/>
      <c r="D119" s="677"/>
      <c r="E119" s="677"/>
      <c r="F119" s="677"/>
      <c r="G119" s="677"/>
      <c r="H119" s="677"/>
      <c r="I119" s="675">
        <f>SUM(O75:O118)</f>
        <v>949.71</v>
      </c>
      <c r="J119" s="676"/>
      <c r="K119" s="675">
        <f>SUM(P75:P118)</f>
        <v>6424.48</v>
      </c>
      <c r="L119" s="676"/>
      <c r="AL119" s="471" t="str">
        <f>CONCATENATE("Итого по разделу: ",IF([87]Source!G385&lt;&gt;"Новый раздел", [87]Source!G385, ""))</f>
        <v>Итого по разделу: ТУПИК ЗА СТ."АМИНЬЕВСКОЕ ШОССЕ". ХОЗЯЙСТВЕННО-ПИТЬЕВОЙ, ПРОИЗВОДСТВЕННЫЙ И ПРОТИВОПОЖАРНЫЙ ТОННЕЛЬНЫЙ ВОДОПРОВОД В1Т</v>
      </c>
    </row>
    <row r="120" spans="1:38" hidden="1" x14ac:dyDescent="0.2">
      <c r="A120" s="422" t="s">
        <v>67</v>
      </c>
      <c r="J120" s="422">
        <f>SUM(AC75:AC119)</f>
        <v>0</v>
      </c>
      <c r="K120" s="422">
        <f>SUM(AD75:AD119)</f>
        <v>0</v>
      </c>
    </row>
    <row r="121" spans="1:38" hidden="1" x14ac:dyDescent="0.2">
      <c r="A121" s="422" t="s">
        <v>68</v>
      </c>
      <c r="J121" s="422">
        <f>SUM(AE75:AE120)</f>
        <v>0</v>
      </c>
      <c r="K121" s="422">
        <f>SUM(AF75:AF120)</f>
        <v>0</v>
      </c>
    </row>
    <row r="123" spans="1:38" ht="15" x14ac:dyDescent="0.25">
      <c r="A123" s="677" t="str">
        <f>CONCATENATE("Итого по локальной смете: ",IF([87]Source!G414&lt;&gt;"Новая локальная смета", [87]Source!G414, ""))</f>
        <v>Итого по локальной смете: 0</v>
      </c>
      <c r="B123" s="677"/>
      <c r="C123" s="677"/>
      <c r="D123" s="677"/>
      <c r="E123" s="677"/>
      <c r="F123" s="677"/>
      <c r="G123" s="677"/>
      <c r="H123" s="677"/>
      <c r="I123" s="675">
        <f>SUM(O49:O122)</f>
        <v>1729.92</v>
      </c>
      <c r="J123" s="676"/>
      <c r="K123" s="675">
        <f>SUM(P49:P122)</f>
        <v>12377.68</v>
      </c>
      <c r="L123" s="676"/>
    </row>
    <row r="124" spans="1:38" hidden="1" x14ac:dyDescent="0.2">
      <c r="A124" s="422" t="s">
        <v>67</v>
      </c>
      <c r="J124" s="422">
        <f>SUM(AC49:AC123)</f>
        <v>0</v>
      </c>
      <c r="K124" s="422">
        <f>SUM(AD49:AD123)</f>
        <v>0</v>
      </c>
    </row>
    <row r="125" spans="1:38" hidden="1" x14ac:dyDescent="0.2">
      <c r="A125" s="422" t="s">
        <v>68</v>
      </c>
      <c r="J125" s="422">
        <f>SUM(AE49:AE124)</f>
        <v>0</v>
      </c>
      <c r="K125" s="422">
        <f>SUM(AF49:AF124)</f>
        <v>0</v>
      </c>
    </row>
    <row r="126" spans="1:38" ht="14.25" x14ac:dyDescent="0.2">
      <c r="D126" s="433" t="str">
        <f>[87]Source!H420</f>
        <v>Стоимость материалов (всего)</v>
      </c>
      <c r="E126" s="433"/>
      <c r="F126" s="433"/>
      <c r="G126" s="433"/>
      <c r="H126" s="433"/>
      <c r="I126" s="674">
        <f>SUMIF(D5:D117,"МР",J5:J117)+J116+J114+J95+J76+J68</f>
        <v>1550.9</v>
      </c>
      <c r="J126" s="671"/>
      <c r="K126" s="674">
        <f>SUMIF(D5:D117,"МР",L5:L117)+L116+L114+L95+L76+L68</f>
        <v>9301.93</v>
      </c>
      <c r="L126" s="671"/>
    </row>
    <row r="127" spans="1:38" ht="14.25" x14ac:dyDescent="0.2">
      <c r="D127" s="433" t="str">
        <f>[87]Source!H428</f>
        <v>ЗП машинистов</v>
      </c>
      <c r="E127" s="433"/>
      <c r="F127" s="433"/>
      <c r="G127" s="433"/>
      <c r="H127" s="433"/>
      <c r="I127" s="671">
        <f>SUMIF(D5:D117,"в т.ч. ЗПМ",J5:J117)</f>
        <v>12.85</v>
      </c>
      <c r="J127" s="671"/>
      <c r="K127" s="671">
        <f>SUMIF(D5:D117,"в т.ч. ЗПМ",L5:L117)</f>
        <v>311.43</v>
      </c>
      <c r="L127" s="671"/>
    </row>
    <row r="128" spans="1:38" ht="14.25" x14ac:dyDescent="0.2">
      <c r="D128" s="433" t="str">
        <f>[87]Source!H429</f>
        <v>Основная ЗП рабочих</v>
      </c>
      <c r="E128" s="433"/>
      <c r="F128" s="433"/>
      <c r="G128" s="433"/>
      <c r="H128" s="433"/>
      <c r="I128" s="671">
        <f>SUMIF(D5:D117,"ЗП",J5:J117)</f>
        <v>34.92</v>
      </c>
      <c r="J128" s="671"/>
      <c r="K128" s="671">
        <f>SUMIF(D5:D117,"ЗП",L5:L117)</f>
        <v>846.22</v>
      </c>
      <c r="L128" s="671"/>
    </row>
    <row r="129" spans="1:256" ht="14.25" x14ac:dyDescent="0.2">
      <c r="D129" s="433" t="str">
        <f>[87]Source!H439</f>
        <v>Накладные расходы</v>
      </c>
      <c r="E129" s="433"/>
      <c r="F129" s="433"/>
      <c r="G129" s="433"/>
      <c r="H129" s="433"/>
      <c r="I129" s="671">
        <f>SUMIF(D5:D117,"НР от ЗП",J5:J117)</f>
        <v>45.55</v>
      </c>
      <c r="J129" s="671"/>
      <c r="K129" s="671">
        <f>SUMIF(D5:D117,"НР от ЗП",L5:L117)</f>
        <v>880.63</v>
      </c>
      <c r="L129" s="671"/>
    </row>
    <row r="130" spans="1:256" ht="14.25" x14ac:dyDescent="0.2">
      <c r="D130" s="433" t="str">
        <f>[87]Source!H440</f>
        <v>Сметная прибыль</v>
      </c>
      <c r="E130" s="433"/>
      <c r="F130" s="433"/>
      <c r="G130" s="433"/>
      <c r="H130" s="433"/>
      <c r="I130" s="671">
        <f>SUMIF(D5:D117,"СП от ЗП",J5:J117)</f>
        <v>37.32</v>
      </c>
      <c r="J130" s="671"/>
      <c r="K130" s="671">
        <f>SUMIF(D5:D117,"СП от ЗП",L5:L117)</f>
        <v>426.69</v>
      </c>
      <c r="L130" s="671"/>
    </row>
    <row r="132" spans="1:256" ht="15" x14ac:dyDescent="0.25">
      <c r="A132" s="237"/>
      <c r="B132" s="237"/>
      <c r="C132" s="237"/>
      <c r="D132" s="623" t="s">
        <v>191</v>
      </c>
      <c r="E132" s="623"/>
      <c r="F132" s="623"/>
      <c r="G132" s="623"/>
      <c r="H132" s="623"/>
      <c r="I132" s="368"/>
      <c r="J132" s="369">
        <v>0</v>
      </c>
      <c r="K132" s="369"/>
      <c r="L132" s="369">
        <v>0</v>
      </c>
      <c r="M132" s="370" t="e">
        <v>#REF!</v>
      </c>
      <c r="N132" s="371"/>
      <c r="O132" s="371"/>
      <c r="P132" s="371"/>
      <c r="Q132" s="371"/>
      <c r="R132" s="371"/>
      <c r="S132" s="371"/>
      <c r="T132" s="371"/>
      <c r="U132" s="371"/>
      <c r="V132" s="371"/>
      <c r="W132" s="371"/>
      <c r="X132" s="371"/>
      <c r="Y132" s="371"/>
      <c r="Z132" s="371"/>
      <c r="AA132" s="371"/>
      <c r="AB132" s="371"/>
      <c r="AC132" s="371"/>
      <c r="AD132" s="371"/>
      <c r="AE132" s="371"/>
      <c r="AF132" s="371"/>
      <c r="AG132" s="371"/>
      <c r="AH132" s="371"/>
      <c r="AI132" s="371"/>
      <c r="AJ132" s="371"/>
      <c r="AK132" s="371"/>
      <c r="AL132" s="371"/>
      <c r="AM132" s="371"/>
      <c r="AN132" s="371"/>
      <c r="AO132" s="371"/>
      <c r="AP132" s="371"/>
      <c r="AQ132" s="371"/>
      <c r="AR132" s="371"/>
      <c r="AS132" s="371"/>
      <c r="AT132" s="371"/>
      <c r="AU132" s="371"/>
      <c r="AV132" s="371"/>
      <c r="AW132" s="371"/>
      <c r="AX132" s="371"/>
      <c r="AY132" s="371"/>
      <c r="AZ132" s="371"/>
      <c r="BA132" s="371"/>
      <c r="BB132" s="371"/>
      <c r="BC132" s="371"/>
      <c r="BD132" s="371"/>
      <c r="BE132" s="371"/>
      <c r="BF132" s="371"/>
      <c r="BG132" s="371"/>
      <c r="BH132" s="371"/>
      <c r="BI132" s="371"/>
      <c r="BJ132" s="371"/>
      <c r="BK132" s="371"/>
      <c r="BL132" s="371"/>
      <c r="BM132" s="371"/>
      <c r="BN132" s="371"/>
      <c r="BO132" s="371"/>
      <c r="BP132" s="371"/>
      <c r="BQ132" s="371"/>
      <c r="BR132" s="371"/>
      <c r="BS132" s="371"/>
      <c r="BT132" s="371"/>
      <c r="BU132" s="371"/>
      <c r="BV132" s="371"/>
      <c r="BW132" s="371"/>
      <c r="BX132" s="371"/>
      <c r="BY132" s="371"/>
      <c r="BZ132" s="371"/>
      <c r="CA132" s="371"/>
      <c r="CB132" s="371"/>
      <c r="CC132" s="371"/>
      <c r="CD132" s="371"/>
      <c r="CE132" s="371"/>
      <c r="CF132" s="371"/>
      <c r="CG132" s="371"/>
      <c r="CH132" s="371"/>
      <c r="CI132" s="371"/>
      <c r="CJ132" s="371"/>
      <c r="CK132" s="371"/>
      <c r="CL132" s="371"/>
      <c r="CM132" s="371"/>
      <c r="CN132" s="371"/>
      <c r="CO132" s="371"/>
      <c r="CP132" s="371"/>
      <c r="CQ132" s="371"/>
      <c r="CR132" s="371"/>
      <c r="CS132" s="371"/>
      <c r="CT132" s="371"/>
      <c r="CU132" s="371"/>
      <c r="CV132" s="371"/>
      <c r="CW132" s="371"/>
      <c r="CX132" s="371"/>
      <c r="CY132" s="371"/>
      <c r="CZ132" s="371"/>
      <c r="DA132" s="371"/>
      <c r="DB132" s="371"/>
      <c r="DC132" s="371"/>
      <c r="DD132" s="371"/>
      <c r="DE132" s="371"/>
      <c r="DF132" s="371"/>
      <c r="DG132" s="371"/>
      <c r="DH132" s="371"/>
      <c r="DI132" s="371"/>
      <c r="DJ132" s="371"/>
      <c r="DK132" s="371"/>
      <c r="DL132" s="371"/>
      <c r="DM132" s="371"/>
      <c r="DN132" s="371"/>
      <c r="DO132" s="371"/>
      <c r="DP132" s="371"/>
      <c r="DQ132" s="371"/>
      <c r="DR132" s="371"/>
      <c r="DS132" s="371"/>
      <c r="DT132" s="371"/>
      <c r="DU132" s="371"/>
      <c r="DV132" s="371"/>
      <c r="DW132" s="371"/>
      <c r="DX132" s="371"/>
      <c r="DY132" s="371"/>
      <c r="DZ132" s="371"/>
      <c r="EA132" s="371"/>
      <c r="EB132" s="371"/>
      <c r="EC132" s="371"/>
      <c r="ED132" s="371"/>
      <c r="EE132" s="371"/>
      <c r="EF132" s="371"/>
      <c r="EG132" s="371"/>
      <c r="EH132" s="371"/>
      <c r="EI132" s="371"/>
      <c r="EJ132" s="371"/>
      <c r="EK132" s="371"/>
      <c r="EL132" s="371"/>
      <c r="EM132" s="371"/>
      <c r="EN132" s="371"/>
      <c r="EO132" s="371"/>
      <c r="EP132" s="371"/>
      <c r="EQ132" s="371"/>
      <c r="ER132" s="371"/>
      <c r="ES132" s="371"/>
      <c r="ET132" s="371"/>
      <c r="EU132" s="371"/>
      <c r="EV132" s="371"/>
      <c r="EW132" s="371"/>
      <c r="EX132" s="371"/>
      <c r="EY132" s="371"/>
      <c r="EZ132" s="371"/>
      <c r="FA132" s="371"/>
      <c r="FB132" s="371"/>
      <c r="FC132" s="371"/>
      <c r="FD132" s="371"/>
      <c r="FE132" s="371"/>
      <c r="FF132" s="371"/>
      <c r="FG132" s="371"/>
      <c r="FH132" s="371"/>
      <c r="FI132" s="371"/>
      <c r="FJ132" s="371"/>
      <c r="FK132" s="371"/>
      <c r="FL132" s="371"/>
      <c r="FM132" s="371"/>
      <c r="FN132" s="371"/>
      <c r="FO132" s="371"/>
      <c r="FP132" s="371"/>
      <c r="FQ132" s="371"/>
      <c r="FR132" s="371"/>
      <c r="FS132" s="371"/>
      <c r="FT132" s="371"/>
      <c r="FU132" s="371"/>
      <c r="FV132" s="371"/>
      <c r="FW132" s="371"/>
      <c r="FX132" s="371"/>
      <c r="FY132" s="371"/>
      <c r="FZ132" s="371"/>
      <c r="GA132" s="371"/>
      <c r="GB132" s="371"/>
      <c r="GC132" s="371"/>
      <c r="GD132" s="371"/>
      <c r="GE132" s="371"/>
      <c r="GF132" s="371"/>
      <c r="GG132" s="371"/>
      <c r="GH132" s="371"/>
      <c r="GI132" s="371"/>
      <c r="GJ132" s="371"/>
      <c r="GK132" s="371"/>
      <c r="GL132" s="371"/>
      <c r="GM132" s="371"/>
      <c r="GN132" s="371"/>
      <c r="GO132" s="371"/>
      <c r="GP132" s="371"/>
      <c r="GQ132" s="371"/>
      <c r="GR132" s="371"/>
      <c r="GS132" s="371"/>
      <c r="GT132" s="371"/>
      <c r="GU132" s="371"/>
      <c r="GV132" s="371"/>
      <c r="GW132" s="371"/>
      <c r="GX132" s="371"/>
      <c r="GY132" s="371"/>
      <c r="GZ132" s="371"/>
      <c r="HA132" s="371"/>
      <c r="HB132" s="371"/>
      <c r="HC132" s="371"/>
      <c r="HD132" s="371"/>
      <c r="HE132" s="371"/>
      <c r="HF132" s="371"/>
      <c r="HG132" s="371"/>
      <c r="HH132" s="371"/>
      <c r="HI132" s="371"/>
      <c r="HJ132" s="371"/>
      <c r="HK132" s="371"/>
      <c r="HL132" s="371"/>
      <c r="HM132" s="371"/>
      <c r="HN132" s="371"/>
      <c r="HO132" s="371"/>
      <c r="HP132" s="371"/>
      <c r="HQ132" s="371"/>
      <c r="HR132" s="371"/>
      <c r="HS132" s="371"/>
      <c r="HT132" s="371"/>
      <c r="HU132" s="371"/>
      <c r="HV132" s="371"/>
      <c r="HW132" s="371"/>
      <c r="HX132" s="371"/>
      <c r="HY132" s="371"/>
      <c r="HZ132" s="371"/>
      <c r="IA132" s="371"/>
      <c r="IB132" s="371"/>
      <c r="IC132" s="371"/>
      <c r="ID132" s="371"/>
      <c r="IE132" s="371"/>
      <c r="IF132" s="371"/>
      <c r="IG132" s="371"/>
      <c r="IH132" s="371"/>
      <c r="II132" s="371"/>
      <c r="IJ132" s="371"/>
      <c r="IK132" s="371"/>
      <c r="IL132" s="371"/>
      <c r="IM132" s="371"/>
      <c r="IN132" s="371"/>
      <c r="IO132" s="371"/>
      <c r="IP132" s="371"/>
      <c r="IQ132" s="371"/>
      <c r="IR132" s="371"/>
      <c r="IS132" s="371"/>
      <c r="IT132" s="371"/>
      <c r="IU132" s="371"/>
      <c r="IV132" s="371"/>
    </row>
    <row r="133" spans="1:256" ht="15" x14ac:dyDescent="0.25">
      <c r="A133" s="239"/>
      <c r="B133" s="239"/>
      <c r="C133" s="239"/>
      <c r="D133" s="623" t="s">
        <v>192</v>
      </c>
      <c r="E133" s="623"/>
      <c r="F133" s="623"/>
      <c r="G133" s="623"/>
      <c r="H133" s="623"/>
      <c r="I133" s="368"/>
      <c r="J133" s="369">
        <v>0</v>
      </c>
      <c r="K133" s="372"/>
      <c r="L133" s="369">
        <v>0</v>
      </c>
      <c r="M133" s="370"/>
      <c r="N133" s="373"/>
      <c r="O133" s="373"/>
      <c r="P133" s="373"/>
      <c r="Q133" s="373"/>
      <c r="R133" s="373"/>
      <c r="S133" s="373"/>
      <c r="T133" s="373"/>
      <c r="U133" s="373"/>
      <c r="V133" s="373"/>
      <c r="W133" s="373"/>
      <c r="X133" s="373"/>
      <c r="Y133" s="373"/>
      <c r="Z133" s="373"/>
      <c r="AA133" s="373"/>
      <c r="AB133" s="373"/>
      <c r="AC133" s="373"/>
      <c r="AD133" s="373"/>
      <c r="AE133" s="373"/>
      <c r="AF133" s="373"/>
      <c r="AG133" s="373"/>
      <c r="AH133" s="373"/>
      <c r="AI133" s="373"/>
      <c r="AJ133" s="373"/>
      <c r="AK133" s="373"/>
      <c r="AL133" s="373"/>
      <c r="AM133" s="373"/>
      <c r="AN133" s="373"/>
      <c r="AO133" s="373"/>
      <c r="AP133" s="373"/>
      <c r="AQ133" s="373"/>
      <c r="AR133" s="373"/>
      <c r="AS133" s="373"/>
      <c r="AT133" s="373"/>
      <c r="AU133" s="373"/>
      <c r="AV133" s="373"/>
      <c r="AW133" s="373"/>
      <c r="AX133" s="373"/>
      <c r="AY133" s="373"/>
      <c r="AZ133" s="373"/>
      <c r="BA133" s="373"/>
      <c r="BB133" s="373"/>
      <c r="BC133" s="373"/>
      <c r="BD133" s="373"/>
      <c r="BE133" s="373"/>
      <c r="BF133" s="373"/>
      <c r="BG133" s="373"/>
      <c r="BH133" s="373"/>
      <c r="BI133" s="373"/>
      <c r="BJ133" s="373"/>
      <c r="BK133" s="373"/>
      <c r="BL133" s="373"/>
      <c r="BM133" s="373"/>
      <c r="BN133" s="373"/>
      <c r="BO133" s="373"/>
      <c r="BP133" s="373"/>
      <c r="BQ133" s="373"/>
      <c r="BR133" s="373"/>
      <c r="BS133" s="373"/>
      <c r="BT133" s="373"/>
      <c r="BU133" s="373"/>
      <c r="BV133" s="373"/>
      <c r="BW133" s="373"/>
      <c r="BX133" s="373"/>
      <c r="BY133" s="373"/>
      <c r="BZ133" s="373"/>
      <c r="CA133" s="373"/>
      <c r="CB133" s="373"/>
      <c r="CC133" s="373"/>
      <c r="CD133" s="373"/>
      <c r="CE133" s="373"/>
      <c r="CF133" s="373"/>
      <c r="CG133" s="373"/>
      <c r="CH133" s="373"/>
      <c r="CI133" s="373"/>
      <c r="CJ133" s="373"/>
      <c r="CK133" s="373"/>
      <c r="CL133" s="373"/>
      <c r="CM133" s="373"/>
      <c r="CN133" s="373"/>
      <c r="CO133" s="373"/>
      <c r="CP133" s="373"/>
      <c r="CQ133" s="373"/>
      <c r="CR133" s="373"/>
      <c r="CS133" s="373"/>
      <c r="CT133" s="373"/>
      <c r="CU133" s="373"/>
      <c r="CV133" s="373"/>
      <c r="CW133" s="373"/>
      <c r="CX133" s="373"/>
      <c r="CY133" s="373"/>
      <c r="CZ133" s="373"/>
      <c r="DA133" s="373"/>
      <c r="DB133" s="373"/>
      <c r="DC133" s="373"/>
      <c r="DD133" s="373"/>
      <c r="DE133" s="373"/>
      <c r="DF133" s="373"/>
      <c r="DG133" s="373"/>
      <c r="DH133" s="373"/>
      <c r="DI133" s="373"/>
      <c r="DJ133" s="373"/>
      <c r="DK133" s="373"/>
      <c r="DL133" s="373"/>
      <c r="DM133" s="373"/>
      <c r="DN133" s="373"/>
      <c r="DO133" s="373"/>
      <c r="DP133" s="373"/>
      <c r="DQ133" s="373"/>
      <c r="DR133" s="373"/>
      <c r="DS133" s="373"/>
      <c r="DT133" s="373"/>
      <c r="DU133" s="373"/>
      <c r="DV133" s="373"/>
      <c r="DW133" s="373"/>
      <c r="DX133" s="373"/>
      <c r="DY133" s="373"/>
      <c r="DZ133" s="373"/>
      <c r="EA133" s="373"/>
      <c r="EB133" s="373"/>
      <c r="EC133" s="373"/>
      <c r="ED133" s="373"/>
      <c r="EE133" s="373"/>
      <c r="EF133" s="373"/>
      <c r="EG133" s="373"/>
      <c r="EH133" s="373"/>
      <c r="EI133" s="373"/>
      <c r="EJ133" s="373"/>
      <c r="EK133" s="373"/>
      <c r="EL133" s="373"/>
      <c r="EM133" s="373"/>
      <c r="EN133" s="373"/>
      <c r="EO133" s="373"/>
      <c r="EP133" s="373"/>
      <c r="EQ133" s="373"/>
      <c r="ER133" s="373"/>
      <c r="ES133" s="373"/>
      <c r="ET133" s="373"/>
      <c r="EU133" s="373"/>
      <c r="EV133" s="373"/>
      <c r="EW133" s="373"/>
      <c r="EX133" s="373"/>
      <c r="EY133" s="373"/>
      <c r="EZ133" s="373"/>
      <c r="FA133" s="373"/>
      <c r="FB133" s="373"/>
      <c r="FC133" s="373"/>
      <c r="FD133" s="373"/>
      <c r="FE133" s="373"/>
      <c r="FF133" s="373"/>
      <c r="FG133" s="373"/>
      <c r="FH133" s="373"/>
      <c r="FI133" s="373"/>
      <c r="FJ133" s="373"/>
      <c r="FK133" s="373"/>
      <c r="FL133" s="373"/>
      <c r="FM133" s="373"/>
      <c r="FN133" s="373"/>
      <c r="FO133" s="373"/>
      <c r="FP133" s="373"/>
      <c r="FQ133" s="373"/>
      <c r="FR133" s="373"/>
      <c r="FS133" s="373"/>
      <c r="FT133" s="373"/>
      <c r="FU133" s="373"/>
      <c r="FV133" s="373"/>
      <c r="FW133" s="373"/>
      <c r="FX133" s="373"/>
      <c r="FY133" s="373"/>
      <c r="FZ133" s="373"/>
      <c r="GA133" s="373"/>
      <c r="GB133" s="373"/>
      <c r="GC133" s="373"/>
      <c r="GD133" s="373"/>
      <c r="GE133" s="373"/>
      <c r="GF133" s="373"/>
      <c r="GG133" s="373"/>
      <c r="GH133" s="373"/>
      <c r="GI133" s="373"/>
      <c r="GJ133" s="373"/>
      <c r="GK133" s="373"/>
      <c r="GL133" s="373"/>
      <c r="GM133" s="373"/>
      <c r="GN133" s="373"/>
      <c r="GO133" s="373"/>
      <c r="GP133" s="373"/>
      <c r="GQ133" s="373"/>
      <c r="GR133" s="373"/>
      <c r="GS133" s="373"/>
      <c r="GT133" s="373"/>
      <c r="GU133" s="373"/>
      <c r="GV133" s="373"/>
      <c r="GW133" s="373"/>
      <c r="GX133" s="373"/>
      <c r="GY133" s="373"/>
      <c r="GZ133" s="373"/>
      <c r="HA133" s="373"/>
      <c r="HB133" s="373"/>
      <c r="HC133" s="373"/>
      <c r="HD133" s="373"/>
      <c r="HE133" s="373"/>
      <c r="HF133" s="373"/>
      <c r="HG133" s="373"/>
      <c r="HH133" s="373"/>
      <c r="HI133" s="373"/>
      <c r="HJ133" s="373"/>
      <c r="HK133" s="373"/>
      <c r="HL133" s="373"/>
      <c r="HM133" s="373"/>
      <c r="HN133" s="373"/>
      <c r="HO133" s="373"/>
      <c r="HP133" s="373"/>
      <c r="HQ133" s="373"/>
      <c r="HR133" s="373"/>
      <c r="HS133" s="373"/>
      <c r="HT133" s="373"/>
      <c r="HU133" s="373"/>
      <c r="HV133" s="373"/>
      <c r="HW133" s="373"/>
      <c r="HX133" s="373"/>
      <c r="HY133" s="373"/>
      <c r="HZ133" s="373"/>
      <c r="IA133" s="373"/>
      <c r="IB133" s="373"/>
      <c r="IC133" s="373"/>
      <c r="ID133" s="373"/>
      <c r="IE133" s="373"/>
      <c r="IF133" s="373"/>
      <c r="IG133" s="373"/>
      <c r="IH133" s="373"/>
      <c r="II133" s="373"/>
      <c r="IJ133" s="373"/>
      <c r="IK133" s="373"/>
      <c r="IL133" s="373"/>
      <c r="IM133" s="373"/>
      <c r="IN133" s="373"/>
      <c r="IO133" s="373"/>
      <c r="IP133" s="373"/>
      <c r="IQ133" s="373"/>
      <c r="IR133" s="373"/>
      <c r="IS133" s="373"/>
      <c r="IT133" s="373"/>
      <c r="IU133" s="373"/>
      <c r="IV133" s="373"/>
    </row>
    <row r="134" spans="1:256" ht="15" x14ac:dyDescent="0.25">
      <c r="A134" s="239"/>
      <c r="B134" s="239"/>
      <c r="C134" s="239"/>
      <c r="D134" s="372" t="s">
        <v>193</v>
      </c>
      <c r="E134" s="372"/>
      <c r="F134" s="372"/>
      <c r="G134" s="372"/>
      <c r="H134" s="372"/>
      <c r="I134" s="372"/>
      <c r="J134" s="369">
        <v>0</v>
      </c>
      <c r="K134" s="372"/>
      <c r="L134" s="369">
        <v>0</v>
      </c>
      <c r="M134" s="370"/>
      <c r="N134" s="373"/>
      <c r="O134" s="373"/>
      <c r="P134" s="373"/>
      <c r="Q134" s="373"/>
      <c r="R134" s="373"/>
      <c r="S134" s="373"/>
      <c r="T134" s="373"/>
      <c r="U134" s="373"/>
      <c r="V134" s="373"/>
      <c r="W134" s="373"/>
      <c r="X134" s="373"/>
      <c r="Y134" s="373"/>
      <c r="Z134" s="373"/>
      <c r="AA134" s="373"/>
      <c r="AB134" s="373"/>
      <c r="AC134" s="373"/>
      <c r="AD134" s="373"/>
      <c r="AE134" s="373"/>
      <c r="AF134" s="373"/>
      <c r="AG134" s="373"/>
      <c r="AH134" s="373"/>
      <c r="AI134" s="373"/>
      <c r="AJ134" s="373"/>
      <c r="AK134" s="373"/>
      <c r="AL134" s="373"/>
      <c r="AM134" s="373"/>
      <c r="AN134" s="373"/>
      <c r="AO134" s="373"/>
      <c r="AP134" s="373"/>
      <c r="AQ134" s="373"/>
      <c r="AR134" s="373"/>
      <c r="AS134" s="373"/>
      <c r="AT134" s="373"/>
      <c r="AU134" s="373"/>
      <c r="AV134" s="373"/>
      <c r="AW134" s="373"/>
      <c r="AX134" s="373"/>
      <c r="AY134" s="373"/>
      <c r="AZ134" s="373"/>
      <c r="BA134" s="373"/>
      <c r="BB134" s="373"/>
      <c r="BC134" s="373"/>
      <c r="BD134" s="373"/>
      <c r="BE134" s="373"/>
      <c r="BF134" s="373"/>
      <c r="BG134" s="373"/>
      <c r="BH134" s="373"/>
      <c r="BI134" s="373"/>
      <c r="BJ134" s="373"/>
      <c r="BK134" s="373"/>
      <c r="BL134" s="373"/>
      <c r="BM134" s="373"/>
      <c r="BN134" s="373"/>
      <c r="BO134" s="373"/>
      <c r="BP134" s="373"/>
      <c r="BQ134" s="373"/>
      <c r="BR134" s="373"/>
      <c r="BS134" s="373"/>
      <c r="BT134" s="373"/>
      <c r="BU134" s="373"/>
      <c r="BV134" s="373"/>
      <c r="BW134" s="373"/>
      <c r="BX134" s="373"/>
      <c r="BY134" s="373"/>
      <c r="BZ134" s="373"/>
      <c r="CA134" s="373"/>
      <c r="CB134" s="373"/>
      <c r="CC134" s="373"/>
      <c r="CD134" s="373"/>
      <c r="CE134" s="373"/>
      <c r="CF134" s="373"/>
      <c r="CG134" s="373"/>
      <c r="CH134" s="373"/>
      <c r="CI134" s="373"/>
      <c r="CJ134" s="373"/>
      <c r="CK134" s="373"/>
      <c r="CL134" s="373"/>
      <c r="CM134" s="373"/>
      <c r="CN134" s="373"/>
      <c r="CO134" s="373"/>
      <c r="CP134" s="373"/>
      <c r="CQ134" s="373"/>
      <c r="CR134" s="373"/>
      <c r="CS134" s="373"/>
      <c r="CT134" s="373"/>
      <c r="CU134" s="373"/>
      <c r="CV134" s="373"/>
      <c r="CW134" s="373"/>
      <c r="CX134" s="373"/>
      <c r="CY134" s="373"/>
      <c r="CZ134" s="373"/>
      <c r="DA134" s="373"/>
      <c r="DB134" s="373"/>
      <c r="DC134" s="373"/>
      <c r="DD134" s="373"/>
      <c r="DE134" s="373"/>
      <c r="DF134" s="373"/>
      <c r="DG134" s="373"/>
      <c r="DH134" s="373"/>
      <c r="DI134" s="373"/>
      <c r="DJ134" s="373"/>
      <c r="DK134" s="373"/>
      <c r="DL134" s="373"/>
      <c r="DM134" s="373"/>
      <c r="DN134" s="373"/>
      <c r="DO134" s="373"/>
      <c r="DP134" s="373"/>
      <c r="DQ134" s="373"/>
      <c r="DR134" s="373"/>
      <c r="DS134" s="373"/>
      <c r="DT134" s="373"/>
      <c r="DU134" s="373"/>
      <c r="DV134" s="373"/>
      <c r="DW134" s="373"/>
      <c r="DX134" s="373"/>
      <c r="DY134" s="373"/>
      <c r="DZ134" s="373"/>
      <c r="EA134" s="373"/>
      <c r="EB134" s="373"/>
      <c r="EC134" s="373"/>
      <c r="ED134" s="373"/>
      <c r="EE134" s="373"/>
      <c r="EF134" s="373"/>
      <c r="EG134" s="373"/>
      <c r="EH134" s="373"/>
      <c r="EI134" s="373"/>
      <c r="EJ134" s="373"/>
      <c r="EK134" s="373"/>
      <c r="EL134" s="373"/>
      <c r="EM134" s="373"/>
      <c r="EN134" s="373"/>
      <c r="EO134" s="373"/>
      <c r="EP134" s="373"/>
      <c r="EQ134" s="373"/>
      <c r="ER134" s="373"/>
      <c r="ES134" s="373"/>
      <c r="ET134" s="373"/>
      <c r="EU134" s="373"/>
      <c r="EV134" s="373"/>
      <c r="EW134" s="373"/>
      <c r="EX134" s="373"/>
      <c r="EY134" s="373"/>
      <c r="EZ134" s="373"/>
      <c r="FA134" s="373"/>
      <c r="FB134" s="373"/>
      <c r="FC134" s="373"/>
      <c r="FD134" s="373"/>
      <c r="FE134" s="373"/>
      <c r="FF134" s="373"/>
      <c r="FG134" s="373"/>
      <c r="FH134" s="373"/>
      <c r="FI134" s="373"/>
      <c r="FJ134" s="373"/>
      <c r="FK134" s="373"/>
      <c r="FL134" s="373"/>
      <c r="FM134" s="373"/>
      <c r="FN134" s="373"/>
      <c r="FO134" s="373"/>
      <c r="FP134" s="373"/>
      <c r="FQ134" s="373"/>
      <c r="FR134" s="373"/>
      <c r="FS134" s="373"/>
      <c r="FT134" s="373"/>
      <c r="FU134" s="373"/>
      <c r="FV134" s="373"/>
      <c r="FW134" s="373"/>
      <c r="FX134" s="373"/>
      <c r="FY134" s="373"/>
      <c r="FZ134" s="373"/>
      <c r="GA134" s="373"/>
      <c r="GB134" s="373"/>
      <c r="GC134" s="373"/>
      <c r="GD134" s="373"/>
      <c r="GE134" s="373"/>
      <c r="GF134" s="373"/>
      <c r="GG134" s="373"/>
      <c r="GH134" s="373"/>
      <c r="GI134" s="373"/>
      <c r="GJ134" s="373"/>
      <c r="GK134" s="373"/>
      <c r="GL134" s="373"/>
      <c r="GM134" s="373"/>
      <c r="GN134" s="373"/>
      <c r="GO134" s="373"/>
      <c r="GP134" s="373"/>
      <c r="GQ134" s="373"/>
      <c r="GR134" s="373"/>
      <c r="GS134" s="373"/>
      <c r="GT134" s="373"/>
      <c r="GU134" s="373"/>
      <c r="GV134" s="373"/>
      <c r="GW134" s="373"/>
      <c r="GX134" s="373"/>
      <c r="GY134" s="373"/>
      <c r="GZ134" s="373"/>
      <c r="HA134" s="373"/>
      <c r="HB134" s="373"/>
      <c r="HC134" s="373"/>
      <c r="HD134" s="373"/>
      <c r="HE134" s="373"/>
      <c r="HF134" s="373"/>
      <c r="HG134" s="373"/>
      <c r="HH134" s="373"/>
      <c r="HI134" s="373"/>
      <c r="HJ134" s="373"/>
      <c r="HK134" s="373"/>
      <c r="HL134" s="373"/>
      <c r="HM134" s="373"/>
      <c r="HN134" s="373"/>
      <c r="HO134" s="373"/>
      <c r="HP134" s="373"/>
      <c r="HQ134" s="373"/>
      <c r="HR134" s="373"/>
      <c r="HS134" s="373"/>
      <c r="HT134" s="373"/>
      <c r="HU134" s="373"/>
      <c r="HV134" s="373"/>
      <c r="HW134" s="373"/>
      <c r="HX134" s="373"/>
      <c r="HY134" s="373"/>
      <c r="HZ134" s="373"/>
      <c r="IA134" s="373"/>
      <c r="IB134" s="373"/>
      <c r="IC134" s="373"/>
      <c r="ID134" s="373"/>
      <c r="IE134" s="373"/>
      <c r="IF134" s="373"/>
      <c r="IG134" s="373"/>
      <c r="IH134" s="373"/>
      <c r="II134" s="373"/>
      <c r="IJ134" s="373"/>
      <c r="IK134" s="373"/>
      <c r="IL134" s="373"/>
      <c r="IM134" s="373"/>
      <c r="IN134" s="373"/>
      <c r="IO134" s="373"/>
      <c r="IP134" s="373"/>
      <c r="IQ134" s="373"/>
      <c r="IR134" s="373"/>
      <c r="IS134" s="373"/>
      <c r="IT134" s="373"/>
      <c r="IU134" s="373"/>
      <c r="IV134" s="373"/>
    </row>
    <row r="135" spans="1:256" ht="14.25" x14ac:dyDescent="0.2">
      <c r="A135" s="241"/>
      <c r="B135" s="241"/>
      <c r="C135" s="241"/>
      <c r="D135" s="241"/>
      <c r="E135" s="241"/>
      <c r="F135" s="241"/>
      <c r="G135" s="241"/>
      <c r="H135" s="241"/>
      <c r="I135" s="241"/>
      <c r="J135" s="241"/>
      <c r="K135" s="241"/>
      <c r="L135" s="241"/>
      <c r="M135" s="374"/>
      <c r="N135" s="375"/>
      <c r="O135" s="375"/>
      <c r="P135" s="375"/>
      <c r="Q135" s="375"/>
      <c r="R135" s="375"/>
      <c r="S135" s="375"/>
      <c r="T135" s="375"/>
      <c r="U135" s="375"/>
      <c r="V135" s="375"/>
      <c r="W135" s="375"/>
      <c r="X135" s="375"/>
      <c r="Y135" s="375"/>
      <c r="Z135" s="375"/>
      <c r="AA135" s="375"/>
      <c r="AB135" s="375"/>
      <c r="AC135" s="375"/>
      <c r="AD135" s="375"/>
      <c r="AE135" s="375"/>
      <c r="AF135" s="375"/>
      <c r="AG135" s="375"/>
      <c r="AH135" s="375"/>
      <c r="AI135" s="375"/>
      <c r="AJ135" s="375"/>
      <c r="AK135" s="375"/>
      <c r="AL135" s="375"/>
      <c r="AM135" s="375"/>
      <c r="AN135" s="375"/>
      <c r="AO135" s="375"/>
      <c r="AP135" s="375"/>
      <c r="AQ135" s="375"/>
      <c r="AR135" s="375"/>
      <c r="AS135" s="375"/>
      <c r="AT135" s="375"/>
      <c r="AU135" s="375"/>
      <c r="AV135" s="375"/>
      <c r="AW135" s="375"/>
      <c r="AX135" s="375"/>
      <c r="AY135" s="375"/>
      <c r="AZ135" s="375"/>
      <c r="BA135" s="375"/>
      <c r="BB135" s="375"/>
      <c r="BC135" s="375"/>
      <c r="BD135" s="375"/>
      <c r="BE135" s="375"/>
      <c r="BF135" s="375"/>
      <c r="BG135" s="375"/>
      <c r="BH135" s="375"/>
      <c r="BI135" s="375"/>
      <c r="BJ135" s="375"/>
      <c r="BK135" s="375"/>
      <c r="BL135" s="375"/>
      <c r="BM135" s="375"/>
      <c r="BN135" s="375"/>
      <c r="BO135" s="375"/>
      <c r="BP135" s="375"/>
      <c r="BQ135" s="375"/>
      <c r="BR135" s="375"/>
      <c r="BS135" s="375"/>
      <c r="BT135" s="375"/>
      <c r="BU135" s="375"/>
      <c r="BV135" s="375"/>
      <c r="BW135" s="375"/>
      <c r="BX135" s="375"/>
      <c r="BY135" s="375"/>
      <c r="BZ135" s="375"/>
      <c r="CA135" s="375"/>
      <c r="CB135" s="375"/>
      <c r="CC135" s="375"/>
      <c r="CD135" s="375"/>
      <c r="CE135" s="375"/>
      <c r="CF135" s="375"/>
      <c r="CG135" s="375"/>
      <c r="CH135" s="375"/>
      <c r="CI135" s="375"/>
      <c r="CJ135" s="375"/>
      <c r="CK135" s="375"/>
      <c r="CL135" s="375"/>
      <c r="CM135" s="375"/>
      <c r="CN135" s="375"/>
      <c r="CO135" s="375"/>
      <c r="CP135" s="375"/>
      <c r="CQ135" s="375"/>
      <c r="CR135" s="375"/>
      <c r="CS135" s="375"/>
      <c r="CT135" s="375"/>
      <c r="CU135" s="375"/>
      <c r="CV135" s="375"/>
      <c r="CW135" s="375"/>
      <c r="CX135" s="375"/>
      <c r="CY135" s="375"/>
      <c r="CZ135" s="375"/>
      <c r="DA135" s="375"/>
      <c r="DB135" s="375"/>
      <c r="DC135" s="375"/>
      <c r="DD135" s="375"/>
      <c r="DE135" s="375"/>
      <c r="DF135" s="375"/>
      <c r="DG135" s="375"/>
      <c r="DH135" s="375"/>
      <c r="DI135" s="375"/>
      <c r="DJ135" s="375"/>
      <c r="DK135" s="375"/>
      <c r="DL135" s="375"/>
      <c r="DM135" s="375"/>
      <c r="DN135" s="375"/>
      <c r="DO135" s="375"/>
      <c r="DP135" s="375"/>
      <c r="DQ135" s="375"/>
      <c r="DR135" s="375"/>
      <c r="DS135" s="375"/>
      <c r="DT135" s="375"/>
      <c r="DU135" s="375"/>
      <c r="DV135" s="375"/>
      <c r="DW135" s="375"/>
      <c r="DX135" s="375"/>
      <c r="DY135" s="375"/>
      <c r="DZ135" s="375"/>
      <c r="EA135" s="375"/>
      <c r="EB135" s="375"/>
      <c r="EC135" s="375"/>
      <c r="ED135" s="375"/>
      <c r="EE135" s="375"/>
      <c r="EF135" s="375"/>
      <c r="EG135" s="375"/>
      <c r="EH135" s="375"/>
      <c r="EI135" s="375"/>
      <c r="EJ135" s="375"/>
      <c r="EK135" s="375"/>
      <c r="EL135" s="375"/>
      <c r="EM135" s="375"/>
      <c r="EN135" s="375"/>
      <c r="EO135" s="375"/>
      <c r="EP135" s="375"/>
      <c r="EQ135" s="375"/>
      <c r="ER135" s="375"/>
      <c r="ES135" s="375"/>
      <c r="ET135" s="375"/>
      <c r="EU135" s="375"/>
      <c r="EV135" s="375"/>
      <c r="EW135" s="375"/>
      <c r="EX135" s="375"/>
      <c r="EY135" s="375"/>
      <c r="EZ135" s="375"/>
      <c r="FA135" s="375"/>
      <c r="FB135" s="375"/>
      <c r="FC135" s="375"/>
      <c r="FD135" s="375"/>
      <c r="FE135" s="375"/>
      <c r="FF135" s="375"/>
      <c r="FG135" s="375"/>
      <c r="FH135" s="375"/>
      <c r="FI135" s="375"/>
      <c r="FJ135" s="375"/>
      <c r="FK135" s="375"/>
      <c r="FL135" s="375"/>
      <c r="FM135" s="375"/>
      <c r="FN135" s="375"/>
      <c r="FO135" s="375"/>
      <c r="FP135" s="375"/>
      <c r="FQ135" s="375"/>
      <c r="FR135" s="375"/>
      <c r="FS135" s="375"/>
      <c r="FT135" s="375"/>
      <c r="FU135" s="375"/>
      <c r="FV135" s="375"/>
      <c r="FW135" s="375"/>
      <c r="FX135" s="375"/>
      <c r="FY135" s="375"/>
      <c r="FZ135" s="375"/>
      <c r="GA135" s="375"/>
      <c r="GB135" s="375"/>
      <c r="GC135" s="375"/>
      <c r="GD135" s="375"/>
      <c r="GE135" s="375"/>
      <c r="GF135" s="375"/>
      <c r="GG135" s="375"/>
      <c r="GH135" s="375"/>
      <c r="GI135" s="375"/>
      <c r="GJ135" s="375"/>
      <c r="GK135" s="375"/>
      <c r="GL135" s="375"/>
      <c r="GM135" s="375"/>
      <c r="GN135" s="375"/>
      <c r="GO135" s="375"/>
      <c r="GP135" s="375"/>
      <c r="GQ135" s="375"/>
      <c r="GR135" s="375"/>
      <c r="GS135" s="375"/>
      <c r="GT135" s="375"/>
      <c r="GU135" s="375"/>
      <c r="GV135" s="375"/>
      <c r="GW135" s="375"/>
      <c r="GX135" s="375"/>
      <c r="GY135" s="375"/>
      <c r="GZ135" s="375"/>
      <c r="HA135" s="375"/>
      <c r="HB135" s="375"/>
      <c r="HC135" s="375"/>
      <c r="HD135" s="375"/>
      <c r="HE135" s="375"/>
      <c r="HF135" s="375"/>
      <c r="HG135" s="375"/>
      <c r="HH135" s="375"/>
      <c r="HI135" s="375"/>
      <c r="HJ135" s="375"/>
      <c r="HK135" s="375"/>
      <c r="HL135" s="375"/>
      <c r="HM135" s="375"/>
      <c r="HN135" s="375"/>
      <c r="HO135" s="375"/>
      <c r="HP135" s="375"/>
      <c r="HQ135" s="375"/>
      <c r="HR135" s="375"/>
      <c r="HS135" s="375"/>
      <c r="HT135" s="375"/>
      <c r="HU135" s="375"/>
      <c r="HV135" s="375"/>
      <c r="HW135" s="375"/>
      <c r="HX135" s="375"/>
      <c r="HY135" s="375"/>
      <c r="HZ135" s="375"/>
      <c r="IA135" s="375"/>
      <c r="IB135" s="375"/>
      <c r="IC135" s="375"/>
      <c r="ID135" s="375"/>
      <c r="IE135" s="375"/>
      <c r="IF135" s="375"/>
      <c r="IG135" s="375"/>
      <c r="IH135" s="375"/>
      <c r="II135" s="375"/>
      <c r="IJ135" s="375"/>
      <c r="IK135" s="375"/>
      <c r="IL135" s="375"/>
      <c r="IM135" s="375"/>
      <c r="IN135" s="375"/>
      <c r="IO135" s="375"/>
      <c r="IP135" s="375"/>
      <c r="IQ135" s="375"/>
      <c r="IR135" s="375"/>
      <c r="IS135" s="375"/>
      <c r="IT135" s="375"/>
      <c r="IU135" s="375"/>
      <c r="IV135" s="375"/>
    </row>
    <row r="136" spans="1:256" ht="30" x14ac:dyDescent="0.25">
      <c r="A136" s="239"/>
      <c r="B136" s="239"/>
      <c r="C136" s="239"/>
      <c r="D136" s="242" t="s">
        <v>194</v>
      </c>
      <c r="E136" s="242"/>
      <c r="F136" s="242"/>
      <c r="G136" s="242"/>
      <c r="H136" s="242"/>
      <c r="I136" s="243"/>
      <c r="J136" s="244">
        <f>I123-J134</f>
        <v>1729.92</v>
      </c>
      <c r="K136" s="245"/>
      <c r="L136" s="244">
        <f>K123-L134</f>
        <v>12377.68</v>
      </c>
      <c r="M136" s="374" t="e">
        <v>#REF!</v>
      </c>
      <c r="N136" s="374" t="s">
        <v>413</v>
      </c>
      <c r="O136" s="373"/>
      <c r="P136" s="373"/>
      <c r="Q136" s="373"/>
      <c r="R136" s="373"/>
      <c r="S136" s="373"/>
      <c r="T136" s="373"/>
      <c r="U136" s="373"/>
      <c r="V136" s="373"/>
      <c r="W136" s="373"/>
      <c r="X136" s="373"/>
      <c r="Y136" s="373"/>
      <c r="Z136" s="373"/>
      <c r="AA136" s="373"/>
      <c r="AB136" s="373"/>
      <c r="AC136" s="373"/>
      <c r="AD136" s="373"/>
      <c r="AE136" s="373"/>
      <c r="AF136" s="373"/>
      <c r="AG136" s="373"/>
      <c r="AH136" s="373"/>
      <c r="AI136" s="373"/>
      <c r="AJ136" s="373"/>
      <c r="AK136" s="373"/>
      <c r="AL136" s="373"/>
      <c r="AM136" s="373"/>
      <c r="AN136" s="373"/>
      <c r="AO136" s="373"/>
      <c r="AP136" s="373"/>
      <c r="AQ136" s="373"/>
      <c r="AR136" s="373"/>
      <c r="AS136" s="373"/>
      <c r="AT136" s="373"/>
      <c r="AU136" s="373"/>
      <c r="AV136" s="373"/>
      <c r="AW136" s="373"/>
      <c r="AX136" s="373"/>
      <c r="AY136" s="373"/>
      <c r="AZ136" s="373"/>
      <c r="BA136" s="373"/>
      <c r="BB136" s="373"/>
      <c r="BC136" s="373"/>
      <c r="BD136" s="373"/>
      <c r="BE136" s="373"/>
      <c r="BF136" s="373"/>
      <c r="BG136" s="373"/>
      <c r="BH136" s="373"/>
      <c r="BI136" s="373"/>
      <c r="BJ136" s="373"/>
      <c r="BK136" s="373"/>
      <c r="BL136" s="373"/>
      <c r="BM136" s="373"/>
      <c r="BN136" s="373"/>
      <c r="BO136" s="373"/>
      <c r="BP136" s="373"/>
      <c r="BQ136" s="373"/>
      <c r="BR136" s="373"/>
      <c r="BS136" s="373"/>
      <c r="BT136" s="373"/>
      <c r="BU136" s="373"/>
      <c r="BV136" s="373"/>
      <c r="BW136" s="373"/>
      <c r="BX136" s="373"/>
      <c r="BY136" s="373"/>
      <c r="BZ136" s="373"/>
      <c r="CA136" s="373"/>
      <c r="CB136" s="373"/>
      <c r="CC136" s="373"/>
      <c r="CD136" s="373"/>
      <c r="CE136" s="373"/>
      <c r="CF136" s="373"/>
      <c r="CG136" s="373"/>
      <c r="CH136" s="373"/>
      <c r="CI136" s="373"/>
      <c r="CJ136" s="373"/>
      <c r="CK136" s="373"/>
      <c r="CL136" s="373"/>
      <c r="CM136" s="373"/>
      <c r="CN136" s="373"/>
      <c r="CO136" s="373"/>
      <c r="CP136" s="373"/>
      <c r="CQ136" s="373"/>
      <c r="CR136" s="373"/>
      <c r="CS136" s="373"/>
      <c r="CT136" s="373"/>
      <c r="CU136" s="373"/>
      <c r="CV136" s="373"/>
      <c r="CW136" s="373"/>
      <c r="CX136" s="373"/>
      <c r="CY136" s="373"/>
      <c r="CZ136" s="373"/>
      <c r="DA136" s="373"/>
      <c r="DB136" s="373"/>
      <c r="DC136" s="373"/>
      <c r="DD136" s="373"/>
      <c r="DE136" s="373"/>
      <c r="DF136" s="373"/>
      <c r="DG136" s="373"/>
      <c r="DH136" s="373"/>
      <c r="DI136" s="373"/>
      <c r="DJ136" s="373"/>
      <c r="DK136" s="373"/>
      <c r="DL136" s="373"/>
      <c r="DM136" s="373"/>
      <c r="DN136" s="373"/>
      <c r="DO136" s="373"/>
      <c r="DP136" s="373"/>
      <c r="DQ136" s="373"/>
      <c r="DR136" s="373"/>
      <c r="DS136" s="373"/>
      <c r="DT136" s="373"/>
      <c r="DU136" s="373"/>
      <c r="DV136" s="373"/>
      <c r="DW136" s="373"/>
      <c r="DX136" s="373"/>
      <c r="DY136" s="373"/>
      <c r="DZ136" s="373"/>
      <c r="EA136" s="373"/>
      <c r="EB136" s="373"/>
      <c r="EC136" s="373"/>
      <c r="ED136" s="373"/>
      <c r="EE136" s="373"/>
      <c r="EF136" s="373"/>
      <c r="EG136" s="373"/>
      <c r="EH136" s="373"/>
      <c r="EI136" s="373"/>
      <c r="EJ136" s="373"/>
      <c r="EK136" s="373"/>
      <c r="EL136" s="373"/>
      <c r="EM136" s="373"/>
      <c r="EN136" s="373"/>
      <c r="EO136" s="373"/>
      <c r="EP136" s="373"/>
      <c r="EQ136" s="373"/>
      <c r="ER136" s="373"/>
      <c r="ES136" s="373"/>
      <c r="ET136" s="373"/>
      <c r="EU136" s="373"/>
      <c r="EV136" s="373"/>
      <c r="EW136" s="373"/>
      <c r="EX136" s="373"/>
      <c r="EY136" s="373"/>
      <c r="EZ136" s="373"/>
      <c r="FA136" s="373"/>
      <c r="FB136" s="373"/>
      <c r="FC136" s="373"/>
      <c r="FD136" s="373"/>
      <c r="FE136" s="373"/>
      <c r="FF136" s="373"/>
      <c r="FG136" s="373"/>
      <c r="FH136" s="373"/>
      <c r="FI136" s="373"/>
      <c r="FJ136" s="373"/>
      <c r="FK136" s="373"/>
      <c r="FL136" s="373"/>
      <c r="FM136" s="373"/>
      <c r="FN136" s="373"/>
      <c r="FO136" s="373"/>
      <c r="FP136" s="373"/>
      <c r="FQ136" s="373"/>
      <c r="FR136" s="373"/>
      <c r="FS136" s="373"/>
      <c r="FT136" s="373"/>
      <c r="FU136" s="373"/>
      <c r="FV136" s="373"/>
      <c r="FW136" s="373"/>
      <c r="FX136" s="373"/>
      <c r="FY136" s="373"/>
      <c r="FZ136" s="373"/>
      <c r="GA136" s="373"/>
      <c r="GB136" s="373"/>
      <c r="GC136" s="373"/>
      <c r="GD136" s="373"/>
      <c r="GE136" s="373"/>
      <c r="GF136" s="373"/>
      <c r="GG136" s="373"/>
      <c r="GH136" s="373"/>
      <c r="GI136" s="373"/>
      <c r="GJ136" s="373"/>
      <c r="GK136" s="373"/>
      <c r="GL136" s="373"/>
      <c r="GM136" s="373"/>
      <c r="GN136" s="373"/>
      <c r="GO136" s="373"/>
      <c r="GP136" s="373"/>
      <c r="GQ136" s="373"/>
      <c r="GR136" s="373"/>
      <c r="GS136" s="373"/>
      <c r="GT136" s="373"/>
      <c r="GU136" s="373"/>
      <c r="GV136" s="373"/>
      <c r="GW136" s="373"/>
      <c r="GX136" s="373"/>
      <c r="GY136" s="373"/>
      <c r="GZ136" s="373"/>
      <c r="HA136" s="373"/>
      <c r="HB136" s="373"/>
      <c r="HC136" s="373"/>
      <c r="HD136" s="373"/>
      <c r="HE136" s="373"/>
      <c r="HF136" s="373"/>
      <c r="HG136" s="373"/>
      <c r="HH136" s="373"/>
      <c r="HI136" s="373"/>
      <c r="HJ136" s="373"/>
      <c r="HK136" s="373"/>
      <c r="HL136" s="373"/>
      <c r="HM136" s="373"/>
      <c r="HN136" s="373"/>
      <c r="HO136" s="373"/>
      <c r="HP136" s="373"/>
      <c r="HQ136" s="373"/>
      <c r="HR136" s="373"/>
      <c r="HS136" s="373"/>
      <c r="HT136" s="373"/>
      <c r="HU136" s="373"/>
      <c r="HV136" s="373"/>
      <c r="HW136" s="373"/>
      <c r="HX136" s="373"/>
      <c r="HY136" s="373"/>
      <c r="HZ136" s="373"/>
      <c r="IA136" s="373"/>
      <c r="IB136" s="373"/>
      <c r="IC136" s="373"/>
      <c r="ID136" s="373"/>
      <c r="IE136" s="373"/>
      <c r="IF136" s="373"/>
      <c r="IG136" s="373"/>
      <c r="IH136" s="373"/>
      <c r="II136" s="373"/>
      <c r="IJ136" s="373"/>
      <c r="IK136" s="373"/>
      <c r="IL136" s="373"/>
      <c r="IM136" s="373"/>
      <c r="IN136" s="373"/>
      <c r="IO136" s="373"/>
      <c r="IP136" s="373"/>
      <c r="IQ136" s="373"/>
      <c r="IR136" s="373"/>
      <c r="IS136" s="373"/>
      <c r="IT136" s="373"/>
      <c r="IU136" s="373"/>
      <c r="IV136" s="373"/>
    </row>
    <row r="137" spans="1:256" ht="14.25" x14ac:dyDescent="0.2">
      <c r="A137" s="239"/>
      <c r="B137" s="239"/>
      <c r="C137" s="239"/>
      <c r="D137" s="246" t="s">
        <v>69</v>
      </c>
      <c r="E137" s="246"/>
      <c r="F137" s="246"/>
      <c r="G137" s="246"/>
      <c r="H137" s="246"/>
      <c r="I137" s="247"/>
      <c r="J137" s="248">
        <f>J136-J140</f>
        <v>1729.92</v>
      </c>
      <c r="K137" s="249"/>
      <c r="L137" s="248">
        <f>L136-L140</f>
        <v>12377.68</v>
      </c>
      <c r="M137" s="374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373"/>
      <c r="Y137" s="373"/>
      <c r="Z137" s="373"/>
      <c r="AA137" s="373"/>
      <c r="AB137" s="373"/>
      <c r="AC137" s="373"/>
      <c r="AD137" s="373"/>
      <c r="AE137" s="373"/>
      <c r="AF137" s="373"/>
      <c r="AG137" s="373"/>
      <c r="AH137" s="373"/>
      <c r="AI137" s="373"/>
      <c r="AJ137" s="373"/>
      <c r="AK137" s="373"/>
      <c r="AL137" s="373"/>
      <c r="AM137" s="373"/>
      <c r="AN137" s="373"/>
      <c r="AO137" s="373"/>
      <c r="AP137" s="373"/>
      <c r="AQ137" s="373"/>
      <c r="AR137" s="373"/>
      <c r="AS137" s="373"/>
      <c r="AT137" s="373"/>
      <c r="AU137" s="373"/>
      <c r="AV137" s="373"/>
      <c r="AW137" s="373"/>
      <c r="AX137" s="373"/>
      <c r="AY137" s="373"/>
      <c r="AZ137" s="373"/>
      <c r="BA137" s="373"/>
      <c r="BB137" s="373"/>
      <c r="BC137" s="373"/>
      <c r="BD137" s="373"/>
      <c r="BE137" s="373"/>
      <c r="BF137" s="373"/>
      <c r="BG137" s="373"/>
      <c r="BH137" s="373"/>
      <c r="BI137" s="373"/>
      <c r="BJ137" s="373"/>
      <c r="BK137" s="373"/>
      <c r="BL137" s="373"/>
      <c r="BM137" s="373"/>
      <c r="BN137" s="373"/>
      <c r="BO137" s="373"/>
      <c r="BP137" s="373"/>
      <c r="BQ137" s="373"/>
      <c r="BR137" s="373"/>
      <c r="BS137" s="373"/>
      <c r="BT137" s="373"/>
      <c r="BU137" s="373"/>
      <c r="BV137" s="373"/>
      <c r="BW137" s="373"/>
      <c r="BX137" s="373"/>
      <c r="BY137" s="373"/>
      <c r="BZ137" s="373"/>
      <c r="CA137" s="373"/>
      <c r="CB137" s="373"/>
      <c r="CC137" s="373"/>
      <c r="CD137" s="373"/>
      <c r="CE137" s="373"/>
      <c r="CF137" s="373"/>
      <c r="CG137" s="373"/>
      <c r="CH137" s="373"/>
      <c r="CI137" s="373"/>
      <c r="CJ137" s="373"/>
      <c r="CK137" s="373"/>
      <c r="CL137" s="373"/>
      <c r="CM137" s="373"/>
      <c r="CN137" s="373"/>
      <c r="CO137" s="373"/>
      <c r="CP137" s="373"/>
      <c r="CQ137" s="373"/>
      <c r="CR137" s="373"/>
      <c r="CS137" s="373"/>
      <c r="CT137" s="373"/>
      <c r="CU137" s="373"/>
      <c r="CV137" s="373"/>
      <c r="CW137" s="373"/>
      <c r="CX137" s="373"/>
      <c r="CY137" s="373"/>
      <c r="CZ137" s="373"/>
      <c r="DA137" s="373"/>
      <c r="DB137" s="373"/>
      <c r="DC137" s="373"/>
      <c r="DD137" s="373"/>
      <c r="DE137" s="373"/>
      <c r="DF137" s="373"/>
      <c r="DG137" s="373"/>
      <c r="DH137" s="373"/>
      <c r="DI137" s="373"/>
      <c r="DJ137" s="373"/>
      <c r="DK137" s="373"/>
      <c r="DL137" s="373"/>
      <c r="DM137" s="373"/>
      <c r="DN137" s="373"/>
      <c r="DO137" s="373"/>
      <c r="DP137" s="373"/>
      <c r="DQ137" s="373"/>
      <c r="DR137" s="373"/>
      <c r="DS137" s="373"/>
      <c r="DT137" s="373"/>
      <c r="DU137" s="373"/>
      <c r="DV137" s="373"/>
      <c r="DW137" s="373"/>
      <c r="DX137" s="373"/>
      <c r="DY137" s="373"/>
      <c r="DZ137" s="373"/>
      <c r="EA137" s="373"/>
      <c r="EB137" s="373"/>
      <c r="EC137" s="373"/>
      <c r="ED137" s="373"/>
      <c r="EE137" s="373"/>
      <c r="EF137" s="373"/>
      <c r="EG137" s="373"/>
      <c r="EH137" s="373"/>
      <c r="EI137" s="373"/>
      <c r="EJ137" s="373"/>
      <c r="EK137" s="373"/>
      <c r="EL137" s="373"/>
      <c r="EM137" s="373"/>
      <c r="EN137" s="373"/>
      <c r="EO137" s="373"/>
      <c r="EP137" s="373"/>
      <c r="EQ137" s="373"/>
      <c r="ER137" s="373"/>
      <c r="ES137" s="373"/>
      <c r="ET137" s="373"/>
      <c r="EU137" s="373"/>
      <c r="EV137" s="373"/>
      <c r="EW137" s="373"/>
      <c r="EX137" s="373"/>
      <c r="EY137" s="373"/>
      <c r="EZ137" s="373"/>
      <c r="FA137" s="373"/>
      <c r="FB137" s="373"/>
      <c r="FC137" s="373"/>
      <c r="FD137" s="373"/>
      <c r="FE137" s="373"/>
      <c r="FF137" s="373"/>
      <c r="FG137" s="373"/>
      <c r="FH137" s="373"/>
      <c r="FI137" s="373"/>
      <c r="FJ137" s="373"/>
      <c r="FK137" s="373"/>
      <c r="FL137" s="373"/>
      <c r="FM137" s="373"/>
      <c r="FN137" s="373"/>
      <c r="FO137" s="373"/>
      <c r="FP137" s="373"/>
      <c r="FQ137" s="373"/>
      <c r="FR137" s="373"/>
      <c r="FS137" s="373"/>
      <c r="FT137" s="373"/>
      <c r="FU137" s="373"/>
      <c r="FV137" s="373"/>
      <c r="FW137" s="373"/>
      <c r="FX137" s="373"/>
      <c r="FY137" s="373"/>
      <c r="FZ137" s="373"/>
      <c r="GA137" s="373"/>
      <c r="GB137" s="373"/>
      <c r="GC137" s="373"/>
      <c r="GD137" s="373"/>
      <c r="GE137" s="373"/>
      <c r="GF137" s="373"/>
      <c r="GG137" s="373"/>
      <c r="GH137" s="373"/>
      <c r="GI137" s="373"/>
      <c r="GJ137" s="373"/>
      <c r="GK137" s="373"/>
      <c r="GL137" s="373"/>
      <c r="GM137" s="373"/>
      <c r="GN137" s="373"/>
      <c r="GO137" s="373"/>
      <c r="GP137" s="373"/>
      <c r="GQ137" s="373"/>
      <c r="GR137" s="373"/>
      <c r="GS137" s="373"/>
      <c r="GT137" s="373"/>
      <c r="GU137" s="373"/>
      <c r="GV137" s="373"/>
      <c r="GW137" s="373"/>
      <c r="GX137" s="373"/>
      <c r="GY137" s="373"/>
      <c r="GZ137" s="373"/>
      <c r="HA137" s="373"/>
      <c r="HB137" s="373"/>
      <c r="HC137" s="373"/>
      <c r="HD137" s="373"/>
      <c r="HE137" s="373"/>
      <c r="HF137" s="373"/>
      <c r="HG137" s="373"/>
      <c r="HH137" s="373"/>
      <c r="HI137" s="373"/>
      <c r="HJ137" s="373"/>
      <c r="HK137" s="373"/>
      <c r="HL137" s="373"/>
      <c r="HM137" s="373"/>
      <c r="HN137" s="373"/>
      <c r="HO137" s="373"/>
      <c r="HP137" s="373"/>
      <c r="HQ137" s="373"/>
      <c r="HR137" s="373"/>
      <c r="HS137" s="373"/>
      <c r="HT137" s="373"/>
      <c r="HU137" s="373"/>
      <c r="HV137" s="373"/>
      <c r="HW137" s="373"/>
      <c r="HX137" s="373"/>
      <c r="HY137" s="373"/>
      <c r="HZ137" s="373"/>
      <c r="IA137" s="373"/>
      <c r="IB137" s="373"/>
      <c r="IC137" s="373"/>
      <c r="ID137" s="373"/>
      <c r="IE137" s="373"/>
      <c r="IF137" s="373"/>
      <c r="IG137" s="373"/>
      <c r="IH137" s="373"/>
      <c r="II137" s="373"/>
      <c r="IJ137" s="373"/>
      <c r="IK137" s="373"/>
      <c r="IL137" s="373"/>
      <c r="IM137" s="373"/>
      <c r="IN137" s="373"/>
      <c r="IO137" s="373"/>
      <c r="IP137" s="373"/>
      <c r="IQ137" s="373"/>
      <c r="IR137" s="373"/>
      <c r="IS137" s="373"/>
      <c r="IT137" s="373"/>
      <c r="IU137" s="373"/>
      <c r="IV137" s="373"/>
    </row>
    <row r="138" spans="1:256" ht="14.25" x14ac:dyDescent="0.2">
      <c r="A138" s="239"/>
      <c r="B138" s="239"/>
      <c r="C138" s="239"/>
      <c r="D138" s="246" t="s">
        <v>70</v>
      </c>
      <c r="E138" s="246"/>
      <c r="F138" s="246"/>
      <c r="G138" s="246"/>
      <c r="H138" s="246"/>
      <c r="I138" s="247"/>
      <c r="J138" s="248">
        <f>I127+I128</f>
        <v>47.77</v>
      </c>
      <c r="K138" s="249"/>
      <c r="L138" s="248">
        <f>K127+K128</f>
        <v>1157.6500000000001</v>
      </c>
      <c r="M138" s="374">
        <v>23353.06</v>
      </c>
      <c r="N138" s="373"/>
      <c r="O138" s="373"/>
      <c r="P138" s="373"/>
      <c r="Q138" s="373"/>
      <c r="R138" s="373"/>
      <c r="S138" s="373"/>
      <c r="T138" s="373"/>
      <c r="U138" s="373"/>
      <c r="V138" s="373"/>
      <c r="W138" s="373"/>
      <c r="X138" s="373"/>
      <c r="Y138" s="373"/>
      <c r="Z138" s="373"/>
      <c r="AA138" s="373"/>
      <c r="AB138" s="373"/>
      <c r="AC138" s="373"/>
      <c r="AD138" s="373"/>
      <c r="AE138" s="373"/>
      <c r="AF138" s="373"/>
      <c r="AG138" s="373"/>
      <c r="AH138" s="373"/>
      <c r="AI138" s="373"/>
      <c r="AJ138" s="373"/>
      <c r="AK138" s="373"/>
      <c r="AL138" s="373"/>
      <c r="AM138" s="373"/>
      <c r="AN138" s="373"/>
      <c r="AO138" s="373"/>
      <c r="AP138" s="373"/>
      <c r="AQ138" s="373"/>
      <c r="AR138" s="373"/>
      <c r="AS138" s="373"/>
      <c r="AT138" s="373"/>
      <c r="AU138" s="373"/>
      <c r="AV138" s="373"/>
      <c r="AW138" s="373"/>
      <c r="AX138" s="373"/>
      <c r="AY138" s="373"/>
      <c r="AZ138" s="373"/>
      <c r="BA138" s="373"/>
      <c r="BB138" s="373"/>
      <c r="BC138" s="373"/>
      <c r="BD138" s="373"/>
      <c r="BE138" s="373"/>
      <c r="BF138" s="373"/>
      <c r="BG138" s="373"/>
      <c r="BH138" s="373"/>
      <c r="BI138" s="373"/>
      <c r="BJ138" s="373"/>
      <c r="BK138" s="373"/>
      <c r="BL138" s="373"/>
      <c r="BM138" s="373"/>
      <c r="BN138" s="373"/>
      <c r="BO138" s="373"/>
      <c r="BP138" s="373"/>
      <c r="BQ138" s="373"/>
      <c r="BR138" s="373"/>
      <c r="BS138" s="373"/>
      <c r="BT138" s="373"/>
      <c r="BU138" s="373"/>
      <c r="BV138" s="373"/>
      <c r="BW138" s="373"/>
      <c r="BX138" s="373"/>
      <c r="BY138" s="373"/>
      <c r="BZ138" s="373"/>
      <c r="CA138" s="373"/>
      <c r="CB138" s="373"/>
      <c r="CC138" s="373"/>
      <c r="CD138" s="373"/>
      <c r="CE138" s="373"/>
      <c r="CF138" s="373"/>
      <c r="CG138" s="373"/>
      <c r="CH138" s="373"/>
      <c r="CI138" s="373"/>
      <c r="CJ138" s="373"/>
      <c r="CK138" s="373"/>
      <c r="CL138" s="373"/>
      <c r="CM138" s="373"/>
      <c r="CN138" s="373"/>
      <c r="CO138" s="373"/>
      <c r="CP138" s="373"/>
      <c r="CQ138" s="373"/>
      <c r="CR138" s="373"/>
      <c r="CS138" s="373"/>
      <c r="CT138" s="373"/>
      <c r="CU138" s="373"/>
      <c r="CV138" s="373"/>
      <c r="CW138" s="373"/>
      <c r="CX138" s="373"/>
      <c r="CY138" s="373"/>
      <c r="CZ138" s="373"/>
      <c r="DA138" s="373"/>
      <c r="DB138" s="373"/>
      <c r="DC138" s="373"/>
      <c r="DD138" s="373"/>
      <c r="DE138" s="373"/>
      <c r="DF138" s="373"/>
      <c r="DG138" s="373"/>
      <c r="DH138" s="373"/>
      <c r="DI138" s="373"/>
      <c r="DJ138" s="373"/>
      <c r="DK138" s="373"/>
      <c r="DL138" s="373"/>
      <c r="DM138" s="373"/>
      <c r="DN138" s="373"/>
      <c r="DO138" s="373"/>
      <c r="DP138" s="373"/>
      <c r="DQ138" s="373"/>
      <c r="DR138" s="373"/>
      <c r="DS138" s="373"/>
      <c r="DT138" s="373"/>
      <c r="DU138" s="373"/>
      <c r="DV138" s="373"/>
      <c r="DW138" s="373"/>
      <c r="DX138" s="373"/>
      <c r="DY138" s="373"/>
      <c r="DZ138" s="373"/>
      <c r="EA138" s="373"/>
      <c r="EB138" s="373"/>
      <c r="EC138" s="373"/>
      <c r="ED138" s="373"/>
      <c r="EE138" s="373"/>
      <c r="EF138" s="373"/>
      <c r="EG138" s="373"/>
      <c r="EH138" s="373"/>
      <c r="EI138" s="373"/>
      <c r="EJ138" s="373"/>
      <c r="EK138" s="373"/>
      <c r="EL138" s="373"/>
      <c r="EM138" s="373"/>
      <c r="EN138" s="373"/>
      <c r="EO138" s="373"/>
      <c r="EP138" s="373"/>
      <c r="EQ138" s="373"/>
      <c r="ER138" s="373"/>
      <c r="ES138" s="373"/>
      <c r="ET138" s="373"/>
      <c r="EU138" s="373"/>
      <c r="EV138" s="373"/>
      <c r="EW138" s="373"/>
      <c r="EX138" s="373"/>
      <c r="EY138" s="373"/>
      <c r="EZ138" s="373"/>
      <c r="FA138" s="373"/>
      <c r="FB138" s="373"/>
      <c r="FC138" s="373"/>
      <c r="FD138" s="373"/>
      <c r="FE138" s="373"/>
      <c r="FF138" s="373"/>
      <c r="FG138" s="373"/>
      <c r="FH138" s="373"/>
      <c r="FI138" s="373"/>
      <c r="FJ138" s="373"/>
      <c r="FK138" s="373"/>
      <c r="FL138" s="373"/>
      <c r="FM138" s="373"/>
      <c r="FN138" s="373"/>
      <c r="FO138" s="373"/>
      <c r="FP138" s="373"/>
      <c r="FQ138" s="373"/>
      <c r="FR138" s="373"/>
      <c r="FS138" s="373"/>
      <c r="FT138" s="373"/>
      <c r="FU138" s="373"/>
      <c r="FV138" s="373"/>
      <c r="FW138" s="373"/>
      <c r="FX138" s="373"/>
      <c r="FY138" s="373"/>
      <c r="FZ138" s="373"/>
      <c r="GA138" s="373"/>
      <c r="GB138" s="373"/>
      <c r="GC138" s="373"/>
      <c r="GD138" s="373"/>
      <c r="GE138" s="373"/>
      <c r="GF138" s="373"/>
      <c r="GG138" s="373"/>
      <c r="GH138" s="373"/>
      <c r="GI138" s="373"/>
      <c r="GJ138" s="373"/>
      <c r="GK138" s="373"/>
      <c r="GL138" s="373"/>
      <c r="GM138" s="373"/>
      <c r="GN138" s="373"/>
      <c r="GO138" s="373"/>
      <c r="GP138" s="373"/>
      <c r="GQ138" s="373"/>
      <c r="GR138" s="373"/>
      <c r="GS138" s="373"/>
      <c r="GT138" s="373"/>
      <c r="GU138" s="373"/>
      <c r="GV138" s="373"/>
      <c r="GW138" s="373"/>
      <c r="GX138" s="373"/>
      <c r="GY138" s="373"/>
      <c r="GZ138" s="373"/>
      <c r="HA138" s="373"/>
      <c r="HB138" s="373"/>
      <c r="HC138" s="373"/>
      <c r="HD138" s="373"/>
      <c r="HE138" s="373"/>
      <c r="HF138" s="373"/>
      <c r="HG138" s="373"/>
      <c r="HH138" s="373"/>
      <c r="HI138" s="373"/>
      <c r="HJ138" s="373"/>
      <c r="HK138" s="373"/>
      <c r="HL138" s="373"/>
      <c r="HM138" s="373"/>
      <c r="HN138" s="373"/>
      <c r="HO138" s="373"/>
      <c r="HP138" s="373"/>
      <c r="HQ138" s="373"/>
      <c r="HR138" s="373"/>
      <c r="HS138" s="373"/>
      <c r="HT138" s="373"/>
      <c r="HU138" s="373"/>
      <c r="HV138" s="373"/>
      <c r="HW138" s="373"/>
      <c r="HX138" s="373"/>
      <c r="HY138" s="373"/>
      <c r="HZ138" s="373"/>
      <c r="IA138" s="373"/>
      <c r="IB138" s="373"/>
      <c r="IC138" s="373"/>
      <c r="ID138" s="373"/>
      <c r="IE138" s="373"/>
      <c r="IF138" s="373"/>
      <c r="IG138" s="373"/>
      <c r="IH138" s="373"/>
      <c r="II138" s="373"/>
      <c r="IJ138" s="373"/>
      <c r="IK138" s="373"/>
      <c r="IL138" s="373"/>
      <c r="IM138" s="373"/>
      <c r="IN138" s="373"/>
      <c r="IO138" s="373"/>
      <c r="IP138" s="373"/>
      <c r="IQ138" s="373"/>
      <c r="IR138" s="373"/>
      <c r="IS138" s="373"/>
      <c r="IT138" s="373"/>
      <c r="IU138" s="373"/>
      <c r="IV138" s="373"/>
    </row>
    <row r="139" spans="1:256" ht="14.25" x14ac:dyDescent="0.2">
      <c r="A139" s="239"/>
      <c r="B139" s="239"/>
      <c r="C139" s="239"/>
      <c r="D139" s="246" t="s">
        <v>195</v>
      </c>
      <c r="E139" s="246"/>
      <c r="F139" s="246"/>
      <c r="G139" s="246"/>
      <c r="H139" s="246"/>
      <c r="I139" s="247"/>
      <c r="J139" s="248">
        <f>I126</f>
        <v>1550.9</v>
      </c>
      <c r="K139" s="249"/>
      <c r="L139" s="248">
        <f>K126</f>
        <v>9301.93</v>
      </c>
      <c r="M139" s="374" t="e">
        <v>#REF!</v>
      </c>
      <c r="N139" s="373"/>
      <c r="O139" s="373"/>
      <c r="P139" s="373"/>
      <c r="Q139" s="373"/>
      <c r="R139" s="373"/>
      <c r="S139" s="373"/>
      <c r="T139" s="373"/>
      <c r="U139" s="373"/>
      <c r="V139" s="373"/>
      <c r="W139" s="373"/>
      <c r="X139" s="373"/>
      <c r="Y139" s="373"/>
      <c r="Z139" s="373"/>
      <c r="AA139" s="373"/>
      <c r="AB139" s="373"/>
      <c r="AC139" s="373"/>
      <c r="AD139" s="373"/>
      <c r="AE139" s="373"/>
      <c r="AF139" s="373"/>
      <c r="AG139" s="373"/>
      <c r="AH139" s="373"/>
      <c r="AI139" s="373"/>
      <c r="AJ139" s="373"/>
      <c r="AK139" s="373"/>
      <c r="AL139" s="373"/>
      <c r="AM139" s="373"/>
      <c r="AN139" s="373"/>
      <c r="AO139" s="373"/>
      <c r="AP139" s="373"/>
      <c r="AQ139" s="373"/>
      <c r="AR139" s="373"/>
      <c r="AS139" s="373"/>
      <c r="AT139" s="373"/>
      <c r="AU139" s="373"/>
      <c r="AV139" s="373"/>
      <c r="AW139" s="373"/>
      <c r="AX139" s="373"/>
      <c r="AY139" s="373"/>
      <c r="AZ139" s="373"/>
      <c r="BA139" s="373"/>
      <c r="BB139" s="373"/>
      <c r="BC139" s="373"/>
      <c r="BD139" s="373"/>
      <c r="BE139" s="373"/>
      <c r="BF139" s="373"/>
      <c r="BG139" s="373"/>
      <c r="BH139" s="373"/>
      <c r="BI139" s="373"/>
      <c r="BJ139" s="373"/>
      <c r="BK139" s="373"/>
      <c r="BL139" s="373"/>
      <c r="BM139" s="373"/>
      <c r="BN139" s="373"/>
      <c r="BO139" s="373"/>
      <c r="BP139" s="373"/>
      <c r="BQ139" s="373"/>
      <c r="BR139" s="373"/>
      <c r="BS139" s="373"/>
      <c r="BT139" s="373"/>
      <c r="BU139" s="373"/>
      <c r="BV139" s="373"/>
      <c r="BW139" s="373"/>
      <c r="BX139" s="373"/>
      <c r="BY139" s="373"/>
      <c r="BZ139" s="373"/>
      <c r="CA139" s="373"/>
      <c r="CB139" s="373"/>
      <c r="CC139" s="373"/>
      <c r="CD139" s="373"/>
      <c r="CE139" s="373"/>
      <c r="CF139" s="373"/>
      <c r="CG139" s="373"/>
      <c r="CH139" s="373"/>
      <c r="CI139" s="373"/>
      <c r="CJ139" s="373"/>
      <c r="CK139" s="373"/>
      <c r="CL139" s="373"/>
      <c r="CM139" s="373"/>
      <c r="CN139" s="373"/>
      <c r="CO139" s="373"/>
      <c r="CP139" s="373"/>
      <c r="CQ139" s="373"/>
      <c r="CR139" s="373"/>
      <c r="CS139" s="373"/>
      <c r="CT139" s="373"/>
      <c r="CU139" s="373"/>
      <c r="CV139" s="373"/>
      <c r="CW139" s="373"/>
      <c r="CX139" s="373"/>
      <c r="CY139" s="373"/>
      <c r="CZ139" s="373"/>
      <c r="DA139" s="373"/>
      <c r="DB139" s="373"/>
      <c r="DC139" s="373"/>
      <c r="DD139" s="373"/>
      <c r="DE139" s="373"/>
      <c r="DF139" s="373"/>
      <c r="DG139" s="373"/>
      <c r="DH139" s="373"/>
      <c r="DI139" s="373"/>
      <c r="DJ139" s="373"/>
      <c r="DK139" s="373"/>
      <c r="DL139" s="373"/>
      <c r="DM139" s="373"/>
      <c r="DN139" s="373"/>
      <c r="DO139" s="373"/>
      <c r="DP139" s="373"/>
      <c r="DQ139" s="373"/>
      <c r="DR139" s="373"/>
      <c r="DS139" s="373"/>
      <c r="DT139" s="373"/>
      <c r="DU139" s="373"/>
      <c r="DV139" s="373"/>
      <c r="DW139" s="373"/>
      <c r="DX139" s="373"/>
      <c r="DY139" s="373"/>
      <c r="DZ139" s="373"/>
      <c r="EA139" s="373"/>
      <c r="EB139" s="373"/>
      <c r="EC139" s="373"/>
      <c r="ED139" s="373"/>
      <c r="EE139" s="373"/>
      <c r="EF139" s="373"/>
      <c r="EG139" s="373"/>
      <c r="EH139" s="373"/>
      <c r="EI139" s="373"/>
      <c r="EJ139" s="373"/>
      <c r="EK139" s="373"/>
      <c r="EL139" s="373"/>
      <c r="EM139" s="373"/>
      <c r="EN139" s="373"/>
      <c r="EO139" s="373"/>
      <c r="EP139" s="373"/>
      <c r="EQ139" s="373"/>
      <c r="ER139" s="373"/>
      <c r="ES139" s="373"/>
      <c r="ET139" s="373"/>
      <c r="EU139" s="373"/>
      <c r="EV139" s="373"/>
      <c r="EW139" s="373"/>
      <c r="EX139" s="373"/>
      <c r="EY139" s="373"/>
      <c r="EZ139" s="373"/>
      <c r="FA139" s="373"/>
      <c r="FB139" s="373"/>
      <c r="FC139" s="373"/>
      <c r="FD139" s="373"/>
      <c r="FE139" s="373"/>
      <c r="FF139" s="373"/>
      <c r="FG139" s="373"/>
      <c r="FH139" s="373"/>
      <c r="FI139" s="373"/>
      <c r="FJ139" s="373"/>
      <c r="FK139" s="373"/>
      <c r="FL139" s="373"/>
      <c r="FM139" s="373"/>
      <c r="FN139" s="373"/>
      <c r="FO139" s="373"/>
      <c r="FP139" s="373"/>
      <c r="FQ139" s="373"/>
      <c r="FR139" s="373"/>
      <c r="FS139" s="373"/>
      <c r="FT139" s="373"/>
      <c r="FU139" s="373"/>
      <c r="FV139" s="373"/>
      <c r="FW139" s="373"/>
      <c r="FX139" s="373"/>
      <c r="FY139" s="373"/>
      <c r="FZ139" s="373"/>
      <c r="GA139" s="373"/>
      <c r="GB139" s="373"/>
      <c r="GC139" s="373"/>
      <c r="GD139" s="373"/>
      <c r="GE139" s="373"/>
      <c r="GF139" s="373"/>
      <c r="GG139" s="373"/>
      <c r="GH139" s="373"/>
      <c r="GI139" s="373"/>
      <c r="GJ139" s="373"/>
      <c r="GK139" s="373"/>
      <c r="GL139" s="373"/>
      <c r="GM139" s="373"/>
      <c r="GN139" s="373"/>
      <c r="GO139" s="373"/>
      <c r="GP139" s="373"/>
      <c r="GQ139" s="373"/>
      <c r="GR139" s="373"/>
      <c r="GS139" s="373"/>
      <c r="GT139" s="373"/>
      <c r="GU139" s="373"/>
      <c r="GV139" s="373"/>
      <c r="GW139" s="373"/>
      <c r="GX139" s="373"/>
      <c r="GY139" s="373"/>
      <c r="GZ139" s="373"/>
      <c r="HA139" s="373"/>
      <c r="HB139" s="373"/>
      <c r="HC139" s="373"/>
      <c r="HD139" s="373"/>
      <c r="HE139" s="373"/>
      <c r="HF139" s="373"/>
      <c r="HG139" s="373"/>
      <c r="HH139" s="373"/>
      <c r="HI139" s="373"/>
      <c r="HJ139" s="373"/>
      <c r="HK139" s="373"/>
      <c r="HL139" s="373"/>
      <c r="HM139" s="373"/>
      <c r="HN139" s="373"/>
      <c r="HO139" s="373"/>
      <c r="HP139" s="373"/>
      <c r="HQ139" s="373"/>
      <c r="HR139" s="373"/>
      <c r="HS139" s="373"/>
      <c r="HT139" s="373"/>
      <c r="HU139" s="373"/>
      <c r="HV139" s="373"/>
      <c r="HW139" s="373"/>
      <c r="HX139" s="373"/>
      <c r="HY139" s="373"/>
      <c r="HZ139" s="373"/>
      <c r="IA139" s="373"/>
      <c r="IB139" s="373"/>
      <c r="IC139" s="373"/>
      <c r="ID139" s="373"/>
      <c r="IE139" s="373"/>
      <c r="IF139" s="373"/>
      <c r="IG139" s="373"/>
      <c r="IH139" s="373"/>
      <c r="II139" s="373"/>
      <c r="IJ139" s="373"/>
      <c r="IK139" s="373"/>
      <c r="IL139" s="373"/>
      <c r="IM139" s="373"/>
      <c r="IN139" s="373"/>
      <c r="IO139" s="373"/>
      <c r="IP139" s="373"/>
      <c r="IQ139" s="373"/>
      <c r="IR139" s="373"/>
      <c r="IS139" s="373"/>
      <c r="IT139" s="373"/>
      <c r="IU139" s="373"/>
      <c r="IV139" s="373"/>
    </row>
    <row r="140" spans="1:256" ht="14.25" x14ac:dyDescent="0.2">
      <c r="A140" s="250"/>
      <c r="B140" s="250"/>
      <c r="C140" s="250"/>
      <c r="D140" s="251" t="s">
        <v>157</v>
      </c>
      <c r="E140" s="251"/>
      <c r="F140" s="251"/>
      <c r="G140" s="251"/>
      <c r="H140" s="251"/>
      <c r="I140" s="252"/>
      <c r="J140" s="253">
        <v>0</v>
      </c>
      <c r="K140" s="254"/>
      <c r="L140" s="253">
        <v>0</v>
      </c>
      <c r="M140" s="374"/>
      <c r="N140" s="376"/>
      <c r="O140" s="376"/>
      <c r="P140" s="376"/>
      <c r="Q140" s="376"/>
      <c r="R140" s="376"/>
      <c r="S140" s="376"/>
      <c r="T140" s="376"/>
      <c r="U140" s="376"/>
      <c r="V140" s="376"/>
      <c r="W140" s="376"/>
      <c r="X140" s="376"/>
      <c r="Y140" s="376"/>
      <c r="Z140" s="376"/>
      <c r="AA140" s="376"/>
      <c r="AB140" s="376"/>
      <c r="AC140" s="376"/>
      <c r="AD140" s="376"/>
      <c r="AE140" s="376"/>
      <c r="AF140" s="376"/>
      <c r="AG140" s="376"/>
      <c r="AH140" s="376"/>
      <c r="AI140" s="376"/>
      <c r="AJ140" s="376"/>
      <c r="AK140" s="376"/>
      <c r="AL140" s="376"/>
      <c r="AM140" s="376"/>
      <c r="AN140" s="376"/>
      <c r="AO140" s="376"/>
      <c r="AP140" s="376"/>
      <c r="AQ140" s="376"/>
      <c r="AR140" s="376"/>
      <c r="AS140" s="376"/>
      <c r="AT140" s="376"/>
      <c r="AU140" s="376"/>
      <c r="AV140" s="376"/>
      <c r="AW140" s="376"/>
      <c r="AX140" s="376"/>
      <c r="AY140" s="376"/>
      <c r="AZ140" s="376"/>
      <c r="BA140" s="376"/>
      <c r="BB140" s="376"/>
      <c r="BC140" s="376"/>
      <c r="BD140" s="376"/>
      <c r="BE140" s="376"/>
      <c r="BF140" s="376"/>
      <c r="BG140" s="376"/>
      <c r="BH140" s="376"/>
      <c r="BI140" s="376"/>
      <c r="BJ140" s="376"/>
      <c r="BK140" s="376"/>
      <c r="BL140" s="376"/>
      <c r="BM140" s="376"/>
      <c r="BN140" s="376"/>
      <c r="BO140" s="376"/>
      <c r="BP140" s="376"/>
      <c r="BQ140" s="376"/>
      <c r="BR140" s="376"/>
      <c r="BS140" s="376"/>
      <c r="BT140" s="376"/>
      <c r="BU140" s="376"/>
      <c r="BV140" s="376"/>
      <c r="BW140" s="376"/>
      <c r="BX140" s="376"/>
      <c r="BY140" s="376"/>
      <c r="BZ140" s="376"/>
      <c r="CA140" s="376"/>
      <c r="CB140" s="376"/>
      <c r="CC140" s="376"/>
      <c r="CD140" s="376"/>
      <c r="CE140" s="376"/>
      <c r="CF140" s="376"/>
      <c r="CG140" s="376"/>
      <c r="CH140" s="376"/>
      <c r="CI140" s="376"/>
      <c r="CJ140" s="376"/>
      <c r="CK140" s="376"/>
      <c r="CL140" s="376"/>
      <c r="CM140" s="376"/>
      <c r="CN140" s="376"/>
      <c r="CO140" s="376"/>
      <c r="CP140" s="376"/>
      <c r="CQ140" s="376"/>
      <c r="CR140" s="376"/>
      <c r="CS140" s="376"/>
      <c r="CT140" s="376"/>
      <c r="CU140" s="376"/>
      <c r="CV140" s="376"/>
      <c r="CW140" s="376"/>
      <c r="CX140" s="376"/>
      <c r="CY140" s="376"/>
      <c r="CZ140" s="376"/>
      <c r="DA140" s="376"/>
      <c r="DB140" s="376"/>
      <c r="DC140" s="376"/>
      <c r="DD140" s="376"/>
      <c r="DE140" s="376"/>
      <c r="DF140" s="376"/>
      <c r="DG140" s="376"/>
      <c r="DH140" s="376"/>
      <c r="DI140" s="376"/>
      <c r="DJ140" s="376"/>
      <c r="DK140" s="376"/>
      <c r="DL140" s="376"/>
      <c r="DM140" s="376"/>
      <c r="DN140" s="376"/>
      <c r="DO140" s="376"/>
      <c r="DP140" s="376"/>
      <c r="DQ140" s="376"/>
      <c r="DR140" s="376"/>
      <c r="DS140" s="376"/>
      <c r="DT140" s="376"/>
      <c r="DU140" s="376"/>
      <c r="DV140" s="376"/>
      <c r="DW140" s="376"/>
      <c r="DX140" s="376"/>
      <c r="DY140" s="376"/>
      <c r="DZ140" s="376"/>
      <c r="EA140" s="376"/>
      <c r="EB140" s="376"/>
      <c r="EC140" s="376"/>
      <c r="ED140" s="376"/>
      <c r="EE140" s="376"/>
      <c r="EF140" s="376"/>
      <c r="EG140" s="376"/>
      <c r="EH140" s="376"/>
      <c r="EI140" s="376"/>
      <c r="EJ140" s="376"/>
      <c r="EK140" s="376"/>
      <c r="EL140" s="376"/>
      <c r="EM140" s="376"/>
      <c r="EN140" s="376"/>
      <c r="EO140" s="376"/>
      <c r="EP140" s="376"/>
      <c r="EQ140" s="376"/>
      <c r="ER140" s="376"/>
      <c r="ES140" s="376"/>
      <c r="ET140" s="376"/>
      <c r="EU140" s="376"/>
      <c r="EV140" s="376"/>
      <c r="EW140" s="376"/>
      <c r="EX140" s="376"/>
      <c r="EY140" s="376"/>
      <c r="EZ140" s="376"/>
      <c r="FA140" s="376"/>
      <c r="FB140" s="376"/>
      <c r="FC140" s="376"/>
      <c r="FD140" s="376"/>
      <c r="FE140" s="376"/>
      <c r="FF140" s="376"/>
      <c r="FG140" s="376"/>
      <c r="FH140" s="376"/>
      <c r="FI140" s="376"/>
      <c r="FJ140" s="376"/>
      <c r="FK140" s="376"/>
      <c r="FL140" s="376"/>
      <c r="FM140" s="376"/>
      <c r="FN140" s="376"/>
      <c r="FO140" s="376"/>
      <c r="FP140" s="376"/>
      <c r="FQ140" s="376"/>
      <c r="FR140" s="376"/>
      <c r="FS140" s="376"/>
      <c r="FT140" s="376"/>
      <c r="FU140" s="376"/>
      <c r="FV140" s="376"/>
      <c r="FW140" s="376"/>
      <c r="FX140" s="376"/>
      <c r="FY140" s="376"/>
      <c r="FZ140" s="376"/>
      <c r="GA140" s="376"/>
      <c r="GB140" s="376"/>
      <c r="GC140" s="376"/>
      <c r="GD140" s="376"/>
      <c r="GE140" s="376"/>
      <c r="GF140" s="376"/>
      <c r="GG140" s="376"/>
      <c r="GH140" s="376"/>
      <c r="GI140" s="376"/>
      <c r="GJ140" s="376"/>
      <c r="GK140" s="376"/>
      <c r="GL140" s="376"/>
      <c r="GM140" s="376"/>
      <c r="GN140" s="376"/>
      <c r="GO140" s="376"/>
      <c r="GP140" s="376"/>
      <c r="GQ140" s="376"/>
      <c r="GR140" s="376"/>
      <c r="GS140" s="376"/>
      <c r="GT140" s="376"/>
      <c r="GU140" s="376"/>
      <c r="GV140" s="376"/>
      <c r="GW140" s="376"/>
      <c r="GX140" s="376"/>
      <c r="GY140" s="376"/>
      <c r="GZ140" s="376"/>
      <c r="HA140" s="376"/>
      <c r="HB140" s="376"/>
      <c r="HC140" s="376"/>
      <c r="HD140" s="376"/>
      <c r="HE140" s="376"/>
      <c r="HF140" s="376"/>
      <c r="HG140" s="376"/>
      <c r="HH140" s="376"/>
      <c r="HI140" s="376"/>
      <c r="HJ140" s="376"/>
      <c r="HK140" s="376"/>
      <c r="HL140" s="376"/>
      <c r="HM140" s="376"/>
      <c r="HN140" s="376"/>
      <c r="HO140" s="376"/>
      <c r="HP140" s="376"/>
      <c r="HQ140" s="376"/>
      <c r="HR140" s="376"/>
      <c r="HS140" s="376"/>
      <c r="HT140" s="376"/>
      <c r="HU140" s="376"/>
      <c r="HV140" s="376"/>
      <c r="HW140" s="376"/>
      <c r="HX140" s="376"/>
      <c r="HY140" s="376"/>
      <c r="HZ140" s="376"/>
      <c r="IA140" s="376"/>
      <c r="IB140" s="376"/>
      <c r="IC140" s="376"/>
      <c r="ID140" s="376"/>
      <c r="IE140" s="376"/>
      <c r="IF140" s="376"/>
      <c r="IG140" s="376"/>
      <c r="IH140" s="376"/>
      <c r="II140" s="376"/>
      <c r="IJ140" s="376"/>
      <c r="IK140" s="376"/>
      <c r="IL140" s="376"/>
      <c r="IM140" s="376"/>
      <c r="IN140" s="376"/>
      <c r="IO140" s="376"/>
      <c r="IP140" s="376"/>
      <c r="IQ140" s="376"/>
      <c r="IR140" s="376"/>
      <c r="IS140" s="376"/>
      <c r="IT140" s="376"/>
      <c r="IU140" s="376"/>
      <c r="IV140" s="376"/>
    </row>
    <row r="141" spans="1:256" ht="15" x14ac:dyDescent="0.25">
      <c r="A141" s="237"/>
      <c r="B141" s="237"/>
      <c r="C141" s="237"/>
      <c r="D141" s="377" t="s">
        <v>196</v>
      </c>
      <c r="E141" s="377"/>
      <c r="F141" s="377"/>
      <c r="G141" s="377"/>
      <c r="H141" s="377"/>
      <c r="I141" s="377"/>
      <c r="J141" s="378">
        <f>J138*15%</f>
        <v>7.17</v>
      </c>
      <c r="K141" s="378"/>
      <c r="L141" s="378">
        <f>L138*15%</f>
        <v>173.65</v>
      </c>
      <c r="M141" s="370">
        <v>3502.96</v>
      </c>
      <c r="N141" s="371"/>
      <c r="O141" s="371"/>
      <c r="P141" s="371"/>
      <c r="Q141" s="371"/>
      <c r="R141" s="371"/>
      <c r="S141" s="371"/>
      <c r="T141" s="371"/>
      <c r="U141" s="371"/>
      <c r="V141" s="371"/>
      <c r="W141" s="371"/>
      <c r="X141" s="371"/>
      <c r="Y141" s="371"/>
      <c r="Z141" s="371"/>
      <c r="AA141" s="371"/>
      <c r="AB141" s="371"/>
      <c r="AC141" s="371"/>
      <c r="AD141" s="371"/>
      <c r="AE141" s="371"/>
      <c r="AF141" s="371"/>
      <c r="AG141" s="371"/>
      <c r="AH141" s="371"/>
      <c r="AI141" s="371"/>
      <c r="AJ141" s="371"/>
      <c r="AK141" s="371"/>
      <c r="AL141" s="371"/>
      <c r="AM141" s="371"/>
      <c r="AN141" s="371"/>
      <c r="AO141" s="371"/>
      <c r="AP141" s="371"/>
      <c r="AQ141" s="371"/>
      <c r="AR141" s="371"/>
      <c r="AS141" s="371"/>
      <c r="AT141" s="371"/>
      <c r="AU141" s="371"/>
      <c r="AV141" s="371"/>
      <c r="AW141" s="371"/>
      <c r="AX141" s="371"/>
      <c r="AY141" s="371"/>
      <c r="AZ141" s="371"/>
      <c r="BA141" s="371"/>
      <c r="BB141" s="371"/>
      <c r="BC141" s="371"/>
      <c r="BD141" s="371"/>
      <c r="BE141" s="371"/>
      <c r="BF141" s="371"/>
      <c r="BG141" s="371"/>
      <c r="BH141" s="371"/>
      <c r="BI141" s="371"/>
      <c r="BJ141" s="371"/>
      <c r="BK141" s="371"/>
      <c r="BL141" s="371"/>
      <c r="BM141" s="371"/>
      <c r="BN141" s="371"/>
      <c r="BO141" s="371"/>
      <c r="BP141" s="371"/>
      <c r="BQ141" s="371"/>
      <c r="BR141" s="371"/>
      <c r="BS141" s="371"/>
      <c r="BT141" s="371"/>
      <c r="BU141" s="371"/>
      <c r="BV141" s="371"/>
      <c r="BW141" s="371"/>
      <c r="BX141" s="371"/>
      <c r="BY141" s="371"/>
      <c r="BZ141" s="371"/>
      <c r="CA141" s="371"/>
      <c r="CB141" s="371"/>
      <c r="CC141" s="371"/>
      <c r="CD141" s="371"/>
      <c r="CE141" s="371"/>
      <c r="CF141" s="371"/>
      <c r="CG141" s="371"/>
      <c r="CH141" s="371"/>
      <c r="CI141" s="371"/>
      <c r="CJ141" s="371"/>
      <c r="CK141" s="371"/>
      <c r="CL141" s="371"/>
      <c r="CM141" s="371"/>
      <c r="CN141" s="371"/>
      <c r="CO141" s="371"/>
      <c r="CP141" s="371"/>
      <c r="CQ141" s="371"/>
      <c r="CR141" s="371"/>
      <c r="CS141" s="371"/>
      <c r="CT141" s="371"/>
      <c r="CU141" s="371"/>
      <c r="CV141" s="371"/>
      <c r="CW141" s="371"/>
      <c r="CX141" s="371"/>
      <c r="CY141" s="371"/>
      <c r="CZ141" s="371"/>
      <c r="DA141" s="371"/>
      <c r="DB141" s="371"/>
      <c r="DC141" s="371"/>
      <c r="DD141" s="371"/>
      <c r="DE141" s="371"/>
      <c r="DF141" s="371"/>
      <c r="DG141" s="371"/>
      <c r="DH141" s="371"/>
      <c r="DI141" s="371"/>
      <c r="DJ141" s="371"/>
      <c r="DK141" s="371"/>
      <c r="DL141" s="371"/>
      <c r="DM141" s="371"/>
      <c r="DN141" s="371"/>
      <c r="DO141" s="371"/>
      <c r="DP141" s="371"/>
      <c r="DQ141" s="371"/>
      <c r="DR141" s="371"/>
      <c r="DS141" s="371"/>
      <c r="DT141" s="371"/>
      <c r="DU141" s="371"/>
      <c r="DV141" s="371"/>
      <c r="DW141" s="371"/>
      <c r="DX141" s="371"/>
      <c r="DY141" s="371"/>
      <c r="DZ141" s="371"/>
      <c r="EA141" s="371"/>
      <c r="EB141" s="371"/>
      <c r="EC141" s="371"/>
      <c r="ED141" s="371"/>
      <c r="EE141" s="371"/>
      <c r="EF141" s="371"/>
      <c r="EG141" s="371"/>
      <c r="EH141" s="371"/>
      <c r="EI141" s="371"/>
      <c r="EJ141" s="371"/>
      <c r="EK141" s="371"/>
      <c r="EL141" s="371"/>
      <c r="EM141" s="371"/>
      <c r="EN141" s="371"/>
      <c r="EO141" s="371"/>
      <c r="EP141" s="371"/>
      <c r="EQ141" s="371"/>
      <c r="ER141" s="371"/>
      <c r="ES141" s="371"/>
      <c r="ET141" s="371"/>
      <c r="EU141" s="371"/>
      <c r="EV141" s="371"/>
      <c r="EW141" s="371"/>
      <c r="EX141" s="371"/>
      <c r="EY141" s="371"/>
      <c r="EZ141" s="371"/>
      <c r="FA141" s="371"/>
      <c r="FB141" s="371"/>
      <c r="FC141" s="371"/>
      <c r="FD141" s="371"/>
      <c r="FE141" s="371"/>
      <c r="FF141" s="371"/>
      <c r="FG141" s="371"/>
      <c r="FH141" s="371"/>
      <c r="FI141" s="371"/>
      <c r="FJ141" s="371"/>
      <c r="FK141" s="371"/>
      <c r="FL141" s="371"/>
      <c r="FM141" s="371"/>
      <c r="FN141" s="371"/>
      <c r="FO141" s="371"/>
      <c r="FP141" s="371"/>
      <c r="FQ141" s="371"/>
      <c r="FR141" s="371"/>
      <c r="FS141" s="371"/>
      <c r="FT141" s="371"/>
      <c r="FU141" s="371"/>
      <c r="FV141" s="371"/>
      <c r="FW141" s="371"/>
      <c r="FX141" s="371"/>
      <c r="FY141" s="371"/>
      <c r="FZ141" s="371"/>
      <c r="GA141" s="371"/>
      <c r="GB141" s="371"/>
      <c r="GC141" s="371"/>
      <c r="GD141" s="371"/>
      <c r="GE141" s="371"/>
      <c r="GF141" s="371"/>
      <c r="GG141" s="371"/>
      <c r="GH141" s="371"/>
      <c r="GI141" s="371"/>
      <c r="GJ141" s="371"/>
      <c r="GK141" s="371"/>
      <c r="GL141" s="371"/>
      <c r="GM141" s="371"/>
      <c r="GN141" s="371"/>
      <c r="GO141" s="371"/>
      <c r="GP141" s="371"/>
      <c r="GQ141" s="371"/>
      <c r="GR141" s="371"/>
      <c r="GS141" s="371"/>
      <c r="GT141" s="371"/>
      <c r="GU141" s="371"/>
      <c r="GV141" s="371"/>
      <c r="GW141" s="371"/>
      <c r="GX141" s="371"/>
      <c r="GY141" s="371"/>
      <c r="GZ141" s="371"/>
      <c r="HA141" s="371"/>
      <c r="HB141" s="371"/>
      <c r="HC141" s="371"/>
      <c r="HD141" s="371"/>
      <c r="HE141" s="371"/>
      <c r="HF141" s="371"/>
      <c r="HG141" s="371"/>
      <c r="HH141" s="371"/>
      <c r="HI141" s="371"/>
      <c r="HJ141" s="371"/>
      <c r="HK141" s="371"/>
      <c r="HL141" s="371"/>
      <c r="HM141" s="371"/>
      <c r="HN141" s="371"/>
      <c r="HO141" s="371"/>
      <c r="HP141" s="371"/>
      <c r="HQ141" s="371"/>
      <c r="HR141" s="371"/>
      <c r="HS141" s="371"/>
      <c r="HT141" s="371"/>
      <c r="HU141" s="371"/>
      <c r="HV141" s="371"/>
      <c r="HW141" s="371"/>
      <c r="HX141" s="371"/>
      <c r="HY141" s="371"/>
      <c r="HZ141" s="371"/>
      <c r="IA141" s="371"/>
      <c r="IB141" s="371"/>
      <c r="IC141" s="371"/>
      <c r="ID141" s="371"/>
      <c r="IE141" s="371"/>
      <c r="IF141" s="371"/>
      <c r="IG141" s="371"/>
      <c r="IH141" s="371"/>
      <c r="II141" s="371"/>
      <c r="IJ141" s="371"/>
      <c r="IK141" s="371"/>
      <c r="IL141" s="371"/>
      <c r="IM141" s="371"/>
      <c r="IN141" s="371"/>
      <c r="IO141" s="371"/>
      <c r="IP141" s="371"/>
      <c r="IQ141" s="371"/>
      <c r="IR141" s="371"/>
      <c r="IS141" s="371"/>
      <c r="IT141" s="371"/>
      <c r="IU141" s="371"/>
      <c r="IV141" s="371"/>
    </row>
    <row r="142" spans="1:256" ht="14.25" x14ac:dyDescent="0.2">
      <c r="A142" s="237"/>
      <c r="B142" s="237"/>
      <c r="C142" s="237"/>
      <c r="D142" s="379" t="s">
        <v>197</v>
      </c>
      <c r="E142" s="380"/>
      <c r="F142" s="380"/>
      <c r="G142" s="380"/>
      <c r="H142" s="380"/>
      <c r="I142" s="380"/>
      <c r="J142" s="381">
        <f>J136+J141</f>
        <v>1737.09</v>
      </c>
      <c r="K142" s="381"/>
      <c r="L142" s="381">
        <f>L136+L141</f>
        <v>12551.33</v>
      </c>
      <c r="M142" s="370" t="e">
        <v>#REF!</v>
      </c>
      <c r="N142" s="371"/>
      <c r="O142" s="371"/>
      <c r="P142" s="371"/>
      <c r="Q142" s="371"/>
      <c r="R142" s="371"/>
      <c r="S142" s="371"/>
      <c r="T142" s="371"/>
      <c r="U142" s="371"/>
      <c r="V142" s="371"/>
      <c r="W142" s="371"/>
      <c r="X142" s="371"/>
      <c r="Y142" s="371"/>
      <c r="Z142" s="371"/>
      <c r="AA142" s="371"/>
      <c r="AB142" s="371"/>
      <c r="AC142" s="371"/>
      <c r="AD142" s="371"/>
      <c r="AE142" s="371"/>
      <c r="AF142" s="371"/>
      <c r="AG142" s="371"/>
      <c r="AH142" s="371"/>
      <c r="AI142" s="371"/>
      <c r="AJ142" s="371"/>
      <c r="AK142" s="371"/>
      <c r="AL142" s="371"/>
      <c r="AM142" s="371"/>
      <c r="AN142" s="371"/>
      <c r="AO142" s="371"/>
      <c r="AP142" s="371"/>
      <c r="AQ142" s="371"/>
      <c r="AR142" s="371"/>
      <c r="AS142" s="371"/>
      <c r="AT142" s="371"/>
      <c r="AU142" s="371"/>
      <c r="AV142" s="371"/>
      <c r="AW142" s="371"/>
      <c r="AX142" s="371"/>
      <c r="AY142" s="371"/>
      <c r="AZ142" s="371"/>
      <c r="BA142" s="371"/>
      <c r="BB142" s="371"/>
      <c r="BC142" s="371"/>
      <c r="BD142" s="371"/>
      <c r="BE142" s="371"/>
      <c r="BF142" s="371"/>
      <c r="BG142" s="371"/>
      <c r="BH142" s="371"/>
      <c r="BI142" s="371"/>
      <c r="BJ142" s="371"/>
      <c r="BK142" s="371"/>
      <c r="BL142" s="371"/>
      <c r="BM142" s="371"/>
      <c r="BN142" s="371"/>
      <c r="BO142" s="371"/>
      <c r="BP142" s="371"/>
      <c r="BQ142" s="371"/>
      <c r="BR142" s="371"/>
      <c r="BS142" s="371"/>
      <c r="BT142" s="371"/>
      <c r="BU142" s="371"/>
      <c r="BV142" s="371"/>
      <c r="BW142" s="371"/>
      <c r="BX142" s="371"/>
      <c r="BY142" s="371"/>
      <c r="BZ142" s="371"/>
      <c r="CA142" s="371"/>
      <c r="CB142" s="371"/>
      <c r="CC142" s="371"/>
      <c r="CD142" s="371"/>
      <c r="CE142" s="371"/>
      <c r="CF142" s="371"/>
      <c r="CG142" s="371"/>
      <c r="CH142" s="371"/>
      <c r="CI142" s="371"/>
      <c r="CJ142" s="371"/>
      <c r="CK142" s="371"/>
      <c r="CL142" s="371"/>
      <c r="CM142" s="371"/>
      <c r="CN142" s="371"/>
      <c r="CO142" s="371"/>
      <c r="CP142" s="371"/>
      <c r="CQ142" s="371"/>
      <c r="CR142" s="371"/>
      <c r="CS142" s="371"/>
      <c r="CT142" s="371"/>
      <c r="CU142" s="371"/>
      <c r="CV142" s="371"/>
      <c r="CW142" s="371"/>
      <c r="CX142" s="371"/>
      <c r="CY142" s="371"/>
      <c r="CZ142" s="371"/>
      <c r="DA142" s="371"/>
      <c r="DB142" s="371"/>
      <c r="DC142" s="371"/>
      <c r="DD142" s="371"/>
      <c r="DE142" s="371"/>
      <c r="DF142" s="371"/>
      <c r="DG142" s="371"/>
      <c r="DH142" s="371"/>
      <c r="DI142" s="371"/>
      <c r="DJ142" s="371"/>
      <c r="DK142" s="371"/>
      <c r="DL142" s="371"/>
      <c r="DM142" s="371"/>
      <c r="DN142" s="371"/>
      <c r="DO142" s="371"/>
      <c r="DP142" s="371"/>
      <c r="DQ142" s="371"/>
      <c r="DR142" s="371"/>
      <c r="DS142" s="371"/>
      <c r="DT142" s="371"/>
      <c r="DU142" s="371"/>
      <c r="DV142" s="371"/>
      <c r="DW142" s="371"/>
      <c r="DX142" s="371"/>
      <c r="DY142" s="371"/>
      <c r="DZ142" s="371"/>
      <c r="EA142" s="371"/>
      <c r="EB142" s="371"/>
      <c r="EC142" s="371"/>
      <c r="ED142" s="371"/>
      <c r="EE142" s="371"/>
      <c r="EF142" s="371"/>
      <c r="EG142" s="371"/>
      <c r="EH142" s="371"/>
      <c r="EI142" s="371"/>
      <c r="EJ142" s="371"/>
      <c r="EK142" s="371"/>
      <c r="EL142" s="371"/>
      <c r="EM142" s="371"/>
      <c r="EN142" s="371"/>
      <c r="EO142" s="371"/>
      <c r="EP142" s="371"/>
      <c r="EQ142" s="371"/>
      <c r="ER142" s="371"/>
      <c r="ES142" s="371"/>
      <c r="ET142" s="371"/>
      <c r="EU142" s="371"/>
      <c r="EV142" s="371"/>
      <c r="EW142" s="371"/>
      <c r="EX142" s="371"/>
      <c r="EY142" s="371"/>
      <c r="EZ142" s="371"/>
      <c r="FA142" s="371"/>
      <c r="FB142" s="371"/>
      <c r="FC142" s="371"/>
      <c r="FD142" s="371"/>
      <c r="FE142" s="371"/>
      <c r="FF142" s="371"/>
      <c r="FG142" s="371"/>
      <c r="FH142" s="371"/>
      <c r="FI142" s="371"/>
      <c r="FJ142" s="371"/>
      <c r="FK142" s="371"/>
      <c r="FL142" s="371"/>
      <c r="FM142" s="371"/>
      <c r="FN142" s="371"/>
      <c r="FO142" s="371"/>
      <c r="FP142" s="371"/>
      <c r="FQ142" s="371"/>
      <c r="FR142" s="371"/>
      <c r="FS142" s="371"/>
      <c r="FT142" s="371"/>
      <c r="FU142" s="371"/>
      <c r="FV142" s="371"/>
      <c r="FW142" s="371"/>
      <c r="FX142" s="371"/>
      <c r="FY142" s="371"/>
      <c r="FZ142" s="371"/>
      <c r="GA142" s="371"/>
      <c r="GB142" s="371"/>
      <c r="GC142" s="371"/>
      <c r="GD142" s="371"/>
      <c r="GE142" s="371"/>
      <c r="GF142" s="371"/>
      <c r="GG142" s="371"/>
      <c r="GH142" s="371"/>
      <c r="GI142" s="371"/>
      <c r="GJ142" s="371"/>
      <c r="GK142" s="371"/>
      <c r="GL142" s="371"/>
      <c r="GM142" s="371"/>
      <c r="GN142" s="371"/>
      <c r="GO142" s="371"/>
      <c r="GP142" s="371"/>
      <c r="GQ142" s="371"/>
      <c r="GR142" s="371"/>
      <c r="GS142" s="371"/>
      <c r="GT142" s="371"/>
      <c r="GU142" s="371"/>
      <c r="GV142" s="371"/>
      <c r="GW142" s="371"/>
      <c r="GX142" s="371"/>
      <c r="GY142" s="371"/>
      <c r="GZ142" s="371"/>
      <c r="HA142" s="371"/>
      <c r="HB142" s="371"/>
      <c r="HC142" s="371"/>
      <c r="HD142" s="371"/>
      <c r="HE142" s="371"/>
      <c r="HF142" s="371"/>
      <c r="HG142" s="371"/>
      <c r="HH142" s="371"/>
      <c r="HI142" s="371"/>
      <c r="HJ142" s="371"/>
      <c r="HK142" s="371"/>
      <c r="HL142" s="371"/>
      <c r="HM142" s="371"/>
      <c r="HN142" s="371"/>
      <c r="HO142" s="371"/>
      <c r="HP142" s="371"/>
      <c r="HQ142" s="371"/>
      <c r="HR142" s="371"/>
      <c r="HS142" s="371"/>
      <c r="HT142" s="371"/>
      <c r="HU142" s="371"/>
      <c r="HV142" s="371"/>
      <c r="HW142" s="371"/>
      <c r="HX142" s="371"/>
      <c r="HY142" s="371"/>
      <c r="HZ142" s="371"/>
      <c r="IA142" s="371"/>
      <c r="IB142" s="371"/>
      <c r="IC142" s="371"/>
      <c r="ID142" s="371"/>
      <c r="IE142" s="371"/>
      <c r="IF142" s="371"/>
      <c r="IG142" s="371"/>
      <c r="IH142" s="371"/>
      <c r="II142" s="371"/>
      <c r="IJ142" s="371"/>
      <c r="IK142" s="371"/>
      <c r="IL142" s="371"/>
      <c r="IM142" s="371"/>
      <c r="IN142" s="371"/>
      <c r="IO142" s="371"/>
      <c r="IP142" s="371"/>
      <c r="IQ142" s="371"/>
      <c r="IR142" s="371"/>
      <c r="IS142" s="371"/>
      <c r="IT142" s="371"/>
      <c r="IU142" s="371"/>
      <c r="IV142" s="371"/>
    </row>
    <row r="143" spans="1:256" ht="14.25" x14ac:dyDescent="0.2">
      <c r="A143" s="241"/>
      <c r="B143" s="241"/>
      <c r="C143" s="241"/>
      <c r="D143" s="241"/>
      <c r="E143" s="241"/>
      <c r="F143" s="241"/>
      <c r="G143" s="241"/>
      <c r="H143" s="241"/>
      <c r="I143" s="241"/>
      <c r="J143" s="241"/>
      <c r="K143" s="241"/>
      <c r="L143" s="241"/>
      <c r="M143" s="374"/>
      <c r="N143" s="375"/>
      <c r="O143" s="375"/>
      <c r="P143" s="375"/>
      <c r="Q143" s="375"/>
      <c r="R143" s="375"/>
      <c r="S143" s="375"/>
      <c r="T143" s="375"/>
      <c r="U143" s="375"/>
      <c r="V143" s="375"/>
      <c r="W143" s="375"/>
      <c r="X143" s="375"/>
      <c r="Y143" s="375"/>
      <c r="Z143" s="375"/>
      <c r="AA143" s="375"/>
      <c r="AB143" s="375"/>
      <c r="AC143" s="375"/>
      <c r="AD143" s="375"/>
      <c r="AE143" s="375"/>
      <c r="AF143" s="375"/>
      <c r="AG143" s="375"/>
      <c r="AH143" s="375"/>
      <c r="AI143" s="375"/>
      <c r="AJ143" s="375"/>
      <c r="AK143" s="375"/>
      <c r="AL143" s="375"/>
      <c r="AM143" s="375"/>
      <c r="AN143" s="375"/>
      <c r="AO143" s="375"/>
      <c r="AP143" s="375"/>
      <c r="AQ143" s="375"/>
      <c r="AR143" s="375"/>
      <c r="AS143" s="375"/>
      <c r="AT143" s="375"/>
      <c r="AU143" s="375"/>
      <c r="AV143" s="375"/>
      <c r="AW143" s="375"/>
      <c r="AX143" s="375"/>
      <c r="AY143" s="375"/>
      <c r="AZ143" s="375"/>
      <c r="BA143" s="375"/>
      <c r="BB143" s="375"/>
      <c r="BC143" s="375"/>
      <c r="BD143" s="375"/>
      <c r="BE143" s="375"/>
      <c r="BF143" s="375"/>
      <c r="BG143" s="375"/>
      <c r="BH143" s="375"/>
      <c r="BI143" s="375"/>
      <c r="BJ143" s="375"/>
      <c r="BK143" s="375"/>
      <c r="BL143" s="375"/>
      <c r="BM143" s="375"/>
      <c r="BN143" s="375"/>
      <c r="BO143" s="375"/>
      <c r="BP143" s="375"/>
      <c r="BQ143" s="375"/>
      <c r="BR143" s="375"/>
      <c r="BS143" s="375"/>
      <c r="BT143" s="375"/>
      <c r="BU143" s="375"/>
      <c r="BV143" s="375"/>
      <c r="BW143" s="375"/>
      <c r="BX143" s="375"/>
      <c r="BY143" s="375"/>
      <c r="BZ143" s="375"/>
      <c r="CA143" s="375"/>
      <c r="CB143" s="375"/>
      <c r="CC143" s="375"/>
      <c r="CD143" s="375"/>
      <c r="CE143" s="375"/>
      <c r="CF143" s="375"/>
      <c r="CG143" s="375"/>
      <c r="CH143" s="375"/>
      <c r="CI143" s="375"/>
      <c r="CJ143" s="375"/>
      <c r="CK143" s="375"/>
      <c r="CL143" s="375"/>
      <c r="CM143" s="375"/>
      <c r="CN143" s="375"/>
      <c r="CO143" s="375"/>
      <c r="CP143" s="375"/>
      <c r="CQ143" s="375"/>
      <c r="CR143" s="375"/>
      <c r="CS143" s="375"/>
      <c r="CT143" s="375"/>
      <c r="CU143" s="375"/>
      <c r="CV143" s="375"/>
      <c r="CW143" s="375"/>
      <c r="CX143" s="375"/>
      <c r="CY143" s="375"/>
      <c r="CZ143" s="375"/>
      <c r="DA143" s="375"/>
      <c r="DB143" s="375"/>
      <c r="DC143" s="375"/>
      <c r="DD143" s="375"/>
      <c r="DE143" s="375"/>
      <c r="DF143" s="375"/>
      <c r="DG143" s="375"/>
      <c r="DH143" s="375"/>
      <c r="DI143" s="375"/>
      <c r="DJ143" s="375"/>
      <c r="DK143" s="375"/>
      <c r="DL143" s="375"/>
      <c r="DM143" s="375"/>
      <c r="DN143" s="375"/>
      <c r="DO143" s="375"/>
      <c r="DP143" s="375"/>
      <c r="DQ143" s="375"/>
      <c r="DR143" s="375"/>
      <c r="DS143" s="375"/>
      <c r="DT143" s="375"/>
      <c r="DU143" s="375"/>
      <c r="DV143" s="375"/>
      <c r="DW143" s="375"/>
      <c r="DX143" s="375"/>
      <c r="DY143" s="375"/>
      <c r="DZ143" s="375"/>
      <c r="EA143" s="375"/>
      <c r="EB143" s="375"/>
      <c r="EC143" s="375"/>
      <c r="ED143" s="375"/>
      <c r="EE143" s="375"/>
      <c r="EF143" s="375"/>
      <c r="EG143" s="375"/>
      <c r="EH143" s="375"/>
      <c r="EI143" s="375"/>
      <c r="EJ143" s="375"/>
      <c r="EK143" s="375"/>
      <c r="EL143" s="375"/>
      <c r="EM143" s="375"/>
      <c r="EN143" s="375"/>
      <c r="EO143" s="375"/>
      <c r="EP143" s="375"/>
      <c r="EQ143" s="375"/>
      <c r="ER143" s="375"/>
      <c r="ES143" s="375"/>
      <c r="ET143" s="375"/>
      <c r="EU143" s="375"/>
      <c r="EV143" s="375"/>
      <c r="EW143" s="375"/>
      <c r="EX143" s="375"/>
      <c r="EY143" s="375"/>
      <c r="EZ143" s="375"/>
      <c r="FA143" s="375"/>
      <c r="FB143" s="375"/>
      <c r="FC143" s="375"/>
      <c r="FD143" s="375"/>
      <c r="FE143" s="375"/>
      <c r="FF143" s="375"/>
      <c r="FG143" s="375"/>
      <c r="FH143" s="375"/>
      <c r="FI143" s="375"/>
      <c r="FJ143" s="375"/>
      <c r="FK143" s="375"/>
      <c r="FL143" s="375"/>
      <c r="FM143" s="375"/>
      <c r="FN143" s="375"/>
      <c r="FO143" s="375"/>
      <c r="FP143" s="375"/>
      <c r="FQ143" s="375"/>
      <c r="FR143" s="375"/>
      <c r="FS143" s="375"/>
      <c r="FT143" s="375"/>
      <c r="FU143" s="375"/>
      <c r="FV143" s="375"/>
      <c r="FW143" s="375"/>
      <c r="FX143" s="375"/>
      <c r="FY143" s="375"/>
      <c r="FZ143" s="375"/>
      <c r="GA143" s="375"/>
      <c r="GB143" s="375"/>
      <c r="GC143" s="375"/>
      <c r="GD143" s="375"/>
      <c r="GE143" s="375"/>
      <c r="GF143" s="375"/>
      <c r="GG143" s="375"/>
      <c r="GH143" s="375"/>
      <c r="GI143" s="375"/>
      <c r="GJ143" s="375"/>
      <c r="GK143" s="375"/>
      <c r="GL143" s="375"/>
      <c r="GM143" s="375"/>
      <c r="GN143" s="375"/>
      <c r="GO143" s="375"/>
      <c r="GP143" s="375"/>
      <c r="GQ143" s="375"/>
      <c r="GR143" s="375"/>
      <c r="GS143" s="375"/>
      <c r="GT143" s="375"/>
      <c r="GU143" s="375"/>
      <c r="GV143" s="375"/>
      <c r="GW143" s="375"/>
      <c r="GX143" s="375"/>
      <c r="GY143" s="375"/>
      <c r="GZ143" s="375"/>
      <c r="HA143" s="375"/>
      <c r="HB143" s="375"/>
      <c r="HC143" s="375"/>
      <c r="HD143" s="375"/>
      <c r="HE143" s="375"/>
      <c r="HF143" s="375"/>
      <c r="HG143" s="375"/>
      <c r="HH143" s="375"/>
      <c r="HI143" s="375"/>
      <c r="HJ143" s="375"/>
      <c r="HK143" s="375"/>
      <c r="HL143" s="375"/>
      <c r="HM143" s="375"/>
      <c r="HN143" s="375"/>
      <c r="HO143" s="375"/>
      <c r="HP143" s="375"/>
      <c r="HQ143" s="375"/>
      <c r="HR143" s="375"/>
      <c r="HS143" s="375"/>
      <c r="HT143" s="375"/>
      <c r="HU143" s="375"/>
      <c r="HV143" s="375"/>
      <c r="HW143" s="375"/>
      <c r="HX143" s="375"/>
      <c r="HY143" s="375"/>
      <c r="HZ143" s="375"/>
      <c r="IA143" s="375"/>
      <c r="IB143" s="375"/>
      <c r="IC143" s="375"/>
      <c r="ID143" s="375"/>
      <c r="IE143" s="375"/>
      <c r="IF143" s="375"/>
      <c r="IG143" s="375"/>
      <c r="IH143" s="375"/>
      <c r="II143" s="375"/>
      <c r="IJ143" s="375"/>
      <c r="IK143" s="375"/>
      <c r="IL143" s="375"/>
      <c r="IM143" s="375"/>
      <c r="IN143" s="375"/>
      <c r="IO143" s="375"/>
      <c r="IP143" s="375"/>
      <c r="IQ143" s="375"/>
      <c r="IR143" s="375"/>
      <c r="IS143" s="375"/>
      <c r="IT143" s="375"/>
      <c r="IU143" s="375"/>
      <c r="IV143" s="375"/>
    </row>
    <row r="144" spans="1:256" ht="14.25" x14ac:dyDescent="0.2">
      <c r="A144" s="241"/>
      <c r="B144" s="241"/>
      <c r="C144" s="241"/>
      <c r="D144" s="241"/>
      <c r="E144" s="241"/>
      <c r="F144" s="241"/>
      <c r="G144" s="241"/>
      <c r="H144" s="241"/>
      <c r="I144" s="241"/>
      <c r="J144" s="241"/>
      <c r="K144" s="241"/>
      <c r="L144" s="241"/>
      <c r="M144" s="374"/>
      <c r="N144" s="375"/>
      <c r="O144" s="375"/>
      <c r="P144" s="375"/>
      <c r="Q144" s="375"/>
      <c r="R144" s="375"/>
      <c r="S144" s="375"/>
      <c r="T144" s="375"/>
      <c r="U144" s="375"/>
      <c r="V144" s="375"/>
      <c r="W144" s="375"/>
      <c r="X144" s="375"/>
      <c r="Y144" s="375"/>
      <c r="Z144" s="375"/>
      <c r="AA144" s="375"/>
      <c r="AB144" s="375"/>
      <c r="AC144" s="375"/>
      <c r="AD144" s="375"/>
      <c r="AE144" s="375"/>
      <c r="AF144" s="375"/>
      <c r="AG144" s="375"/>
      <c r="AH144" s="375"/>
      <c r="AI144" s="375"/>
      <c r="AJ144" s="375"/>
      <c r="AK144" s="375"/>
      <c r="AL144" s="375"/>
      <c r="AM144" s="375"/>
      <c r="AN144" s="375"/>
      <c r="AO144" s="375"/>
      <c r="AP144" s="375"/>
      <c r="AQ144" s="375"/>
      <c r="AR144" s="375"/>
      <c r="AS144" s="375"/>
      <c r="AT144" s="375"/>
      <c r="AU144" s="375"/>
      <c r="AV144" s="375"/>
      <c r="AW144" s="375"/>
      <c r="AX144" s="375"/>
      <c r="AY144" s="375"/>
      <c r="AZ144" s="375"/>
      <c r="BA144" s="375"/>
      <c r="BB144" s="375"/>
      <c r="BC144" s="375"/>
      <c r="BD144" s="375"/>
      <c r="BE144" s="375"/>
      <c r="BF144" s="375"/>
      <c r="BG144" s="375"/>
      <c r="BH144" s="375"/>
      <c r="BI144" s="375"/>
      <c r="BJ144" s="375"/>
      <c r="BK144" s="375"/>
      <c r="BL144" s="375"/>
      <c r="BM144" s="375"/>
      <c r="BN144" s="375"/>
      <c r="BO144" s="375"/>
      <c r="BP144" s="375"/>
      <c r="BQ144" s="375"/>
      <c r="BR144" s="375"/>
      <c r="BS144" s="375"/>
      <c r="BT144" s="375"/>
      <c r="BU144" s="375"/>
      <c r="BV144" s="375"/>
      <c r="BW144" s="375"/>
      <c r="BX144" s="375"/>
      <c r="BY144" s="375"/>
      <c r="BZ144" s="375"/>
      <c r="CA144" s="375"/>
      <c r="CB144" s="375"/>
      <c r="CC144" s="375"/>
      <c r="CD144" s="375"/>
      <c r="CE144" s="375"/>
      <c r="CF144" s="375"/>
      <c r="CG144" s="375"/>
      <c r="CH144" s="375"/>
      <c r="CI144" s="375"/>
      <c r="CJ144" s="375"/>
      <c r="CK144" s="375"/>
      <c r="CL144" s="375"/>
      <c r="CM144" s="375"/>
      <c r="CN144" s="375"/>
      <c r="CO144" s="375"/>
      <c r="CP144" s="375"/>
      <c r="CQ144" s="375"/>
      <c r="CR144" s="375"/>
      <c r="CS144" s="375"/>
      <c r="CT144" s="375"/>
      <c r="CU144" s="375"/>
      <c r="CV144" s="375"/>
      <c r="CW144" s="375"/>
      <c r="CX144" s="375"/>
      <c r="CY144" s="375"/>
      <c r="CZ144" s="375"/>
      <c r="DA144" s="375"/>
      <c r="DB144" s="375"/>
      <c r="DC144" s="375"/>
      <c r="DD144" s="375"/>
      <c r="DE144" s="375"/>
      <c r="DF144" s="375"/>
      <c r="DG144" s="375"/>
      <c r="DH144" s="375"/>
      <c r="DI144" s="375"/>
      <c r="DJ144" s="375"/>
      <c r="DK144" s="375"/>
      <c r="DL144" s="375"/>
      <c r="DM144" s="375"/>
      <c r="DN144" s="375"/>
      <c r="DO144" s="375"/>
      <c r="DP144" s="375"/>
      <c r="DQ144" s="375"/>
      <c r="DR144" s="375"/>
      <c r="DS144" s="375"/>
      <c r="DT144" s="375"/>
      <c r="DU144" s="375"/>
      <c r="DV144" s="375"/>
      <c r="DW144" s="375"/>
      <c r="DX144" s="375"/>
      <c r="DY144" s="375"/>
      <c r="DZ144" s="375"/>
      <c r="EA144" s="375"/>
      <c r="EB144" s="375"/>
      <c r="EC144" s="375"/>
      <c r="ED144" s="375"/>
      <c r="EE144" s="375"/>
      <c r="EF144" s="375"/>
      <c r="EG144" s="375"/>
      <c r="EH144" s="375"/>
      <c r="EI144" s="375"/>
      <c r="EJ144" s="375"/>
      <c r="EK144" s="375"/>
      <c r="EL144" s="375"/>
      <c r="EM144" s="375"/>
      <c r="EN144" s="375"/>
      <c r="EO144" s="375"/>
      <c r="EP144" s="375"/>
      <c r="EQ144" s="375"/>
      <c r="ER144" s="375"/>
      <c r="ES144" s="375"/>
      <c r="ET144" s="375"/>
      <c r="EU144" s="375"/>
      <c r="EV144" s="375"/>
      <c r="EW144" s="375"/>
      <c r="EX144" s="375"/>
      <c r="EY144" s="375"/>
      <c r="EZ144" s="375"/>
      <c r="FA144" s="375"/>
      <c r="FB144" s="375"/>
      <c r="FC144" s="375"/>
      <c r="FD144" s="375"/>
      <c r="FE144" s="375"/>
      <c r="FF144" s="375"/>
      <c r="FG144" s="375"/>
      <c r="FH144" s="375"/>
      <c r="FI144" s="375"/>
      <c r="FJ144" s="375"/>
      <c r="FK144" s="375"/>
      <c r="FL144" s="375"/>
      <c r="FM144" s="375"/>
      <c r="FN144" s="375"/>
      <c r="FO144" s="375"/>
      <c r="FP144" s="375"/>
      <c r="FQ144" s="375"/>
      <c r="FR144" s="375"/>
      <c r="FS144" s="375"/>
      <c r="FT144" s="375"/>
      <c r="FU144" s="375"/>
      <c r="FV144" s="375"/>
      <c r="FW144" s="375"/>
      <c r="FX144" s="375"/>
      <c r="FY144" s="375"/>
      <c r="FZ144" s="375"/>
      <c r="GA144" s="375"/>
      <c r="GB144" s="375"/>
      <c r="GC144" s="375"/>
      <c r="GD144" s="375"/>
      <c r="GE144" s="375"/>
      <c r="GF144" s="375"/>
      <c r="GG144" s="375"/>
      <c r="GH144" s="375"/>
      <c r="GI144" s="375"/>
      <c r="GJ144" s="375"/>
      <c r="GK144" s="375"/>
      <c r="GL144" s="375"/>
      <c r="GM144" s="375"/>
      <c r="GN144" s="375"/>
      <c r="GO144" s="375"/>
      <c r="GP144" s="375"/>
      <c r="GQ144" s="375"/>
      <c r="GR144" s="375"/>
      <c r="GS144" s="375"/>
      <c r="GT144" s="375"/>
      <c r="GU144" s="375"/>
      <c r="GV144" s="375"/>
      <c r="GW144" s="375"/>
      <c r="GX144" s="375"/>
      <c r="GY144" s="375"/>
      <c r="GZ144" s="375"/>
      <c r="HA144" s="375"/>
      <c r="HB144" s="375"/>
      <c r="HC144" s="375"/>
      <c r="HD144" s="375"/>
      <c r="HE144" s="375"/>
      <c r="HF144" s="375"/>
      <c r="HG144" s="375"/>
      <c r="HH144" s="375"/>
      <c r="HI144" s="375"/>
      <c r="HJ144" s="375"/>
      <c r="HK144" s="375"/>
      <c r="HL144" s="375"/>
      <c r="HM144" s="375"/>
      <c r="HN144" s="375"/>
      <c r="HO144" s="375"/>
      <c r="HP144" s="375"/>
      <c r="HQ144" s="375"/>
      <c r="HR144" s="375"/>
      <c r="HS144" s="375"/>
      <c r="HT144" s="375"/>
      <c r="HU144" s="375"/>
      <c r="HV144" s="375"/>
      <c r="HW144" s="375"/>
      <c r="HX144" s="375"/>
      <c r="HY144" s="375"/>
      <c r="HZ144" s="375"/>
      <c r="IA144" s="375"/>
      <c r="IB144" s="375"/>
      <c r="IC144" s="375"/>
      <c r="ID144" s="375"/>
      <c r="IE144" s="375"/>
      <c r="IF144" s="375"/>
      <c r="IG144" s="375"/>
      <c r="IH144" s="375"/>
      <c r="II144" s="375"/>
      <c r="IJ144" s="375"/>
      <c r="IK144" s="375"/>
      <c r="IL144" s="375"/>
      <c r="IM144" s="375"/>
      <c r="IN144" s="375"/>
      <c r="IO144" s="375"/>
      <c r="IP144" s="375"/>
      <c r="IQ144" s="375"/>
      <c r="IR144" s="375"/>
      <c r="IS144" s="375"/>
      <c r="IT144" s="375"/>
      <c r="IU144" s="375"/>
      <c r="IV144" s="375"/>
    </row>
    <row r="145" spans="1:256" ht="15" x14ac:dyDescent="0.25">
      <c r="A145" s="368"/>
      <c r="B145" s="368"/>
      <c r="C145" s="368"/>
      <c r="D145" s="379" t="s">
        <v>198</v>
      </c>
      <c r="E145" s="377"/>
      <c r="F145" s="377"/>
      <c r="G145" s="377"/>
      <c r="H145" s="377"/>
      <c r="I145" s="377"/>
      <c r="J145" s="382">
        <f>(J136-J139)*0.925+J139</f>
        <v>1716.49</v>
      </c>
      <c r="K145" s="382"/>
      <c r="L145" s="382">
        <f>L136*0.925</f>
        <v>11449.35</v>
      </c>
      <c r="M145" s="287" t="e">
        <v>#REF!</v>
      </c>
      <c r="N145" s="275"/>
      <c r="O145" s="275"/>
      <c r="P145" s="275"/>
      <c r="Q145" s="275"/>
      <c r="R145" s="275"/>
      <c r="S145" s="275"/>
      <c r="T145" s="275"/>
      <c r="U145" s="275"/>
      <c r="V145" s="275"/>
      <c r="W145" s="275"/>
      <c r="X145" s="275"/>
      <c r="Y145" s="275"/>
      <c r="Z145" s="275"/>
      <c r="AA145" s="275"/>
      <c r="AB145" s="275"/>
      <c r="AC145" s="275"/>
      <c r="AD145" s="275"/>
      <c r="AE145" s="275"/>
      <c r="AF145" s="275"/>
      <c r="AG145" s="275"/>
      <c r="AH145" s="275"/>
      <c r="AI145" s="275"/>
      <c r="AJ145" s="275"/>
      <c r="AK145" s="275"/>
      <c r="AL145" s="275"/>
      <c r="AM145" s="275"/>
      <c r="AN145" s="275"/>
      <c r="AO145" s="275"/>
      <c r="AP145" s="275"/>
      <c r="AQ145" s="275"/>
      <c r="AR145" s="275"/>
      <c r="AS145" s="275"/>
      <c r="AT145" s="275"/>
      <c r="AU145" s="275"/>
      <c r="AV145" s="275"/>
      <c r="AW145" s="275"/>
      <c r="AX145" s="275"/>
      <c r="AY145" s="275"/>
      <c r="AZ145" s="275"/>
      <c r="BA145" s="275"/>
      <c r="BB145" s="275"/>
      <c r="BC145" s="275"/>
      <c r="BD145" s="275"/>
      <c r="BE145" s="275"/>
      <c r="BF145" s="275"/>
      <c r="BG145" s="275"/>
      <c r="BH145" s="275"/>
      <c r="BI145" s="275"/>
      <c r="BJ145" s="275"/>
      <c r="BK145" s="275"/>
      <c r="BL145" s="275"/>
      <c r="BM145" s="275"/>
      <c r="BN145" s="275"/>
      <c r="BO145" s="275"/>
      <c r="BP145" s="275"/>
      <c r="BQ145" s="275"/>
      <c r="BR145" s="275"/>
      <c r="BS145" s="275"/>
      <c r="BT145" s="275"/>
      <c r="BU145" s="275"/>
      <c r="BV145" s="275"/>
      <c r="BW145" s="275"/>
      <c r="BX145" s="275"/>
      <c r="BY145" s="275"/>
      <c r="BZ145" s="275"/>
      <c r="CA145" s="275"/>
      <c r="CB145" s="275"/>
      <c r="CC145" s="275"/>
      <c r="CD145" s="275"/>
      <c r="CE145" s="275"/>
      <c r="CF145" s="275"/>
      <c r="CG145" s="275"/>
      <c r="CH145" s="275"/>
      <c r="CI145" s="275"/>
      <c r="CJ145" s="275"/>
      <c r="CK145" s="275"/>
      <c r="CL145" s="275"/>
      <c r="CM145" s="275"/>
      <c r="CN145" s="275"/>
      <c r="CO145" s="275"/>
      <c r="CP145" s="275"/>
      <c r="CQ145" s="275"/>
      <c r="CR145" s="275"/>
      <c r="CS145" s="275"/>
      <c r="CT145" s="275"/>
      <c r="CU145" s="275"/>
      <c r="CV145" s="275"/>
      <c r="CW145" s="275"/>
      <c r="CX145" s="275"/>
      <c r="CY145" s="275"/>
      <c r="CZ145" s="275"/>
      <c r="DA145" s="275"/>
      <c r="DB145" s="275"/>
      <c r="DC145" s="275"/>
      <c r="DD145" s="275"/>
      <c r="DE145" s="275"/>
      <c r="DF145" s="275"/>
      <c r="DG145" s="275"/>
      <c r="DH145" s="275"/>
      <c r="DI145" s="275"/>
      <c r="DJ145" s="275"/>
      <c r="DK145" s="275"/>
      <c r="DL145" s="275"/>
      <c r="DM145" s="275"/>
      <c r="DN145" s="275"/>
      <c r="DO145" s="275"/>
      <c r="DP145" s="275"/>
      <c r="DQ145" s="275"/>
      <c r="DR145" s="275"/>
      <c r="DS145" s="275"/>
      <c r="DT145" s="275"/>
      <c r="DU145" s="275"/>
      <c r="DV145" s="275"/>
      <c r="DW145" s="275"/>
      <c r="DX145" s="275"/>
      <c r="DY145" s="275"/>
      <c r="DZ145" s="275"/>
      <c r="EA145" s="275"/>
      <c r="EB145" s="275"/>
      <c r="EC145" s="275"/>
      <c r="ED145" s="275"/>
      <c r="EE145" s="275"/>
      <c r="EF145" s="275"/>
      <c r="EG145" s="275"/>
      <c r="EH145" s="275"/>
      <c r="EI145" s="275"/>
      <c r="EJ145" s="275"/>
      <c r="EK145" s="275"/>
      <c r="EL145" s="275"/>
      <c r="EM145" s="275"/>
      <c r="EN145" s="275"/>
      <c r="EO145" s="275"/>
      <c r="EP145" s="275"/>
      <c r="EQ145" s="275"/>
      <c r="ER145" s="275"/>
      <c r="ES145" s="275"/>
      <c r="ET145" s="275"/>
      <c r="EU145" s="275"/>
      <c r="EV145" s="275"/>
      <c r="EW145" s="275"/>
      <c r="EX145" s="275"/>
      <c r="EY145" s="275"/>
      <c r="EZ145" s="275"/>
      <c r="FA145" s="275"/>
      <c r="FB145" s="275"/>
      <c r="FC145" s="275"/>
      <c r="FD145" s="275"/>
      <c r="FE145" s="275"/>
      <c r="FF145" s="275"/>
      <c r="FG145" s="275"/>
      <c r="FH145" s="275"/>
      <c r="FI145" s="275"/>
      <c r="FJ145" s="275"/>
      <c r="FK145" s="275"/>
      <c r="FL145" s="275"/>
      <c r="FM145" s="275"/>
      <c r="FN145" s="275"/>
      <c r="FO145" s="275"/>
      <c r="FP145" s="275"/>
      <c r="FQ145" s="275"/>
      <c r="FR145" s="275"/>
      <c r="FS145" s="275"/>
      <c r="FT145" s="275"/>
      <c r="FU145" s="275"/>
      <c r="FV145" s="275"/>
      <c r="FW145" s="275"/>
      <c r="FX145" s="275"/>
      <c r="FY145" s="275"/>
      <c r="FZ145" s="275"/>
      <c r="GA145" s="275"/>
      <c r="GB145" s="275"/>
      <c r="GC145" s="275"/>
      <c r="GD145" s="275"/>
      <c r="GE145" s="275"/>
      <c r="GF145" s="275"/>
      <c r="GG145" s="275"/>
      <c r="GH145" s="275"/>
      <c r="GI145" s="275"/>
      <c r="GJ145" s="275"/>
      <c r="GK145" s="275"/>
      <c r="GL145" s="275"/>
      <c r="GM145" s="275"/>
      <c r="GN145" s="275"/>
      <c r="GO145" s="275"/>
      <c r="GP145" s="275"/>
      <c r="GQ145" s="275"/>
      <c r="GR145" s="275"/>
      <c r="GS145" s="275"/>
      <c r="GT145" s="275"/>
      <c r="GU145" s="275"/>
      <c r="GV145" s="275"/>
      <c r="GW145" s="275"/>
      <c r="GX145" s="275"/>
      <c r="GY145" s="275"/>
      <c r="GZ145" s="275"/>
      <c r="HA145" s="275"/>
      <c r="HB145" s="275"/>
      <c r="HC145" s="275"/>
      <c r="HD145" s="275"/>
      <c r="HE145" s="275"/>
      <c r="HF145" s="275"/>
      <c r="HG145" s="275"/>
      <c r="HH145" s="275"/>
      <c r="HI145" s="275"/>
      <c r="HJ145" s="275"/>
      <c r="HK145" s="275"/>
      <c r="HL145" s="275"/>
      <c r="HM145" s="275"/>
      <c r="HN145" s="275"/>
      <c r="HO145" s="275"/>
      <c r="HP145" s="275"/>
      <c r="HQ145" s="275"/>
      <c r="HR145" s="275"/>
      <c r="HS145" s="275"/>
      <c r="HT145" s="275"/>
      <c r="HU145" s="275"/>
      <c r="HV145" s="275"/>
      <c r="HW145" s="275"/>
      <c r="HX145" s="275"/>
      <c r="HY145" s="275"/>
      <c r="HZ145" s="275"/>
      <c r="IA145" s="275"/>
      <c r="IB145" s="275"/>
      <c r="IC145" s="275"/>
      <c r="ID145" s="275"/>
      <c r="IE145" s="275"/>
      <c r="IF145" s="275"/>
      <c r="IG145" s="275"/>
      <c r="IH145" s="275"/>
      <c r="II145" s="275"/>
      <c r="IJ145" s="275"/>
      <c r="IK145" s="275"/>
      <c r="IL145" s="275"/>
      <c r="IM145" s="275"/>
      <c r="IN145" s="275"/>
      <c r="IO145" s="275"/>
      <c r="IP145" s="275"/>
      <c r="IQ145" s="275"/>
      <c r="IR145" s="275"/>
      <c r="IS145" s="275"/>
      <c r="IT145" s="275"/>
      <c r="IU145" s="275"/>
      <c r="IV145" s="275"/>
    </row>
    <row r="146" spans="1:256" ht="15" x14ac:dyDescent="0.25">
      <c r="A146" s="368"/>
      <c r="B146" s="368"/>
      <c r="C146" s="368"/>
      <c r="D146" s="377" t="s">
        <v>69</v>
      </c>
      <c r="E146" s="377"/>
      <c r="F146" s="377"/>
      <c r="G146" s="377"/>
      <c r="H146" s="377"/>
      <c r="I146" s="377"/>
      <c r="J146" s="378">
        <f>J145</f>
        <v>1716.49</v>
      </c>
      <c r="K146" s="378"/>
      <c r="L146" s="378">
        <f>L145</f>
        <v>11449.35</v>
      </c>
      <c r="M146" s="287"/>
      <c r="N146" s="275"/>
      <c r="O146" s="275"/>
      <c r="P146" s="275"/>
      <c r="Q146" s="275"/>
      <c r="R146" s="275"/>
      <c r="S146" s="275"/>
      <c r="T146" s="275"/>
      <c r="U146" s="275"/>
      <c r="V146" s="275"/>
      <c r="W146" s="275"/>
      <c r="X146" s="275"/>
      <c r="Y146" s="275"/>
      <c r="Z146" s="275"/>
      <c r="AA146" s="275"/>
      <c r="AB146" s="275"/>
      <c r="AC146" s="275"/>
      <c r="AD146" s="275"/>
      <c r="AE146" s="275"/>
      <c r="AF146" s="275"/>
      <c r="AG146" s="275"/>
      <c r="AH146" s="275"/>
      <c r="AI146" s="275"/>
      <c r="AJ146" s="275"/>
      <c r="AK146" s="275"/>
      <c r="AL146" s="275"/>
      <c r="AM146" s="275"/>
      <c r="AN146" s="275"/>
      <c r="AO146" s="275"/>
      <c r="AP146" s="275"/>
      <c r="AQ146" s="275"/>
      <c r="AR146" s="275"/>
      <c r="AS146" s="275"/>
      <c r="AT146" s="275"/>
      <c r="AU146" s="275"/>
      <c r="AV146" s="275"/>
      <c r="AW146" s="275"/>
      <c r="AX146" s="275"/>
      <c r="AY146" s="275"/>
      <c r="AZ146" s="275"/>
      <c r="BA146" s="275"/>
      <c r="BB146" s="275"/>
      <c r="BC146" s="275"/>
      <c r="BD146" s="275"/>
      <c r="BE146" s="275"/>
      <c r="BF146" s="275"/>
      <c r="BG146" s="275"/>
      <c r="BH146" s="275"/>
      <c r="BI146" s="275"/>
      <c r="BJ146" s="275"/>
      <c r="BK146" s="275"/>
      <c r="BL146" s="275"/>
      <c r="BM146" s="275"/>
      <c r="BN146" s="275"/>
      <c r="BO146" s="275"/>
      <c r="BP146" s="275"/>
      <c r="BQ146" s="275"/>
      <c r="BR146" s="275"/>
      <c r="BS146" s="275"/>
      <c r="BT146" s="275"/>
      <c r="BU146" s="275"/>
      <c r="BV146" s="275"/>
      <c r="BW146" s="275"/>
      <c r="BX146" s="275"/>
      <c r="BY146" s="275"/>
      <c r="BZ146" s="275"/>
      <c r="CA146" s="275"/>
      <c r="CB146" s="275"/>
      <c r="CC146" s="275"/>
      <c r="CD146" s="275"/>
      <c r="CE146" s="275"/>
      <c r="CF146" s="275"/>
      <c r="CG146" s="275"/>
      <c r="CH146" s="275"/>
      <c r="CI146" s="275"/>
      <c r="CJ146" s="275"/>
      <c r="CK146" s="275"/>
      <c r="CL146" s="275"/>
      <c r="CM146" s="275"/>
      <c r="CN146" s="275"/>
      <c r="CO146" s="275"/>
      <c r="CP146" s="275"/>
      <c r="CQ146" s="275"/>
      <c r="CR146" s="275"/>
      <c r="CS146" s="275"/>
      <c r="CT146" s="275"/>
      <c r="CU146" s="275"/>
      <c r="CV146" s="275"/>
      <c r="CW146" s="275"/>
      <c r="CX146" s="275"/>
      <c r="CY146" s="275"/>
      <c r="CZ146" s="275"/>
      <c r="DA146" s="275"/>
      <c r="DB146" s="275"/>
      <c r="DC146" s="275"/>
      <c r="DD146" s="275"/>
      <c r="DE146" s="275"/>
      <c r="DF146" s="275"/>
      <c r="DG146" s="275"/>
      <c r="DH146" s="275"/>
      <c r="DI146" s="275"/>
      <c r="DJ146" s="275"/>
      <c r="DK146" s="275"/>
      <c r="DL146" s="275"/>
      <c r="DM146" s="275"/>
      <c r="DN146" s="275"/>
      <c r="DO146" s="275"/>
      <c r="DP146" s="275"/>
      <c r="DQ146" s="275"/>
      <c r="DR146" s="275"/>
      <c r="DS146" s="275"/>
      <c r="DT146" s="275"/>
      <c r="DU146" s="275"/>
      <c r="DV146" s="275"/>
      <c r="DW146" s="275"/>
      <c r="DX146" s="275"/>
      <c r="DY146" s="275"/>
      <c r="DZ146" s="275"/>
      <c r="EA146" s="275"/>
      <c r="EB146" s="275"/>
      <c r="EC146" s="275"/>
      <c r="ED146" s="275"/>
      <c r="EE146" s="275"/>
      <c r="EF146" s="275"/>
      <c r="EG146" s="275"/>
      <c r="EH146" s="275"/>
      <c r="EI146" s="275"/>
      <c r="EJ146" s="275"/>
      <c r="EK146" s="275"/>
      <c r="EL146" s="275"/>
      <c r="EM146" s="275"/>
      <c r="EN146" s="275"/>
      <c r="EO146" s="275"/>
      <c r="EP146" s="275"/>
      <c r="EQ146" s="275"/>
      <c r="ER146" s="275"/>
      <c r="ES146" s="275"/>
      <c r="ET146" s="275"/>
      <c r="EU146" s="275"/>
      <c r="EV146" s="275"/>
      <c r="EW146" s="275"/>
      <c r="EX146" s="275"/>
      <c r="EY146" s="275"/>
      <c r="EZ146" s="275"/>
      <c r="FA146" s="275"/>
      <c r="FB146" s="275"/>
      <c r="FC146" s="275"/>
      <c r="FD146" s="275"/>
      <c r="FE146" s="275"/>
      <c r="FF146" s="275"/>
      <c r="FG146" s="275"/>
      <c r="FH146" s="275"/>
      <c r="FI146" s="275"/>
      <c r="FJ146" s="275"/>
      <c r="FK146" s="275"/>
      <c r="FL146" s="275"/>
      <c r="FM146" s="275"/>
      <c r="FN146" s="275"/>
      <c r="FO146" s="275"/>
      <c r="FP146" s="275"/>
      <c r="FQ146" s="275"/>
      <c r="FR146" s="275"/>
      <c r="FS146" s="275"/>
      <c r="FT146" s="275"/>
      <c r="FU146" s="275"/>
      <c r="FV146" s="275"/>
      <c r="FW146" s="275"/>
      <c r="FX146" s="275"/>
      <c r="FY146" s="275"/>
      <c r="FZ146" s="275"/>
      <c r="GA146" s="275"/>
      <c r="GB146" s="275"/>
      <c r="GC146" s="275"/>
      <c r="GD146" s="275"/>
      <c r="GE146" s="275"/>
      <c r="GF146" s="275"/>
      <c r="GG146" s="275"/>
      <c r="GH146" s="275"/>
      <c r="GI146" s="275"/>
      <c r="GJ146" s="275"/>
      <c r="GK146" s="275"/>
      <c r="GL146" s="275"/>
      <c r="GM146" s="275"/>
      <c r="GN146" s="275"/>
      <c r="GO146" s="275"/>
      <c r="GP146" s="275"/>
      <c r="GQ146" s="275"/>
      <c r="GR146" s="275"/>
      <c r="GS146" s="275"/>
      <c r="GT146" s="275"/>
      <c r="GU146" s="275"/>
      <c r="GV146" s="275"/>
      <c r="GW146" s="275"/>
      <c r="GX146" s="275"/>
      <c r="GY146" s="275"/>
      <c r="GZ146" s="275"/>
      <c r="HA146" s="275"/>
      <c r="HB146" s="275"/>
      <c r="HC146" s="275"/>
      <c r="HD146" s="275"/>
      <c r="HE146" s="275"/>
      <c r="HF146" s="275"/>
      <c r="HG146" s="275"/>
      <c r="HH146" s="275"/>
      <c r="HI146" s="275"/>
      <c r="HJ146" s="275"/>
      <c r="HK146" s="275"/>
      <c r="HL146" s="275"/>
      <c r="HM146" s="275"/>
      <c r="HN146" s="275"/>
      <c r="HO146" s="275"/>
      <c r="HP146" s="275"/>
      <c r="HQ146" s="275"/>
      <c r="HR146" s="275"/>
      <c r="HS146" s="275"/>
      <c r="HT146" s="275"/>
      <c r="HU146" s="275"/>
      <c r="HV146" s="275"/>
      <c r="HW146" s="275"/>
      <c r="HX146" s="275"/>
      <c r="HY146" s="275"/>
      <c r="HZ146" s="275"/>
      <c r="IA146" s="275"/>
      <c r="IB146" s="275"/>
      <c r="IC146" s="275"/>
      <c r="ID146" s="275"/>
      <c r="IE146" s="275"/>
      <c r="IF146" s="275"/>
      <c r="IG146" s="275"/>
      <c r="IH146" s="275"/>
      <c r="II146" s="275"/>
      <c r="IJ146" s="275"/>
      <c r="IK146" s="275"/>
      <c r="IL146" s="275"/>
      <c r="IM146" s="275"/>
      <c r="IN146" s="275"/>
      <c r="IO146" s="275"/>
      <c r="IP146" s="275"/>
      <c r="IQ146" s="275"/>
      <c r="IR146" s="275"/>
      <c r="IS146" s="275"/>
      <c r="IT146" s="275"/>
      <c r="IU146" s="275"/>
      <c r="IV146" s="275"/>
    </row>
    <row r="147" spans="1:256" ht="15" x14ac:dyDescent="0.25">
      <c r="A147" s="368"/>
      <c r="B147" s="368"/>
      <c r="C147" s="368"/>
      <c r="D147" s="377" t="s">
        <v>70</v>
      </c>
      <c r="E147" s="377"/>
      <c r="F147" s="377"/>
      <c r="G147" s="377"/>
      <c r="H147" s="377"/>
      <c r="I147" s="377"/>
      <c r="J147" s="378">
        <f>J138*0.925</f>
        <v>44.19</v>
      </c>
      <c r="K147" s="378"/>
      <c r="L147" s="378">
        <f>L138*0.925</f>
        <v>1070.83</v>
      </c>
      <c r="M147" s="287">
        <v>21718.35</v>
      </c>
      <c r="N147" s="275"/>
      <c r="O147" s="275"/>
      <c r="P147" s="275"/>
      <c r="Q147" s="275"/>
      <c r="R147" s="275"/>
      <c r="S147" s="275"/>
      <c r="T147" s="275"/>
      <c r="U147" s="275"/>
      <c r="V147" s="275"/>
      <c r="W147" s="275"/>
      <c r="X147" s="275"/>
      <c r="Y147" s="275"/>
      <c r="Z147" s="275"/>
      <c r="AA147" s="275"/>
      <c r="AB147" s="275"/>
      <c r="AC147" s="275"/>
      <c r="AD147" s="275"/>
      <c r="AE147" s="275"/>
      <c r="AF147" s="275"/>
      <c r="AG147" s="275"/>
      <c r="AH147" s="275"/>
      <c r="AI147" s="275"/>
      <c r="AJ147" s="275"/>
      <c r="AK147" s="275"/>
      <c r="AL147" s="275"/>
      <c r="AM147" s="275"/>
      <c r="AN147" s="275"/>
      <c r="AO147" s="275"/>
      <c r="AP147" s="275"/>
      <c r="AQ147" s="275"/>
      <c r="AR147" s="275"/>
      <c r="AS147" s="275"/>
      <c r="AT147" s="275"/>
      <c r="AU147" s="275"/>
      <c r="AV147" s="275"/>
      <c r="AW147" s="275"/>
      <c r="AX147" s="275"/>
      <c r="AY147" s="275"/>
      <c r="AZ147" s="275"/>
      <c r="BA147" s="275"/>
      <c r="BB147" s="275"/>
      <c r="BC147" s="275"/>
      <c r="BD147" s="275"/>
      <c r="BE147" s="275"/>
      <c r="BF147" s="275"/>
      <c r="BG147" s="275"/>
      <c r="BH147" s="275"/>
      <c r="BI147" s="275"/>
      <c r="BJ147" s="275"/>
      <c r="BK147" s="275"/>
      <c r="BL147" s="275"/>
      <c r="BM147" s="275"/>
      <c r="BN147" s="275"/>
      <c r="BO147" s="275"/>
      <c r="BP147" s="275"/>
      <c r="BQ147" s="275"/>
      <c r="BR147" s="275"/>
      <c r="BS147" s="275"/>
      <c r="BT147" s="275"/>
      <c r="BU147" s="275"/>
      <c r="BV147" s="275"/>
      <c r="BW147" s="275"/>
      <c r="BX147" s="275"/>
      <c r="BY147" s="275"/>
      <c r="BZ147" s="275"/>
      <c r="CA147" s="275"/>
      <c r="CB147" s="275"/>
      <c r="CC147" s="275"/>
      <c r="CD147" s="275"/>
      <c r="CE147" s="275"/>
      <c r="CF147" s="275"/>
      <c r="CG147" s="275"/>
      <c r="CH147" s="275"/>
      <c r="CI147" s="275"/>
      <c r="CJ147" s="275"/>
      <c r="CK147" s="275"/>
      <c r="CL147" s="275"/>
      <c r="CM147" s="275"/>
      <c r="CN147" s="275"/>
      <c r="CO147" s="275"/>
      <c r="CP147" s="275"/>
      <c r="CQ147" s="275"/>
      <c r="CR147" s="275"/>
      <c r="CS147" s="275"/>
      <c r="CT147" s="275"/>
      <c r="CU147" s="275"/>
      <c r="CV147" s="275"/>
      <c r="CW147" s="275"/>
      <c r="CX147" s="275"/>
      <c r="CY147" s="275"/>
      <c r="CZ147" s="275"/>
      <c r="DA147" s="275"/>
      <c r="DB147" s="275"/>
      <c r="DC147" s="275"/>
      <c r="DD147" s="275"/>
      <c r="DE147" s="275"/>
      <c r="DF147" s="275"/>
      <c r="DG147" s="275"/>
      <c r="DH147" s="275"/>
      <c r="DI147" s="275"/>
      <c r="DJ147" s="275"/>
      <c r="DK147" s="275"/>
      <c r="DL147" s="275"/>
      <c r="DM147" s="275"/>
      <c r="DN147" s="275"/>
      <c r="DO147" s="275"/>
      <c r="DP147" s="275"/>
      <c r="DQ147" s="275"/>
      <c r="DR147" s="275"/>
      <c r="DS147" s="275"/>
      <c r="DT147" s="275"/>
      <c r="DU147" s="275"/>
      <c r="DV147" s="275"/>
      <c r="DW147" s="275"/>
      <c r="DX147" s="275"/>
      <c r="DY147" s="275"/>
      <c r="DZ147" s="275"/>
      <c r="EA147" s="275"/>
      <c r="EB147" s="275"/>
      <c r="EC147" s="275"/>
      <c r="ED147" s="275"/>
      <c r="EE147" s="275"/>
      <c r="EF147" s="275"/>
      <c r="EG147" s="275"/>
      <c r="EH147" s="275"/>
      <c r="EI147" s="275"/>
      <c r="EJ147" s="275"/>
      <c r="EK147" s="275"/>
      <c r="EL147" s="275"/>
      <c r="EM147" s="275"/>
      <c r="EN147" s="275"/>
      <c r="EO147" s="275"/>
      <c r="EP147" s="275"/>
      <c r="EQ147" s="275"/>
      <c r="ER147" s="275"/>
      <c r="ES147" s="275"/>
      <c r="ET147" s="275"/>
      <c r="EU147" s="275"/>
      <c r="EV147" s="275"/>
      <c r="EW147" s="275"/>
      <c r="EX147" s="275"/>
      <c r="EY147" s="275"/>
      <c r="EZ147" s="275"/>
      <c r="FA147" s="275"/>
      <c r="FB147" s="275"/>
      <c r="FC147" s="275"/>
      <c r="FD147" s="275"/>
      <c r="FE147" s="275"/>
      <c r="FF147" s="275"/>
      <c r="FG147" s="275"/>
      <c r="FH147" s="275"/>
      <c r="FI147" s="275"/>
      <c r="FJ147" s="275"/>
      <c r="FK147" s="275"/>
      <c r="FL147" s="275"/>
      <c r="FM147" s="275"/>
      <c r="FN147" s="275"/>
      <c r="FO147" s="275"/>
      <c r="FP147" s="275"/>
      <c r="FQ147" s="275"/>
      <c r="FR147" s="275"/>
      <c r="FS147" s="275"/>
      <c r="FT147" s="275"/>
      <c r="FU147" s="275"/>
      <c r="FV147" s="275"/>
      <c r="FW147" s="275"/>
      <c r="FX147" s="275"/>
      <c r="FY147" s="275"/>
      <c r="FZ147" s="275"/>
      <c r="GA147" s="275"/>
      <c r="GB147" s="275"/>
      <c r="GC147" s="275"/>
      <c r="GD147" s="275"/>
      <c r="GE147" s="275"/>
      <c r="GF147" s="275"/>
      <c r="GG147" s="275"/>
      <c r="GH147" s="275"/>
      <c r="GI147" s="275"/>
      <c r="GJ147" s="275"/>
      <c r="GK147" s="275"/>
      <c r="GL147" s="275"/>
      <c r="GM147" s="275"/>
      <c r="GN147" s="275"/>
      <c r="GO147" s="275"/>
      <c r="GP147" s="275"/>
      <c r="GQ147" s="275"/>
      <c r="GR147" s="275"/>
      <c r="GS147" s="275"/>
      <c r="GT147" s="275"/>
      <c r="GU147" s="275"/>
      <c r="GV147" s="275"/>
      <c r="GW147" s="275"/>
      <c r="GX147" s="275"/>
      <c r="GY147" s="275"/>
      <c r="GZ147" s="275"/>
      <c r="HA147" s="275"/>
      <c r="HB147" s="275"/>
      <c r="HC147" s="275"/>
      <c r="HD147" s="275"/>
      <c r="HE147" s="275"/>
      <c r="HF147" s="275"/>
      <c r="HG147" s="275"/>
      <c r="HH147" s="275"/>
      <c r="HI147" s="275"/>
      <c r="HJ147" s="275"/>
      <c r="HK147" s="275"/>
      <c r="HL147" s="275"/>
      <c r="HM147" s="275"/>
      <c r="HN147" s="275"/>
      <c r="HO147" s="275"/>
      <c r="HP147" s="275"/>
      <c r="HQ147" s="275"/>
      <c r="HR147" s="275"/>
      <c r="HS147" s="275"/>
      <c r="HT147" s="275"/>
      <c r="HU147" s="275"/>
      <c r="HV147" s="275"/>
      <c r="HW147" s="275"/>
      <c r="HX147" s="275"/>
      <c r="HY147" s="275"/>
      <c r="HZ147" s="275"/>
      <c r="IA147" s="275"/>
      <c r="IB147" s="275"/>
      <c r="IC147" s="275"/>
      <c r="ID147" s="275"/>
      <c r="IE147" s="275"/>
      <c r="IF147" s="275"/>
      <c r="IG147" s="275"/>
      <c r="IH147" s="275"/>
      <c r="II147" s="275"/>
      <c r="IJ147" s="275"/>
      <c r="IK147" s="275"/>
      <c r="IL147" s="275"/>
      <c r="IM147" s="275"/>
      <c r="IN147" s="275"/>
      <c r="IO147" s="275"/>
      <c r="IP147" s="275"/>
      <c r="IQ147" s="275"/>
      <c r="IR147" s="275"/>
      <c r="IS147" s="275"/>
      <c r="IT147" s="275"/>
      <c r="IU147" s="275"/>
      <c r="IV147" s="275"/>
    </row>
    <row r="148" spans="1:256" ht="15" x14ac:dyDescent="0.25">
      <c r="A148" s="368"/>
      <c r="B148" s="368"/>
      <c r="C148" s="368"/>
      <c r="D148" s="377" t="s">
        <v>195</v>
      </c>
      <c r="E148" s="377"/>
      <c r="F148" s="377"/>
      <c r="G148" s="377"/>
      <c r="H148" s="377"/>
      <c r="I148" s="377"/>
      <c r="J148" s="378">
        <f>J139</f>
        <v>1550.9</v>
      </c>
      <c r="K148" s="378"/>
      <c r="L148" s="378">
        <f>L139*0.925</f>
        <v>8604.2900000000009</v>
      </c>
      <c r="M148" s="287"/>
    </row>
    <row r="149" spans="1:256" ht="15" x14ac:dyDescent="0.25">
      <c r="A149" s="368"/>
      <c r="B149" s="368"/>
      <c r="C149" s="368"/>
      <c r="D149" s="383" t="s">
        <v>157</v>
      </c>
      <c r="E149" s="377"/>
      <c r="F149" s="377"/>
      <c r="G149" s="377"/>
      <c r="H149" s="377"/>
      <c r="I149" s="377"/>
      <c r="J149" s="384">
        <v>0</v>
      </c>
      <c r="K149" s="378"/>
      <c r="L149" s="384">
        <v>0</v>
      </c>
      <c r="M149" s="287"/>
    </row>
    <row r="150" spans="1:256" ht="15" x14ac:dyDescent="0.25">
      <c r="A150" s="368"/>
      <c r="B150" s="368"/>
      <c r="C150" s="368"/>
      <c r="D150" s="377" t="s">
        <v>196</v>
      </c>
      <c r="E150" s="377"/>
      <c r="F150" s="377"/>
      <c r="G150" s="377"/>
      <c r="H150" s="377"/>
      <c r="I150" s="377"/>
      <c r="J150" s="378">
        <f>J147*0.15</f>
        <v>6.63</v>
      </c>
      <c r="K150" s="378"/>
      <c r="L150" s="378">
        <f>L147*0.15</f>
        <v>160.62</v>
      </c>
      <c r="M150" s="287">
        <v>3257.75</v>
      </c>
    </row>
    <row r="151" spans="1:256" ht="15" x14ac:dyDescent="0.25">
      <c r="A151" s="368"/>
      <c r="B151" s="368"/>
      <c r="C151" s="368"/>
      <c r="D151" s="379" t="s">
        <v>199</v>
      </c>
      <c r="E151" s="380"/>
      <c r="F151" s="380"/>
      <c r="G151" s="380"/>
      <c r="H151" s="380"/>
      <c r="I151" s="380"/>
      <c r="J151" s="382">
        <f>J150+J145</f>
        <v>1723.12</v>
      </c>
      <c r="K151" s="380"/>
      <c r="L151" s="382">
        <f>L150+L145</f>
        <v>11609.97</v>
      </c>
      <c r="M151" s="287" t="e">
        <v>#REF!</v>
      </c>
    </row>
    <row r="152" spans="1:256" ht="15" x14ac:dyDescent="0.25">
      <c r="A152" s="368"/>
      <c r="B152" s="368"/>
      <c r="C152" s="368"/>
      <c r="D152" s="385"/>
      <c r="E152" s="385"/>
      <c r="F152" s="385"/>
      <c r="G152" s="385"/>
      <c r="H152" s="385"/>
      <c r="I152" s="385"/>
      <c r="J152" s="385"/>
      <c r="K152" s="385"/>
      <c r="L152" s="385"/>
      <c r="M152" s="287"/>
    </row>
    <row r="153" spans="1:256" ht="15" x14ac:dyDescent="0.25">
      <c r="A153" s="368"/>
      <c r="B153" s="368"/>
      <c r="C153" s="368"/>
      <c r="D153" s="385"/>
      <c r="E153" s="385"/>
      <c r="F153" s="385"/>
      <c r="G153" s="385"/>
      <c r="H153" s="385"/>
      <c r="I153" s="385"/>
      <c r="J153" s="385"/>
      <c r="K153" s="385"/>
      <c r="L153" s="385"/>
      <c r="M153" s="287"/>
    </row>
    <row r="154" spans="1:256" ht="15" x14ac:dyDescent="0.25">
      <c r="A154" s="368"/>
      <c r="B154" s="368"/>
      <c r="C154" s="368"/>
      <c r="D154" s="386" t="s">
        <v>200</v>
      </c>
      <c r="E154" s="387"/>
      <c r="F154" s="387"/>
      <c r="G154" s="387"/>
      <c r="H154" s="387"/>
      <c r="I154" s="388"/>
      <c r="J154" s="389">
        <f>J151</f>
        <v>1723.12</v>
      </c>
      <c r="K154" s="390"/>
      <c r="L154" s="389">
        <f>L151</f>
        <v>11609.97</v>
      </c>
      <c r="M154" s="287"/>
    </row>
    <row r="155" spans="1:256" ht="15" x14ac:dyDescent="0.25">
      <c r="A155" s="368"/>
      <c r="B155" s="368"/>
      <c r="C155" s="368"/>
      <c r="D155" s="391" t="s">
        <v>201</v>
      </c>
      <c r="E155" s="392"/>
      <c r="F155" s="392"/>
      <c r="G155" s="392"/>
      <c r="H155" s="392"/>
      <c r="I155" s="393"/>
      <c r="J155" s="394">
        <f>J146</f>
        <v>1716.49</v>
      </c>
      <c r="K155" s="395"/>
      <c r="L155" s="394">
        <f>L146</f>
        <v>11449.35</v>
      </c>
      <c r="M155" s="287"/>
    </row>
    <row r="156" spans="1:256" ht="15" x14ac:dyDescent="0.25">
      <c r="A156" s="368"/>
      <c r="B156" s="368"/>
      <c r="C156" s="368"/>
      <c r="D156" s="391" t="s">
        <v>202</v>
      </c>
      <c r="E156" s="392"/>
      <c r="F156" s="392"/>
      <c r="G156" s="392"/>
      <c r="H156" s="392"/>
      <c r="I156" s="393"/>
      <c r="J156" s="394">
        <f>J150</f>
        <v>6.63</v>
      </c>
      <c r="K156" s="396"/>
      <c r="L156" s="394">
        <f>L150</f>
        <v>160.62</v>
      </c>
      <c r="M156" s="287"/>
    </row>
    <row r="157" spans="1:256" ht="15" x14ac:dyDescent="0.25">
      <c r="A157" s="368"/>
      <c r="B157" s="368"/>
      <c r="C157" s="368"/>
      <c r="D157" s="391" t="s">
        <v>203</v>
      </c>
      <c r="E157" s="392"/>
      <c r="F157" s="392"/>
      <c r="G157" s="392"/>
      <c r="H157" s="392"/>
      <c r="I157" s="393"/>
      <c r="J157" s="394">
        <v>0</v>
      </c>
      <c r="K157" s="394"/>
      <c r="L157" s="394">
        <v>0</v>
      </c>
      <c r="M157" s="287"/>
    </row>
    <row r="158" spans="1:256" ht="15" x14ac:dyDescent="0.25">
      <c r="A158" s="368"/>
      <c r="B158" s="368"/>
      <c r="C158" s="368"/>
      <c r="D158" s="391" t="s">
        <v>204</v>
      </c>
      <c r="E158" s="392"/>
      <c r="F158" s="392"/>
      <c r="G158" s="392"/>
      <c r="H158" s="392"/>
      <c r="I158" s="393"/>
      <c r="J158" s="397">
        <v>0</v>
      </c>
      <c r="K158" s="397"/>
      <c r="L158" s="397">
        <v>0</v>
      </c>
      <c r="M158" s="287"/>
    </row>
    <row r="159" spans="1:256" ht="14.25" x14ac:dyDescent="0.2">
      <c r="A159" s="423"/>
      <c r="B159" s="423"/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</row>
    <row r="160" spans="1:256" ht="14.25" x14ac:dyDescent="0.2">
      <c r="A160" s="423"/>
      <c r="B160" s="423"/>
      <c r="C160" s="423"/>
      <c r="D160" s="423"/>
      <c r="E160" s="423"/>
      <c r="F160" s="423"/>
      <c r="G160" s="423"/>
      <c r="H160" s="423"/>
      <c r="I160" s="423"/>
      <c r="J160" s="423"/>
      <c r="K160" s="423"/>
      <c r="L160" s="423"/>
    </row>
    <row r="161" spans="1:12" ht="14.25" x14ac:dyDescent="0.2">
      <c r="A161" s="423"/>
      <c r="B161" s="423"/>
      <c r="C161" s="423"/>
      <c r="D161" s="423"/>
      <c r="E161" s="423"/>
      <c r="F161" s="423"/>
      <c r="G161" s="423"/>
      <c r="H161" s="423"/>
      <c r="I161" s="423"/>
      <c r="J161" s="423"/>
      <c r="K161" s="423"/>
      <c r="L161" s="423"/>
    </row>
  </sheetData>
  <mergeCells count="106">
    <mergeCell ref="I2:L2"/>
    <mergeCell ref="I3:L3"/>
    <mergeCell ref="I4:L4"/>
    <mergeCell ref="J6:L6"/>
    <mergeCell ref="J7:L7"/>
    <mergeCell ref="J8:L9"/>
    <mergeCell ref="C14:H14"/>
    <mergeCell ref="J14:L15"/>
    <mergeCell ref="C15:H15"/>
    <mergeCell ref="C16:H16"/>
    <mergeCell ref="C17:H17"/>
    <mergeCell ref="C18:H18"/>
    <mergeCell ref="J18:L19"/>
    <mergeCell ref="C19:H19"/>
    <mergeCell ref="C9:H9"/>
    <mergeCell ref="C10:H10"/>
    <mergeCell ref="J10:L11"/>
    <mergeCell ref="C11:H11"/>
    <mergeCell ref="C12:H12"/>
    <mergeCell ref="J12:L13"/>
    <mergeCell ref="C13:H13"/>
    <mergeCell ref="J24:L24"/>
    <mergeCell ref="G26:G27"/>
    <mergeCell ref="H26:H27"/>
    <mergeCell ref="I26:J26"/>
    <mergeCell ref="A30:L30"/>
    <mergeCell ref="A31:L31"/>
    <mergeCell ref="C20:H20"/>
    <mergeCell ref="G21:I21"/>
    <mergeCell ref="J21:L21"/>
    <mergeCell ref="G22:H22"/>
    <mergeCell ref="J22:L22"/>
    <mergeCell ref="J23:L23"/>
    <mergeCell ref="J35:J39"/>
    <mergeCell ref="K35:K39"/>
    <mergeCell ref="L35:L39"/>
    <mergeCell ref="A36:A39"/>
    <mergeCell ref="B36:B39"/>
    <mergeCell ref="A34:L34"/>
    <mergeCell ref="A35:B35"/>
    <mergeCell ref="C35:C39"/>
    <mergeCell ref="D35:D39"/>
    <mergeCell ref="E35:E39"/>
    <mergeCell ref="F35:F39"/>
    <mergeCell ref="G35:G39"/>
    <mergeCell ref="H35:H39"/>
    <mergeCell ref="I35:I39"/>
    <mergeCell ref="A71:H71"/>
    <mergeCell ref="I71:J71"/>
    <mergeCell ref="K71:L71"/>
    <mergeCell ref="A50:L50"/>
    <mergeCell ref="I60:J60"/>
    <mergeCell ref="K60:L60"/>
    <mergeCell ref="I65:J65"/>
    <mergeCell ref="K65:L65"/>
    <mergeCell ref="A46:L46"/>
    <mergeCell ref="A47:L47"/>
    <mergeCell ref="K77:L77"/>
    <mergeCell ref="I87:J87"/>
    <mergeCell ref="K87:L87"/>
    <mergeCell ref="I92:J92"/>
    <mergeCell ref="K92:L92"/>
    <mergeCell ref="I67:J67"/>
    <mergeCell ref="K67:L67"/>
    <mergeCell ref="I69:J69"/>
    <mergeCell ref="K69:L69"/>
    <mergeCell ref="D132:H132"/>
    <mergeCell ref="D133:H133"/>
    <mergeCell ref="I126:J126"/>
    <mergeCell ref="K126:L126"/>
    <mergeCell ref="I127:J127"/>
    <mergeCell ref="K127:L127"/>
    <mergeCell ref="I128:J128"/>
    <mergeCell ref="K128:L128"/>
    <mergeCell ref="I117:J117"/>
    <mergeCell ref="K117:L117"/>
    <mergeCell ref="A119:H119"/>
    <mergeCell ref="I119:J119"/>
    <mergeCell ref="K119:L119"/>
    <mergeCell ref="A123:H123"/>
    <mergeCell ref="I123:J123"/>
    <mergeCell ref="K123:L123"/>
    <mergeCell ref="A32:L32"/>
    <mergeCell ref="A33:L33"/>
    <mergeCell ref="A42:L42"/>
    <mergeCell ref="A43:L43"/>
    <mergeCell ref="A44:L44"/>
    <mergeCell ref="A45:L45"/>
    <mergeCell ref="I129:J129"/>
    <mergeCell ref="K129:L129"/>
    <mergeCell ref="I130:J130"/>
    <mergeCell ref="K130:L130"/>
    <mergeCell ref="I111:J111"/>
    <mergeCell ref="K111:L111"/>
    <mergeCell ref="I113:J113"/>
    <mergeCell ref="K113:L113"/>
    <mergeCell ref="I115:J115"/>
    <mergeCell ref="K115:L115"/>
    <mergeCell ref="I94:J94"/>
    <mergeCell ref="K94:L94"/>
    <mergeCell ref="I96:J96"/>
    <mergeCell ref="K96:L96"/>
    <mergeCell ref="I106:J106"/>
    <mergeCell ref="K106:L106"/>
    <mergeCell ref="A75:L75"/>
    <mergeCell ref="I77:J77"/>
  </mergeCells>
  <pageMargins left="0.4" right="0.2" top="0.2" bottom="0.4" header="0.2" footer="0.2"/>
  <pageSetup paperSize="9" scale="57" fitToHeight="0" orientation="portrait" r:id="rId1"/>
  <headerFooter>
    <oddHeader>&amp;L&amp;8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X147"/>
  <sheetViews>
    <sheetView view="pageBreakPreview" topLeftCell="A32" zoomScale="85" zoomScaleNormal="70" zoomScaleSheetLayoutView="85" workbookViewId="0">
      <selection activeCell="A43" sqref="A43:L43"/>
    </sheetView>
  </sheetViews>
  <sheetFormatPr defaultRowHeight="12.75" x14ac:dyDescent="0.2"/>
  <cols>
    <col min="1" max="1" width="7.140625" style="326" customWidth="1"/>
    <col min="2" max="2" width="8" style="326" customWidth="1"/>
    <col min="3" max="3" width="11.7109375" style="326" customWidth="1"/>
    <col min="4" max="4" width="40.7109375" style="326" customWidth="1"/>
    <col min="5" max="7" width="11.7109375" style="326" customWidth="1"/>
    <col min="8" max="8" width="12.7109375" style="326" customWidth="1"/>
    <col min="9" max="9" width="13.140625" style="326" customWidth="1"/>
    <col min="10" max="11" width="12.7109375" style="326" customWidth="1"/>
    <col min="12" max="12" width="14.85546875" style="326" customWidth="1"/>
    <col min="13" max="14" width="9.140625" style="326"/>
    <col min="15" max="35" width="0" style="326" hidden="1" customWidth="1"/>
    <col min="36" max="36" width="99.7109375" style="326" hidden="1" customWidth="1"/>
    <col min="37" max="37" width="155.7109375" style="326" hidden="1" customWidth="1"/>
    <col min="38" max="38" width="109.7109375" style="326" hidden="1" customWidth="1"/>
    <col min="39" max="42" width="0" style="326" hidden="1" customWidth="1"/>
    <col min="43" max="16384" width="9.140625" style="326"/>
  </cols>
  <sheetData>
    <row r="1" spans="1:256" hidden="1" x14ac:dyDescent="0.2">
      <c r="A1" s="325" t="str">
        <f>[88]Source!B1</f>
        <v>Smeta.RU  (495) 974-1589</v>
      </c>
    </row>
    <row r="2" spans="1:256" ht="15" hidden="1" x14ac:dyDescent="0.25">
      <c r="A2" s="327"/>
      <c r="B2" s="327"/>
      <c r="C2" s="328"/>
      <c r="D2" s="328"/>
      <c r="E2" s="328"/>
      <c r="F2" s="327"/>
      <c r="G2" s="327"/>
      <c r="H2" s="327"/>
      <c r="I2" s="667" t="s">
        <v>0</v>
      </c>
      <c r="J2" s="667"/>
      <c r="K2" s="667"/>
      <c r="L2" s="667"/>
    </row>
    <row r="3" spans="1:256" ht="14.25" hidden="1" x14ac:dyDescent="0.2">
      <c r="A3" s="327"/>
      <c r="B3" s="327"/>
      <c r="C3" s="327"/>
      <c r="D3" s="327"/>
      <c r="E3" s="327"/>
      <c r="F3" s="327"/>
      <c r="G3" s="327"/>
      <c r="H3" s="327"/>
      <c r="I3" s="667" t="s">
        <v>1</v>
      </c>
      <c r="J3" s="667"/>
      <c r="K3" s="667"/>
      <c r="L3" s="667"/>
    </row>
    <row r="4" spans="1:256" ht="14.25" hidden="1" x14ac:dyDescent="0.2">
      <c r="A4" s="327"/>
      <c r="B4" s="327"/>
      <c r="C4" s="327"/>
      <c r="D4" s="327"/>
      <c r="E4" s="327"/>
      <c r="F4" s="327"/>
      <c r="G4" s="327"/>
      <c r="H4" s="327"/>
      <c r="I4" s="667" t="s">
        <v>2</v>
      </c>
      <c r="J4" s="667"/>
      <c r="K4" s="667"/>
      <c r="L4" s="667"/>
    </row>
    <row r="5" spans="1:256" ht="14.25" hidden="1" x14ac:dyDescent="0.2">
      <c r="A5" s="327"/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</row>
    <row r="6" spans="1:256" s="4" customFormat="1" ht="15" hidden="1" x14ac:dyDescent="0.25">
      <c r="A6" s="1"/>
      <c r="B6" s="1"/>
      <c r="C6" s="1"/>
      <c r="D6" s="1"/>
      <c r="E6" s="1"/>
      <c r="F6" s="1"/>
      <c r="G6" s="1"/>
      <c r="H6" s="1"/>
      <c r="I6" s="1"/>
      <c r="J6" s="608" t="s">
        <v>3</v>
      </c>
      <c r="K6" s="609"/>
      <c r="L6" s="610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4" customFormat="1" ht="15" hidden="1" x14ac:dyDescent="0.25">
      <c r="A7" s="1"/>
      <c r="B7" s="1"/>
      <c r="C7" s="1"/>
      <c r="D7" s="1"/>
      <c r="E7" s="1"/>
      <c r="F7" s="1"/>
      <c r="G7" s="1"/>
      <c r="H7" s="1"/>
      <c r="I7" s="310" t="s">
        <v>4</v>
      </c>
      <c r="J7" s="625" t="s">
        <v>5</v>
      </c>
      <c r="K7" s="626"/>
      <c r="L7" s="62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6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4" customFormat="1" ht="15" hidden="1" x14ac:dyDescent="0.25">
      <c r="A8" s="1"/>
      <c r="B8" s="1"/>
      <c r="C8" s="1"/>
      <c r="D8" s="1"/>
      <c r="E8" s="1"/>
      <c r="F8" s="1"/>
      <c r="G8" s="1"/>
      <c r="H8" s="1"/>
      <c r="I8" s="1"/>
      <c r="J8" s="628" t="s">
        <v>6</v>
      </c>
      <c r="K8" s="629"/>
      <c r="L8" s="630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4" customFormat="1" ht="27.75" hidden="1" customHeight="1" x14ac:dyDescent="0.25">
      <c r="A9" s="597" t="s">
        <v>7</v>
      </c>
      <c r="B9" s="597"/>
      <c r="C9" s="598" t="s">
        <v>8</v>
      </c>
      <c r="D9" s="598"/>
      <c r="E9" s="598"/>
      <c r="F9" s="598"/>
      <c r="G9" s="598"/>
      <c r="H9" s="598"/>
      <c r="I9" s="310" t="s">
        <v>9</v>
      </c>
      <c r="J9" s="631"/>
      <c r="K9" s="632"/>
      <c r="L9" s="63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05" t="e">
        <v>#REF!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4" customFormat="1" ht="15" hidden="1" x14ac:dyDescent="0.25">
      <c r="A10" s="1"/>
      <c r="B10" s="1"/>
      <c r="C10" s="599" t="s">
        <v>10</v>
      </c>
      <c r="D10" s="599"/>
      <c r="E10" s="599"/>
      <c r="F10" s="599"/>
      <c r="G10" s="599"/>
      <c r="H10" s="599"/>
      <c r="I10" s="1"/>
      <c r="J10" s="628" t="s">
        <v>11</v>
      </c>
      <c r="K10" s="629"/>
      <c r="L10" s="630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4" customFormat="1" ht="29.25" hidden="1" customHeight="1" x14ac:dyDescent="0.25">
      <c r="A11" s="597" t="s">
        <v>12</v>
      </c>
      <c r="B11" s="597"/>
      <c r="C11" s="598" t="s">
        <v>13</v>
      </c>
      <c r="D11" s="598"/>
      <c r="E11" s="598"/>
      <c r="F11" s="598"/>
      <c r="G11" s="598"/>
      <c r="H11" s="598"/>
      <c r="I11" s="310" t="s">
        <v>9</v>
      </c>
      <c r="J11" s="631"/>
      <c r="K11" s="632"/>
      <c r="L11" s="63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05" t="e">
        <v>#REF!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4" customFormat="1" ht="15" hidden="1" x14ac:dyDescent="0.25">
      <c r="A12" s="1"/>
      <c r="B12" s="1"/>
      <c r="C12" s="599" t="s">
        <v>10</v>
      </c>
      <c r="D12" s="599"/>
      <c r="E12" s="599"/>
      <c r="F12" s="599"/>
      <c r="G12" s="599"/>
      <c r="H12" s="599"/>
      <c r="I12" s="1"/>
      <c r="J12" s="628" t="s">
        <v>14</v>
      </c>
      <c r="K12" s="629"/>
      <c r="L12" s="630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4" customFormat="1" ht="15" hidden="1" x14ac:dyDescent="0.25">
      <c r="A13" s="1" t="s">
        <v>15</v>
      </c>
      <c r="B13" s="1"/>
      <c r="C13" s="598" t="s">
        <v>16</v>
      </c>
      <c r="D13" s="598"/>
      <c r="E13" s="598"/>
      <c r="F13" s="598"/>
      <c r="G13" s="598"/>
      <c r="H13" s="598"/>
      <c r="I13" s="310" t="s">
        <v>9</v>
      </c>
      <c r="J13" s="631"/>
      <c r="K13" s="632"/>
      <c r="L13" s="63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05" t="e">
        <v>#REF!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4" customFormat="1" ht="15" hidden="1" x14ac:dyDescent="0.25">
      <c r="A14" s="1"/>
      <c r="B14" s="1"/>
      <c r="C14" s="619" t="s">
        <v>10</v>
      </c>
      <c r="D14" s="619"/>
      <c r="E14" s="619"/>
      <c r="F14" s="619"/>
      <c r="G14" s="619"/>
      <c r="H14" s="619"/>
      <c r="I14" s="1"/>
      <c r="J14" s="628" t="s">
        <v>132</v>
      </c>
      <c r="K14" s="629"/>
      <c r="L14" s="63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4" customFormat="1" ht="33" hidden="1" customHeight="1" x14ac:dyDescent="0.25">
      <c r="A15" s="1" t="s">
        <v>185</v>
      </c>
      <c r="B15" s="1"/>
      <c r="C15" s="598" t="s">
        <v>213</v>
      </c>
      <c r="D15" s="598"/>
      <c r="E15" s="598"/>
      <c r="F15" s="598"/>
      <c r="G15" s="598"/>
      <c r="H15" s="598"/>
      <c r="I15" s="310" t="s">
        <v>9</v>
      </c>
      <c r="J15" s="631"/>
      <c r="K15" s="632"/>
      <c r="L15" s="63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05" t="e">
        <v>#REF!</v>
      </c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4" customFormat="1" ht="15" hidden="1" x14ac:dyDescent="0.25">
      <c r="A16" s="1"/>
      <c r="B16" s="1"/>
      <c r="C16" s="619" t="s">
        <v>10</v>
      </c>
      <c r="D16" s="619"/>
      <c r="E16" s="619"/>
      <c r="F16" s="619"/>
      <c r="G16" s="619"/>
      <c r="H16" s="619"/>
      <c r="I16" s="1"/>
      <c r="J16" s="620"/>
      <c r="K16" s="621"/>
      <c r="L16" s="62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8" s="4" customFormat="1" ht="30" hidden="1" customHeight="1" x14ac:dyDescent="0.25">
      <c r="A17" s="1" t="s">
        <v>17</v>
      </c>
      <c r="B17" s="1"/>
      <c r="C17" s="716" t="s">
        <v>18</v>
      </c>
      <c r="D17" s="716"/>
      <c r="E17" s="716"/>
      <c r="F17" s="716"/>
      <c r="G17" s="716"/>
      <c r="H17" s="716"/>
      <c r="I17" s="1"/>
      <c r="J17" s="603"/>
      <c r="K17" s="604"/>
      <c r="L17" s="605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05" t="s">
        <v>19</v>
      </c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8" s="4" customFormat="1" ht="15" hidden="1" x14ac:dyDescent="0.25">
      <c r="A18" s="1"/>
      <c r="B18" s="1"/>
      <c r="C18" s="619" t="s">
        <v>20</v>
      </c>
      <c r="D18" s="619"/>
      <c r="E18" s="619"/>
      <c r="F18" s="619"/>
      <c r="G18" s="619"/>
      <c r="H18" s="619"/>
      <c r="I18" s="1"/>
      <c r="J18" s="620"/>
      <c r="K18" s="621"/>
      <c r="L18" s="62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8" s="4" customFormat="1" ht="30.75" hidden="1" customHeight="1" x14ac:dyDescent="0.25">
      <c r="A19" s="1" t="s">
        <v>21</v>
      </c>
      <c r="B19" s="1"/>
      <c r="C19" s="716" t="s">
        <v>18</v>
      </c>
      <c r="D19" s="716"/>
      <c r="E19" s="716"/>
      <c r="F19" s="716"/>
      <c r="G19" s="716"/>
      <c r="H19" s="716"/>
      <c r="I19" s="1"/>
      <c r="J19" s="603"/>
      <c r="K19" s="604"/>
      <c r="L19" s="605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07" t="e">
        <v>#REF!</v>
      </c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8" s="4" customFormat="1" ht="15.75" hidden="1" customHeight="1" x14ac:dyDescent="0.2">
      <c r="A20" s="1"/>
      <c r="B20" s="1"/>
      <c r="C20" s="599" t="s">
        <v>22</v>
      </c>
      <c r="D20" s="599"/>
      <c r="E20" s="599"/>
      <c r="F20" s="599"/>
      <c r="G20" s="599"/>
      <c r="H20" s="599"/>
      <c r="I20" s="1"/>
      <c r="J20" s="1"/>
      <c r="K20" s="1"/>
      <c r="L20" s="1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401"/>
      <c r="AJ20" s="401"/>
      <c r="AK20" s="401"/>
      <c r="AL20" s="401"/>
      <c r="AM20" s="401"/>
      <c r="AN20" s="401"/>
      <c r="AO20" s="401"/>
      <c r="AP20" s="401"/>
      <c r="AQ20" s="401"/>
      <c r="AR20" s="401"/>
      <c r="AS20" s="401"/>
      <c r="AT20" s="401"/>
      <c r="AU20" s="401"/>
      <c r="AV20" s="401"/>
      <c r="AW20" s="401"/>
      <c r="AX20" s="401"/>
      <c r="AY20" s="401"/>
      <c r="AZ20" s="401"/>
      <c r="BA20" s="401"/>
      <c r="BB20" s="401"/>
      <c r="BC20" s="401"/>
      <c r="BD20" s="401"/>
      <c r="BE20" s="401"/>
      <c r="BF20" s="401"/>
      <c r="BG20" s="401"/>
      <c r="BH20" s="401"/>
      <c r="BI20" s="401"/>
      <c r="BJ20" s="401"/>
      <c r="BK20" s="401"/>
      <c r="BL20" s="401"/>
      <c r="BM20" s="401"/>
      <c r="BN20" s="401"/>
      <c r="BO20" s="401"/>
      <c r="BP20" s="401"/>
      <c r="BQ20" s="401"/>
      <c r="BR20" s="401"/>
      <c r="BS20" s="401"/>
      <c r="BT20" s="401"/>
      <c r="BU20" s="401"/>
      <c r="BV20" s="401"/>
      <c r="BW20" s="401"/>
      <c r="BX20" s="401"/>
      <c r="BY20" s="401"/>
      <c r="BZ20" s="401"/>
      <c r="CA20" s="401"/>
      <c r="CB20" s="401"/>
      <c r="CC20" s="401"/>
      <c r="CD20" s="401"/>
      <c r="CE20" s="401"/>
      <c r="CF20" s="401"/>
      <c r="CG20" s="401"/>
      <c r="CH20" s="401"/>
      <c r="CI20" s="401"/>
      <c r="CJ20" s="401"/>
      <c r="CK20" s="401"/>
      <c r="CL20" s="401"/>
      <c r="CM20" s="401"/>
      <c r="CN20" s="401"/>
      <c r="CO20" s="401"/>
      <c r="CP20" s="401"/>
      <c r="CQ20" s="401"/>
      <c r="CR20" s="401"/>
      <c r="CS20" s="401"/>
      <c r="CT20" s="401"/>
      <c r="CU20" s="401"/>
      <c r="CV20" s="401"/>
      <c r="CW20" s="401"/>
      <c r="CX20" s="401"/>
      <c r="CY20" s="401"/>
      <c r="CZ20" s="401"/>
      <c r="DA20" s="401"/>
      <c r="DB20" s="401"/>
      <c r="DC20" s="401"/>
      <c r="DD20" s="401"/>
      <c r="DE20" s="401"/>
      <c r="DF20" s="401"/>
      <c r="DG20" s="401"/>
      <c r="DH20" s="401"/>
      <c r="DI20" s="401"/>
      <c r="DJ20" s="401"/>
      <c r="DK20" s="401"/>
      <c r="DL20" s="401"/>
      <c r="DM20" s="401"/>
      <c r="DN20" s="401"/>
      <c r="DO20" s="401"/>
      <c r="DP20" s="401"/>
      <c r="DQ20" s="401"/>
      <c r="DR20" s="401"/>
      <c r="DS20" s="401"/>
      <c r="DT20" s="401"/>
      <c r="DU20" s="401"/>
      <c r="DV20" s="401"/>
      <c r="DW20" s="401"/>
      <c r="DX20" s="401"/>
      <c r="DY20" s="401"/>
      <c r="DZ20" s="401"/>
      <c r="EA20" s="401"/>
      <c r="EB20" s="401"/>
      <c r="EC20" s="401"/>
      <c r="ED20" s="401"/>
      <c r="EE20" s="401"/>
      <c r="EF20" s="401"/>
      <c r="EG20" s="401"/>
      <c r="EH20" s="401"/>
      <c r="EI20" s="401"/>
      <c r="EJ20" s="401"/>
      <c r="EK20" s="401"/>
      <c r="EL20" s="401"/>
      <c r="EM20" s="401"/>
      <c r="EN20" s="401"/>
      <c r="EO20" s="401"/>
      <c r="EP20" s="401"/>
      <c r="EQ20" s="401"/>
      <c r="ER20" s="401"/>
      <c r="ES20" s="401"/>
      <c r="ET20" s="401"/>
      <c r="EU20" s="401"/>
      <c r="EV20" s="401"/>
      <c r="EW20" s="401"/>
      <c r="EX20" s="401"/>
      <c r="EY20" s="401"/>
      <c r="EZ20" s="401"/>
      <c r="FA20" s="401"/>
      <c r="FB20" s="401"/>
      <c r="FC20" s="401"/>
      <c r="FD20" s="401"/>
      <c r="FE20" s="401"/>
      <c r="FF20" s="401"/>
      <c r="FG20" s="401"/>
      <c r="FH20" s="401"/>
      <c r="FI20" s="401"/>
      <c r="FJ20" s="401"/>
      <c r="FK20" s="401"/>
      <c r="FL20" s="401"/>
      <c r="FM20" s="401"/>
      <c r="FN20" s="401"/>
      <c r="FO20" s="401"/>
      <c r="FP20" s="401"/>
      <c r="FQ20" s="401"/>
      <c r="FR20" s="401"/>
      <c r="FS20" s="401"/>
      <c r="FT20" s="401"/>
      <c r="FU20" s="401"/>
      <c r="FV20" s="401"/>
      <c r="FW20" s="401"/>
      <c r="FX20" s="401"/>
      <c r="FY20" s="401"/>
      <c r="FZ20" s="401"/>
      <c r="GA20" s="401"/>
      <c r="GB20" s="401"/>
      <c r="GC20" s="401"/>
      <c r="GD20" s="401"/>
      <c r="GE20" s="401"/>
      <c r="GF20" s="401"/>
      <c r="GG20" s="401"/>
      <c r="GH20" s="401"/>
      <c r="GI20" s="401"/>
      <c r="GJ20" s="401"/>
      <c r="GK20" s="401"/>
      <c r="GL20" s="401"/>
      <c r="GM20" s="401"/>
      <c r="GN20" s="401"/>
      <c r="GO20" s="401"/>
      <c r="GP20" s="401"/>
      <c r="GQ20" s="401"/>
      <c r="GR20" s="401"/>
      <c r="GS20" s="401"/>
      <c r="GT20" s="401"/>
      <c r="GU20" s="401"/>
      <c r="GV20" s="401"/>
      <c r="GW20" s="401"/>
      <c r="GX20" s="401"/>
      <c r="GY20" s="401"/>
      <c r="GZ20" s="401"/>
      <c r="HA20" s="401"/>
      <c r="HB20" s="401"/>
      <c r="HC20" s="401"/>
      <c r="HD20" s="401"/>
      <c r="HE20" s="401"/>
      <c r="HF20" s="401"/>
      <c r="HG20" s="401"/>
      <c r="HH20" s="401"/>
      <c r="HI20" s="401"/>
      <c r="HJ20" s="401"/>
      <c r="HK20" s="401"/>
      <c r="HL20" s="401"/>
      <c r="HM20" s="401"/>
      <c r="HN20" s="401"/>
      <c r="HO20" s="401"/>
      <c r="HP20" s="401"/>
      <c r="HQ20" s="401"/>
      <c r="HR20" s="401"/>
      <c r="HS20" s="401"/>
      <c r="HT20" s="401"/>
      <c r="HU20" s="401"/>
      <c r="HV20" s="401"/>
      <c r="HW20" s="401"/>
      <c r="HX20" s="401"/>
      <c r="HY20" s="401"/>
      <c r="HZ20" s="401"/>
      <c r="IA20" s="401"/>
      <c r="IB20" s="401"/>
      <c r="IC20" s="401"/>
      <c r="ID20" s="401"/>
      <c r="IE20" s="401"/>
      <c r="IF20" s="401"/>
      <c r="IG20" s="401"/>
      <c r="IH20" s="401"/>
      <c r="II20" s="401"/>
      <c r="IJ20" s="401"/>
      <c r="IK20" s="401"/>
      <c r="IL20" s="401"/>
      <c r="IM20" s="401"/>
      <c r="IN20" s="401"/>
      <c r="IO20" s="401"/>
      <c r="IP20" s="401"/>
      <c r="IQ20" s="401"/>
      <c r="IR20" s="401"/>
      <c r="IS20" s="401"/>
      <c r="IT20" s="401"/>
      <c r="IU20" s="401"/>
      <c r="IV20" s="401"/>
    </row>
    <row r="21" spans="1:258" s="4" customFormat="1" ht="14.25" hidden="1" x14ac:dyDescent="0.2">
      <c r="A21" s="1"/>
      <c r="B21" s="1"/>
      <c r="C21" s="1"/>
      <c r="D21" s="1"/>
      <c r="E21" s="1"/>
      <c r="F21" s="1"/>
      <c r="G21" s="606" t="s">
        <v>23</v>
      </c>
      <c r="H21" s="606"/>
      <c r="I21" s="607"/>
      <c r="J21" s="608"/>
      <c r="K21" s="609"/>
      <c r="L21" s="610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401"/>
      <c r="AJ21" s="401"/>
      <c r="AK21" s="401"/>
      <c r="AL21" s="401"/>
      <c r="AM21" s="401"/>
      <c r="AN21" s="401"/>
      <c r="AO21" s="401"/>
      <c r="AP21" s="401"/>
      <c r="AQ21" s="401"/>
      <c r="AR21" s="401"/>
      <c r="AS21" s="401"/>
      <c r="AT21" s="401"/>
      <c r="AU21" s="401"/>
      <c r="AV21" s="401"/>
      <c r="AW21" s="401"/>
      <c r="AX21" s="401"/>
      <c r="AY21" s="401"/>
      <c r="AZ21" s="401"/>
      <c r="BA21" s="401"/>
      <c r="BB21" s="401"/>
      <c r="BC21" s="401"/>
      <c r="BD21" s="401"/>
      <c r="BE21" s="401"/>
      <c r="BF21" s="401"/>
      <c r="BG21" s="401"/>
      <c r="BH21" s="401"/>
      <c r="BI21" s="401"/>
      <c r="BJ21" s="401"/>
      <c r="BK21" s="401"/>
      <c r="BL21" s="401"/>
      <c r="BM21" s="401"/>
      <c r="BN21" s="401"/>
      <c r="BO21" s="401"/>
      <c r="BP21" s="401"/>
      <c r="BQ21" s="401"/>
      <c r="BR21" s="401"/>
      <c r="BS21" s="401"/>
      <c r="BT21" s="401"/>
      <c r="BU21" s="401"/>
      <c r="BV21" s="401"/>
      <c r="BW21" s="401"/>
      <c r="BX21" s="401"/>
      <c r="BY21" s="401"/>
      <c r="BZ21" s="401"/>
      <c r="CA21" s="401"/>
      <c r="CB21" s="401"/>
      <c r="CC21" s="401"/>
      <c r="CD21" s="401"/>
      <c r="CE21" s="401"/>
      <c r="CF21" s="401"/>
      <c r="CG21" s="401"/>
      <c r="CH21" s="401"/>
      <c r="CI21" s="401"/>
      <c r="CJ21" s="401"/>
      <c r="CK21" s="401"/>
      <c r="CL21" s="401"/>
      <c r="CM21" s="401"/>
      <c r="CN21" s="401"/>
      <c r="CO21" s="401"/>
      <c r="CP21" s="401"/>
      <c r="CQ21" s="401"/>
      <c r="CR21" s="401"/>
      <c r="CS21" s="401"/>
      <c r="CT21" s="401"/>
      <c r="CU21" s="401"/>
      <c r="CV21" s="401"/>
      <c r="CW21" s="401"/>
      <c r="CX21" s="401"/>
      <c r="CY21" s="401"/>
      <c r="CZ21" s="401"/>
      <c r="DA21" s="401"/>
      <c r="DB21" s="401"/>
      <c r="DC21" s="401"/>
      <c r="DD21" s="401"/>
      <c r="DE21" s="401"/>
      <c r="DF21" s="401"/>
      <c r="DG21" s="401"/>
      <c r="DH21" s="401"/>
      <c r="DI21" s="401"/>
      <c r="DJ21" s="401"/>
      <c r="DK21" s="401"/>
      <c r="DL21" s="401"/>
      <c r="DM21" s="401"/>
      <c r="DN21" s="401"/>
      <c r="DO21" s="401"/>
      <c r="DP21" s="401"/>
      <c r="DQ21" s="401"/>
      <c r="DR21" s="401"/>
      <c r="DS21" s="401"/>
      <c r="DT21" s="401"/>
      <c r="DU21" s="401"/>
      <c r="DV21" s="401"/>
      <c r="DW21" s="401"/>
      <c r="DX21" s="401"/>
      <c r="DY21" s="401"/>
      <c r="DZ21" s="401"/>
      <c r="EA21" s="401"/>
      <c r="EB21" s="401"/>
      <c r="EC21" s="401"/>
      <c r="ED21" s="401"/>
      <c r="EE21" s="401"/>
      <c r="EF21" s="401"/>
      <c r="EG21" s="401"/>
      <c r="EH21" s="401"/>
      <c r="EI21" s="401"/>
      <c r="EJ21" s="401"/>
      <c r="EK21" s="401"/>
      <c r="EL21" s="401"/>
      <c r="EM21" s="401"/>
      <c r="EN21" s="401"/>
      <c r="EO21" s="401"/>
      <c r="EP21" s="401"/>
      <c r="EQ21" s="401"/>
      <c r="ER21" s="401"/>
      <c r="ES21" s="401"/>
      <c r="ET21" s="401"/>
      <c r="EU21" s="401"/>
      <c r="EV21" s="401"/>
      <c r="EW21" s="401"/>
      <c r="EX21" s="401"/>
      <c r="EY21" s="401"/>
      <c r="EZ21" s="401"/>
      <c r="FA21" s="401"/>
      <c r="FB21" s="401"/>
      <c r="FC21" s="401"/>
      <c r="FD21" s="401"/>
      <c r="FE21" s="401"/>
      <c r="FF21" s="401"/>
      <c r="FG21" s="401"/>
      <c r="FH21" s="401"/>
      <c r="FI21" s="401"/>
      <c r="FJ21" s="401"/>
      <c r="FK21" s="401"/>
      <c r="FL21" s="401"/>
      <c r="FM21" s="401"/>
      <c r="FN21" s="401"/>
      <c r="FO21" s="401"/>
      <c r="FP21" s="401"/>
      <c r="FQ21" s="401"/>
      <c r="FR21" s="401"/>
      <c r="FS21" s="401"/>
      <c r="FT21" s="401"/>
      <c r="FU21" s="401"/>
      <c r="FV21" s="401"/>
      <c r="FW21" s="401"/>
      <c r="FX21" s="401"/>
      <c r="FY21" s="401"/>
      <c r="FZ21" s="401"/>
      <c r="GA21" s="401"/>
      <c r="GB21" s="401"/>
      <c r="GC21" s="401"/>
      <c r="GD21" s="401"/>
      <c r="GE21" s="401"/>
      <c r="GF21" s="401"/>
      <c r="GG21" s="401"/>
      <c r="GH21" s="401"/>
      <c r="GI21" s="401"/>
      <c r="GJ21" s="401"/>
      <c r="GK21" s="401"/>
      <c r="GL21" s="401"/>
      <c r="GM21" s="401"/>
      <c r="GN21" s="401"/>
      <c r="GO21" s="401"/>
      <c r="GP21" s="401"/>
      <c r="GQ21" s="401"/>
      <c r="GR21" s="401"/>
      <c r="GS21" s="401"/>
      <c r="GT21" s="401"/>
      <c r="GU21" s="401"/>
      <c r="GV21" s="401"/>
      <c r="GW21" s="401"/>
      <c r="GX21" s="401"/>
      <c r="GY21" s="401"/>
      <c r="GZ21" s="401"/>
      <c r="HA21" s="401"/>
      <c r="HB21" s="401"/>
      <c r="HC21" s="401"/>
      <c r="HD21" s="401"/>
      <c r="HE21" s="401"/>
      <c r="HF21" s="401"/>
      <c r="HG21" s="401"/>
      <c r="HH21" s="401"/>
      <c r="HI21" s="401"/>
      <c r="HJ21" s="401"/>
      <c r="HK21" s="401"/>
      <c r="HL21" s="401"/>
      <c r="HM21" s="401"/>
      <c r="HN21" s="401"/>
      <c r="HO21" s="401"/>
      <c r="HP21" s="401"/>
      <c r="HQ21" s="401"/>
      <c r="HR21" s="401"/>
      <c r="HS21" s="401"/>
      <c r="HT21" s="401"/>
      <c r="HU21" s="401"/>
      <c r="HV21" s="401"/>
      <c r="HW21" s="401"/>
      <c r="HX21" s="401"/>
      <c r="HY21" s="401"/>
      <c r="HZ21" s="401"/>
      <c r="IA21" s="401"/>
      <c r="IB21" s="401"/>
      <c r="IC21" s="401"/>
      <c r="ID21" s="401"/>
      <c r="IE21" s="401"/>
      <c r="IF21" s="401"/>
      <c r="IG21" s="401"/>
      <c r="IH21" s="401"/>
      <c r="II21" s="401"/>
      <c r="IJ21" s="401"/>
      <c r="IK21" s="401"/>
      <c r="IL21" s="401"/>
      <c r="IM21" s="401"/>
      <c r="IN21" s="401"/>
      <c r="IO21" s="401"/>
      <c r="IP21" s="401"/>
      <c r="IQ21" s="401"/>
      <c r="IR21" s="401"/>
      <c r="IS21" s="401"/>
      <c r="IT21" s="401"/>
      <c r="IU21" s="401"/>
      <c r="IV21" s="401"/>
    </row>
    <row r="22" spans="1:258" s="4" customFormat="1" ht="14.25" hidden="1" x14ac:dyDescent="0.2">
      <c r="A22" s="1"/>
      <c r="B22" s="1"/>
      <c r="C22" s="1"/>
      <c r="D22" s="1"/>
      <c r="E22" s="1"/>
      <c r="F22" s="1"/>
      <c r="G22" s="606" t="s">
        <v>24</v>
      </c>
      <c r="H22" s="607"/>
      <c r="I22" s="306" t="s">
        <v>25</v>
      </c>
      <c r="J22" s="608" t="s">
        <v>225</v>
      </c>
      <c r="K22" s="609"/>
      <c r="L22" s="610"/>
      <c r="M22" s="401"/>
      <c r="N22" s="401"/>
      <c r="O22" s="401"/>
      <c r="P22" s="401"/>
      <c r="Q22" s="401"/>
      <c r="R22" s="401"/>
      <c r="S22" s="401"/>
      <c r="T22" s="401"/>
      <c r="U22" s="401"/>
      <c r="V22" s="401"/>
      <c r="W22" s="401"/>
      <c r="X22" s="401"/>
      <c r="Y22" s="401"/>
      <c r="Z22" s="401"/>
      <c r="AA22" s="401"/>
      <c r="AB22" s="401"/>
      <c r="AC22" s="401"/>
      <c r="AD22" s="401"/>
      <c r="AE22" s="401"/>
      <c r="AF22" s="401"/>
      <c r="AG22" s="401"/>
      <c r="AH22" s="401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8" s="4" customFormat="1" ht="14.25" hidden="1" x14ac:dyDescent="0.2">
      <c r="A23" s="1"/>
      <c r="B23" s="1"/>
      <c r="C23" s="1"/>
      <c r="D23" s="1"/>
      <c r="E23" s="1"/>
      <c r="F23" s="1"/>
      <c r="G23" s="1"/>
      <c r="H23" s="1"/>
      <c r="I23" s="308" t="s">
        <v>26</v>
      </c>
      <c r="J23" s="616">
        <v>43713</v>
      </c>
      <c r="K23" s="617"/>
      <c r="L23" s="618"/>
      <c r="M23" s="401"/>
      <c r="N23" s="401"/>
      <c r="O23" s="401"/>
      <c r="P23" s="401"/>
      <c r="Q23" s="401"/>
      <c r="R23" s="401"/>
      <c r="S23" s="401"/>
      <c r="T23" s="401"/>
      <c r="U23" s="401"/>
      <c r="V23" s="401"/>
      <c r="W23" s="401"/>
      <c r="X23" s="401"/>
      <c r="Y23" s="401"/>
      <c r="Z23" s="401"/>
      <c r="AA23" s="401"/>
      <c r="AB23" s="401"/>
      <c r="AC23" s="401"/>
      <c r="AD23" s="401"/>
      <c r="AE23" s="401"/>
      <c r="AF23" s="401"/>
      <c r="AG23" s="401"/>
      <c r="AH23" s="401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8" s="4" customFormat="1" ht="15" hidden="1" customHeight="1" x14ac:dyDescent="0.2">
      <c r="A24" s="1"/>
      <c r="B24" s="1"/>
      <c r="C24" s="1"/>
      <c r="D24" s="1"/>
      <c r="E24" s="1"/>
      <c r="F24" s="1"/>
      <c r="G24" s="1"/>
      <c r="H24" s="1"/>
      <c r="I24" s="310" t="s">
        <v>27</v>
      </c>
      <c r="J24" s="608"/>
      <c r="K24" s="609"/>
      <c r="L24" s="61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8" s="4" customFormat="1" ht="14.25" hidden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8" s="4" customFormat="1" ht="14.25" hidden="1" x14ac:dyDescent="0.2">
      <c r="A26" s="1"/>
      <c r="B26" s="1"/>
      <c r="C26" s="1"/>
      <c r="D26" s="1"/>
      <c r="E26" s="1"/>
      <c r="F26" s="1"/>
      <c r="G26" s="1"/>
      <c r="H26" s="1"/>
      <c r="I26" s="634" t="s">
        <v>28</v>
      </c>
      <c r="J26" s="634" t="s">
        <v>29</v>
      </c>
      <c r="K26" s="612" t="s">
        <v>30</v>
      </c>
      <c r="L26" s="613"/>
      <c r="M26" s="1"/>
      <c r="N26" s="1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</row>
    <row r="27" spans="1:258" s="4" customFormat="1" ht="14.25" hidden="1" x14ac:dyDescent="0.2">
      <c r="A27" s="1"/>
      <c r="B27" s="1"/>
      <c r="C27" s="1"/>
      <c r="D27" s="1"/>
      <c r="E27" s="1"/>
      <c r="F27" s="1"/>
      <c r="G27" s="1"/>
      <c r="H27" s="1"/>
      <c r="I27" s="635"/>
      <c r="J27" s="635"/>
      <c r="K27" s="10" t="s">
        <v>31</v>
      </c>
      <c r="L27" s="311" t="s">
        <v>32</v>
      </c>
      <c r="M27" s="1"/>
      <c r="N27" s="1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</row>
    <row r="28" spans="1:258" s="4" customFormat="1" ht="14.25" hidden="1" x14ac:dyDescent="0.2">
      <c r="A28" s="1"/>
      <c r="B28" s="1"/>
      <c r="C28" s="1"/>
      <c r="D28" s="1"/>
      <c r="E28" s="1"/>
      <c r="F28" s="1"/>
      <c r="G28" s="1"/>
      <c r="H28" s="1"/>
      <c r="I28" s="11" t="s">
        <v>289</v>
      </c>
      <c r="J28" s="309">
        <v>44104</v>
      </c>
      <c r="K28" s="309">
        <v>44075</v>
      </c>
      <c r="L28" s="12">
        <f>J28</f>
        <v>44104</v>
      </c>
      <c r="M28" s="1"/>
      <c r="N28" s="1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</row>
    <row r="29" spans="1:258" ht="14.25" hidden="1" x14ac:dyDescent="0.2">
      <c r="A29" s="327"/>
      <c r="B29" s="327"/>
      <c r="C29" s="327"/>
      <c r="D29" s="327"/>
      <c r="E29" s="327"/>
      <c r="F29" s="327"/>
      <c r="G29" s="327"/>
      <c r="H29" s="327"/>
      <c r="I29" s="327"/>
      <c r="J29" s="327"/>
      <c r="K29" s="327"/>
      <c r="L29" s="327"/>
    </row>
    <row r="30" spans="1:258" ht="18" hidden="1" x14ac:dyDescent="0.25">
      <c r="A30" s="647" t="s">
        <v>34</v>
      </c>
      <c r="B30" s="647"/>
      <c r="C30" s="647"/>
      <c r="D30" s="647"/>
      <c r="E30" s="647"/>
      <c r="F30" s="647"/>
      <c r="G30" s="647"/>
      <c r="H30" s="647"/>
      <c r="I30" s="647"/>
      <c r="J30" s="647"/>
      <c r="K30" s="647"/>
      <c r="L30" s="647"/>
    </row>
    <row r="31" spans="1:258" ht="18" hidden="1" x14ac:dyDescent="0.25">
      <c r="A31" s="647" t="s">
        <v>35</v>
      </c>
      <c r="B31" s="647"/>
      <c r="C31" s="647"/>
      <c r="D31" s="647"/>
      <c r="E31" s="647"/>
      <c r="F31" s="647"/>
      <c r="G31" s="647"/>
      <c r="H31" s="647"/>
      <c r="I31" s="647"/>
      <c r="J31" s="647"/>
      <c r="K31" s="647"/>
      <c r="L31" s="647"/>
    </row>
    <row r="32" spans="1:258" ht="18" customHeight="1" x14ac:dyDescent="0.25">
      <c r="A32" s="615" t="s">
        <v>391</v>
      </c>
      <c r="B32" s="615"/>
      <c r="C32" s="615"/>
      <c r="D32" s="615"/>
      <c r="E32" s="615"/>
      <c r="F32" s="615"/>
      <c r="G32" s="615"/>
      <c r="H32" s="615"/>
      <c r="I32" s="615"/>
      <c r="J32" s="615"/>
      <c r="K32" s="615"/>
      <c r="L32" s="615"/>
      <c r="M32" s="419"/>
      <c r="N32" s="419"/>
    </row>
    <row r="33" spans="1:37" ht="39.75" customHeight="1" x14ac:dyDescent="0.2">
      <c r="A33" s="591" t="s">
        <v>189</v>
      </c>
      <c r="B33" s="591"/>
      <c r="C33" s="591"/>
      <c r="D33" s="591"/>
      <c r="E33" s="591"/>
      <c r="F33" s="591"/>
      <c r="G33" s="591"/>
      <c r="H33" s="591"/>
      <c r="I33" s="591"/>
      <c r="J33" s="591"/>
      <c r="K33" s="591"/>
      <c r="L33" s="591"/>
      <c r="M33" s="420"/>
      <c r="N33" s="420"/>
    </row>
    <row r="34" spans="1:37" ht="28.5" x14ac:dyDescent="0.2">
      <c r="A34" s="611" t="s">
        <v>226</v>
      </c>
      <c r="B34" s="611"/>
      <c r="C34" s="611"/>
      <c r="D34" s="611"/>
      <c r="E34" s="611"/>
      <c r="F34" s="611"/>
      <c r="G34" s="611"/>
      <c r="H34" s="611"/>
      <c r="I34" s="611"/>
      <c r="J34" s="611"/>
      <c r="K34" s="611"/>
      <c r="L34" s="611"/>
      <c r="AK34" s="336" t="s">
        <v>226</v>
      </c>
    </row>
    <row r="35" spans="1:37" ht="14.25" x14ac:dyDescent="0.2">
      <c r="A35" s="642" t="s">
        <v>36</v>
      </c>
      <c r="B35" s="642"/>
      <c r="C35" s="642" t="s">
        <v>37</v>
      </c>
      <c r="D35" s="642" t="s">
        <v>38</v>
      </c>
      <c r="E35" s="642" t="s">
        <v>39</v>
      </c>
      <c r="F35" s="642" t="s">
        <v>40</v>
      </c>
      <c r="G35" s="642" t="s">
        <v>41</v>
      </c>
      <c r="H35" s="643" t="s">
        <v>42</v>
      </c>
      <c r="I35" s="643" t="s">
        <v>43</v>
      </c>
      <c r="J35" s="642" t="s">
        <v>227</v>
      </c>
      <c r="K35" s="642" t="s">
        <v>44</v>
      </c>
      <c r="L35" s="642" t="s">
        <v>45</v>
      </c>
    </row>
    <row r="36" spans="1:37" x14ac:dyDescent="0.2">
      <c r="A36" s="643" t="s">
        <v>46</v>
      </c>
      <c r="B36" s="643" t="s">
        <v>47</v>
      </c>
      <c r="C36" s="642"/>
      <c r="D36" s="642"/>
      <c r="E36" s="642"/>
      <c r="F36" s="642"/>
      <c r="G36" s="642"/>
      <c r="H36" s="644"/>
      <c r="I36" s="644"/>
      <c r="J36" s="642"/>
      <c r="K36" s="642"/>
      <c r="L36" s="642"/>
    </row>
    <row r="37" spans="1:37" x14ac:dyDescent="0.2">
      <c r="A37" s="644"/>
      <c r="B37" s="644"/>
      <c r="C37" s="642"/>
      <c r="D37" s="642"/>
      <c r="E37" s="642"/>
      <c r="F37" s="642"/>
      <c r="G37" s="642"/>
      <c r="H37" s="644"/>
      <c r="I37" s="644"/>
      <c r="J37" s="642"/>
      <c r="K37" s="642"/>
      <c r="L37" s="642"/>
    </row>
    <row r="38" spans="1:37" ht="20.100000000000001" customHeight="1" x14ac:dyDescent="0.2">
      <c r="A38" s="644"/>
      <c r="B38" s="644"/>
      <c r="C38" s="642"/>
      <c r="D38" s="642"/>
      <c r="E38" s="642"/>
      <c r="F38" s="642"/>
      <c r="G38" s="642"/>
      <c r="H38" s="644"/>
      <c r="I38" s="644"/>
      <c r="J38" s="642"/>
      <c r="K38" s="642"/>
      <c r="L38" s="642"/>
    </row>
    <row r="39" spans="1:37" ht="20.100000000000001" customHeight="1" x14ac:dyDescent="0.2">
      <c r="A39" s="645"/>
      <c r="B39" s="645"/>
      <c r="C39" s="642"/>
      <c r="D39" s="642"/>
      <c r="E39" s="642"/>
      <c r="F39" s="642"/>
      <c r="G39" s="642"/>
      <c r="H39" s="645"/>
      <c r="I39" s="645"/>
      <c r="J39" s="642"/>
      <c r="K39" s="642"/>
      <c r="L39" s="642"/>
    </row>
    <row r="40" spans="1:37" ht="14.25" x14ac:dyDescent="0.2">
      <c r="A40" s="344">
        <v>1</v>
      </c>
      <c r="B40" s="344">
        <v>2</v>
      </c>
      <c r="C40" s="344">
        <v>3</v>
      </c>
      <c r="D40" s="344">
        <v>4</v>
      </c>
      <c r="E40" s="344">
        <v>5</v>
      </c>
      <c r="F40" s="344">
        <v>6</v>
      </c>
      <c r="G40" s="344">
        <v>7</v>
      </c>
      <c r="H40" s="344">
        <v>8</v>
      </c>
      <c r="I40" s="344">
        <v>9</v>
      </c>
      <c r="J40" s="344">
        <v>10</v>
      </c>
      <c r="K40" s="344">
        <v>11</v>
      </c>
      <c r="L40" s="344">
        <v>12</v>
      </c>
    </row>
    <row r="42" spans="1:37" ht="15.75" x14ac:dyDescent="0.25">
      <c r="A42" s="592" t="s">
        <v>48</v>
      </c>
      <c r="B42" s="592"/>
      <c r="C42" s="592"/>
      <c r="D42" s="592"/>
      <c r="E42" s="592"/>
      <c r="F42" s="592"/>
      <c r="G42" s="592"/>
      <c r="H42" s="592"/>
      <c r="I42" s="592"/>
      <c r="J42" s="592"/>
      <c r="K42" s="592"/>
      <c r="L42" s="592"/>
    </row>
    <row r="43" spans="1:37" ht="15.75" x14ac:dyDescent="0.25">
      <c r="A43" s="592" t="s">
        <v>75</v>
      </c>
      <c r="B43" s="592"/>
      <c r="C43" s="592"/>
      <c r="D43" s="592"/>
      <c r="E43" s="592"/>
      <c r="F43" s="592"/>
      <c r="G43" s="592"/>
      <c r="H43" s="592"/>
      <c r="I43" s="592"/>
      <c r="J43" s="592"/>
      <c r="K43" s="592"/>
      <c r="L43" s="592"/>
    </row>
    <row r="44" spans="1:37" ht="15.75" x14ac:dyDescent="0.25">
      <c r="A44" s="592" t="s">
        <v>392</v>
      </c>
      <c r="B44" s="592"/>
      <c r="C44" s="592"/>
      <c r="D44" s="592"/>
      <c r="E44" s="592"/>
      <c r="F44" s="592"/>
      <c r="G44" s="592"/>
      <c r="H44" s="592"/>
      <c r="I44" s="592"/>
      <c r="J44" s="592"/>
      <c r="K44" s="592"/>
      <c r="L44" s="592"/>
    </row>
    <row r="45" spans="1:37" ht="15.75" hidden="1" x14ac:dyDescent="0.25">
      <c r="A45" s="593" t="s">
        <v>49</v>
      </c>
      <c r="B45" s="594"/>
      <c r="C45" s="594"/>
      <c r="D45" s="594"/>
      <c r="E45" s="594"/>
      <c r="F45" s="594"/>
      <c r="G45" s="594"/>
      <c r="H45" s="594"/>
      <c r="I45" s="594"/>
      <c r="J45" s="594"/>
      <c r="K45" s="594"/>
      <c r="L45" s="595"/>
    </row>
    <row r="46" spans="1:37" ht="15.75" hidden="1" x14ac:dyDescent="0.2">
      <c r="A46" s="596" t="s">
        <v>50</v>
      </c>
      <c r="B46" s="596"/>
      <c r="C46" s="596"/>
      <c r="D46" s="596"/>
      <c r="E46" s="596"/>
      <c r="F46" s="596"/>
      <c r="G46" s="596"/>
      <c r="H46" s="596"/>
      <c r="I46" s="596"/>
      <c r="J46" s="596"/>
      <c r="K46" s="596"/>
      <c r="L46" s="596"/>
    </row>
    <row r="47" spans="1:37" ht="15.75" hidden="1" x14ac:dyDescent="0.2">
      <c r="A47" s="596" t="s">
        <v>51</v>
      </c>
      <c r="B47" s="596"/>
      <c r="C47" s="596"/>
      <c r="D47" s="596"/>
      <c r="E47" s="596"/>
      <c r="F47" s="596"/>
      <c r="G47" s="596"/>
      <c r="H47" s="596"/>
      <c r="I47" s="596"/>
      <c r="J47" s="596"/>
      <c r="K47" s="596"/>
      <c r="L47" s="596"/>
    </row>
    <row r="48" spans="1:37" ht="14.25" x14ac:dyDescent="0.2">
      <c r="A48" s="14" t="s">
        <v>379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50" spans="1:27" ht="16.5" x14ac:dyDescent="0.25">
      <c r="A50" s="646" t="str">
        <f>CONCATENATE("Раздел: ",IF([88]Source!G24&lt;&gt;"Новый раздел", [88]Source!G24, ""))</f>
        <v>Раздел: Противодымная вентиляция</v>
      </c>
      <c r="B50" s="646"/>
      <c r="C50" s="646"/>
      <c r="D50" s="646"/>
      <c r="E50" s="646"/>
      <c r="F50" s="646"/>
      <c r="G50" s="646"/>
      <c r="H50" s="646"/>
      <c r="I50" s="646"/>
      <c r="J50" s="646"/>
      <c r="K50" s="646"/>
      <c r="L50" s="646"/>
    </row>
    <row r="52" spans="1:27" ht="16.5" x14ac:dyDescent="0.25">
      <c r="A52" s="646" t="str">
        <f>CONCATENATE("Подраздел: ",IF([88]Source!G738&lt;&gt;"Новый подраздел", [88]Source!G738, ""))</f>
        <v>Подраздел: ПП2-7.1</v>
      </c>
      <c r="B52" s="646"/>
      <c r="C52" s="646"/>
      <c r="D52" s="646"/>
      <c r="E52" s="646"/>
      <c r="F52" s="646"/>
      <c r="G52" s="646"/>
      <c r="H52" s="646"/>
      <c r="I52" s="646"/>
      <c r="J52" s="646"/>
      <c r="K52" s="646"/>
      <c r="L52" s="646"/>
    </row>
    <row r="53" spans="1:27" ht="78.75" customHeight="1" x14ac:dyDescent="0.2">
      <c r="A53" s="346">
        <v>1</v>
      </c>
      <c r="B53" s="346" t="str">
        <f>[88]Source!E799</f>
        <v>182</v>
      </c>
      <c r="C53" s="347" t="s">
        <v>290</v>
      </c>
      <c r="D53" s="347" t="s">
        <v>78</v>
      </c>
      <c r="E53" s="348" t="str">
        <f>[88]Source!H799</f>
        <v>100 м2 поверхности воздуховодов</v>
      </c>
      <c r="F53" s="329">
        <f>[88]Source!I799</f>
        <v>0.52500000000000002</v>
      </c>
      <c r="G53" s="349"/>
      <c r="H53" s="350"/>
      <c r="I53" s="329"/>
      <c r="J53" s="351"/>
      <c r="K53" s="329"/>
      <c r="L53" s="351"/>
      <c r="Q53" s="326">
        <f>ROUND(([88]Source!DN799/100)*ROUND((ROUND(([88]Source!AF799*[88]Source!AV799*[88]Source!I799),2)),2), 2)</f>
        <v>836.95</v>
      </c>
      <c r="R53" s="326">
        <f>[88]Source!X799</f>
        <v>16223.44</v>
      </c>
      <c r="S53" s="326">
        <f>ROUND(([88]Source!DO799/100)*ROUND((ROUND(([88]Source!AF799*[88]Source!AV799*[88]Source!I799),2)),2), 2)</f>
        <v>629.39</v>
      </c>
      <c r="T53" s="326">
        <f>[88]Source!Y799</f>
        <v>7300.55</v>
      </c>
      <c r="U53" s="326">
        <f>ROUND((175/100)*ROUND((ROUND(([88]Source!AE799*[88]Source!AV799*[88]Source!I799),2)),2), 2)</f>
        <v>23.49</v>
      </c>
      <c r="V53" s="326">
        <f>ROUND((157/100)*ROUND(ROUND((ROUND(([88]Source!AE799*[88]Source!AV799*[88]Source!I799),2)*[88]Source!BS799),2), 2), 2)</f>
        <v>510.52</v>
      </c>
    </row>
    <row r="54" spans="1:27" ht="38.25" x14ac:dyDescent="0.2">
      <c r="D54" s="402" t="str">
        <f>"Объем: "&amp;[88]Source!I799&amp;"=(6,71+"&amp;"3,63+"&amp;"14,08+"&amp;"9,26+"&amp;"10,89+"&amp;"7,93)/"&amp;"100"</f>
        <v>Объем: 0,525=(6,71+3,63+14,08+9,26+10,89+7,93)/100</v>
      </c>
    </row>
    <row r="55" spans="1:27" ht="14.25" x14ac:dyDescent="0.2">
      <c r="A55" s="346"/>
      <c r="B55" s="346"/>
      <c r="C55" s="347"/>
      <c r="D55" s="347" t="s">
        <v>52</v>
      </c>
      <c r="E55" s="348"/>
      <c r="F55" s="329"/>
      <c r="G55" s="349">
        <f>[88]Source!AO799</f>
        <v>715.73</v>
      </c>
      <c r="H55" s="350" t="str">
        <f>[88]Source!DG799</f>
        <v>)*1,67</v>
      </c>
      <c r="I55" s="329">
        <f>[88]Source!AV799</f>
        <v>1.0669999999999999</v>
      </c>
      <c r="J55" s="351">
        <f>ROUND((ROUND(([88]Source!AF799*[88]Source!AV799*[88]Source!I799),2)),2)</f>
        <v>669.56</v>
      </c>
      <c r="K55" s="329">
        <f>IF([88]Source!BA799&lt;&gt; 0, [88]Source!BA799, 1)</f>
        <v>24.23</v>
      </c>
      <c r="L55" s="351">
        <f>[88]Source!S799</f>
        <v>16223.44</v>
      </c>
      <c r="W55" s="326">
        <f>J55</f>
        <v>669.56</v>
      </c>
    </row>
    <row r="56" spans="1:27" ht="14.25" x14ac:dyDescent="0.2">
      <c r="A56" s="346"/>
      <c r="B56" s="346"/>
      <c r="C56" s="347"/>
      <c r="D56" s="347" t="s">
        <v>53</v>
      </c>
      <c r="E56" s="348"/>
      <c r="F56" s="329"/>
      <c r="G56" s="349">
        <f>[88]Source!AM799</f>
        <v>74.38</v>
      </c>
      <c r="H56" s="350">
        <f>[88]Source!DE799</f>
        <v>0</v>
      </c>
      <c r="I56" s="329">
        <f>[88]Source!AV799</f>
        <v>1.0669999999999999</v>
      </c>
      <c r="J56" s="351">
        <f>(ROUND((ROUND((([88]Source!ET799)*[88]Source!AV799*[88]Source!I799),2)),2)+ROUND((ROUND((([88]Source!AE799-([88]Source!EU799))*[88]Source!AV799*[88]Source!I799),2)),2))-J66</f>
        <v>41.67</v>
      </c>
      <c r="K56" s="329">
        <f>IF([88]Source!BB799&lt;&gt; 0, [88]Source!BB799, 1)</f>
        <v>8.5299999999999994</v>
      </c>
      <c r="L56" s="351">
        <f>[88]Source!Q799-L66</f>
        <v>355.55</v>
      </c>
    </row>
    <row r="57" spans="1:27" ht="14.25" x14ac:dyDescent="0.2">
      <c r="A57" s="346"/>
      <c r="B57" s="346"/>
      <c r="C57" s="347"/>
      <c r="D57" s="347" t="s">
        <v>54</v>
      </c>
      <c r="E57" s="348"/>
      <c r="F57" s="329"/>
      <c r="G57" s="349">
        <f>[88]Source!AN799</f>
        <v>14.35</v>
      </c>
      <c r="H57" s="350">
        <f>[88]Source!DE799</f>
        <v>0</v>
      </c>
      <c r="I57" s="329">
        <f>[88]Source!AV799</f>
        <v>1.0669999999999999</v>
      </c>
      <c r="J57" s="352">
        <f>ROUND((ROUND(([88]Source!AE799*[88]Source!AV799*[88]Source!I799),2)),2)-J67</f>
        <v>8.0299999999999994</v>
      </c>
      <c r="K57" s="329">
        <f>IF([88]Source!BS799&lt;&gt; 0, [88]Source!BS799, 1)</f>
        <v>24.23</v>
      </c>
      <c r="L57" s="352">
        <f>[88]Source!R799-L67</f>
        <v>194.67</v>
      </c>
      <c r="W57" s="326">
        <f>J57</f>
        <v>8.0299999999999994</v>
      </c>
    </row>
    <row r="58" spans="1:27" ht="14.25" x14ac:dyDescent="0.2">
      <c r="A58" s="346"/>
      <c r="B58" s="346"/>
      <c r="C58" s="347"/>
      <c r="D58" s="347" t="s">
        <v>55</v>
      </c>
      <c r="E58" s="348"/>
      <c r="F58" s="329"/>
      <c r="G58" s="349">
        <f>[88]Source!AL799</f>
        <v>516.49</v>
      </c>
      <c r="H58" s="350">
        <f>[88]Source!DD799</f>
        <v>0</v>
      </c>
      <c r="I58" s="329">
        <f>[88]Source!AW799</f>
        <v>1</v>
      </c>
      <c r="J58" s="351">
        <f>ROUND((ROUND(([88]Source!AC799*[88]Source!AW799*[88]Source!I799),2)),2)</f>
        <v>271.16000000000003</v>
      </c>
      <c r="K58" s="329">
        <f>IF([88]Source!BC799&lt;&gt; 0, [88]Source!BC799, 1)</f>
        <v>3.83</v>
      </c>
      <c r="L58" s="351">
        <f>[88]Source!P799</f>
        <v>1038.54</v>
      </c>
    </row>
    <row r="59" spans="1:27" ht="42.75" x14ac:dyDescent="0.2">
      <c r="A59" s="346">
        <v>2</v>
      </c>
      <c r="B59" s="346" t="str">
        <f>[88]Source!E801</f>
        <v>182,1</v>
      </c>
      <c r="C59" s="347" t="str">
        <f>[88]Source!F801</f>
        <v>1.19-3-13</v>
      </c>
      <c r="D59" s="347" t="s">
        <v>79</v>
      </c>
      <c r="E59" s="348" t="str">
        <f>[88]Source!H801</f>
        <v>м2</v>
      </c>
      <c r="F59" s="329">
        <f>[88]Source!I801</f>
        <v>52.5</v>
      </c>
      <c r="G59" s="349">
        <f>[88]Source!AK801</f>
        <v>157.54</v>
      </c>
      <c r="H59" s="398" t="s">
        <v>74</v>
      </c>
      <c r="I59" s="329">
        <f>[88]Source!AW801</f>
        <v>1</v>
      </c>
      <c r="J59" s="351">
        <f>ROUND((ROUND(([88]Source!AC801*[88]Source!AW801*[88]Source!I801),2)),2)+(ROUND((ROUND((([88]Source!ET801)*[88]Source!AV801*[88]Source!I801),2)),2)+ROUND((ROUND((([88]Source!AE801-([88]Source!EU801))*[88]Source!AV801*[88]Source!I801),2)),2))+ROUND((ROUND(([88]Source!AF801*[88]Source!AV801*[88]Source!I801),2)),2)</f>
        <v>8270.85</v>
      </c>
      <c r="K59" s="329">
        <f>IF([88]Source!BC801&lt;&gt; 0, [88]Source!BC801, 1)</f>
        <v>3.07</v>
      </c>
      <c r="L59" s="351">
        <f>[88]Source!O801</f>
        <v>25391.51</v>
      </c>
      <c r="Q59" s="326">
        <f>ROUND(([88]Source!DN801/100)*ROUND((ROUND(([88]Source!AF801*[88]Source!AV801*[88]Source!I801),2)),2), 2)</f>
        <v>0</v>
      </c>
      <c r="R59" s="326">
        <f>[88]Source!X801</f>
        <v>0</v>
      </c>
      <c r="S59" s="326">
        <f>ROUND(([88]Source!DO801/100)*ROUND((ROUND(([88]Source!AF801*[88]Source!AV801*[88]Source!I801),2)),2), 2)</f>
        <v>0</v>
      </c>
      <c r="T59" s="326">
        <f>[88]Source!Y801</f>
        <v>0</v>
      </c>
      <c r="U59" s="326">
        <f>ROUND((175/100)*ROUND((ROUND(([88]Source!AE801*[88]Source!AV801*[88]Source!I801),2)),2), 2)</f>
        <v>0</v>
      </c>
      <c r="V59" s="326">
        <f>ROUND((157/100)*ROUND(ROUND((ROUND(([88]Source!AE801*[88]Source!AV801*[88]Source!I801),2)*[88]Source!BS801),2), 2), 2)</f>
        <v>0</v>
      </c>
      <c r="X59" s="326">
        <f>IF([88]Source!BI801&lt;=1,J59, 0)</f>
        <v>8270.85</v>
      </c>
      <c r="Y59" s="326">
        <f>IF([88]Source!BI801=2,J59, 0)</f>
        <v>0</v>
      </c>
      <c r="Z59" s="326">
        <f>IF([88]Source!BI801=3,J59, 0)</f>
        <v>0</v>
      </c>
      <c r="AA59" s="326">
        <f>IF([88]Source!BI801=4,J59, 0)</f>
        <v>0</v>
      </c>
    </row>
    <row r="60" spans="1:27" ht="14.25" x14ac:dyDescent="0.2">
      <c r="A60" s="346"/>
      <c r="B60" s="346"/>
      <c r="C60" s="347"/>
      <c r="D60" s="347" t="s">
        <v>56</v>
      </c>
      <c r="E60" s="348" t="s">
        <v>57</v>
      </c>
      <c r="F60" s="329">
        <f>[88]Source!DN799</f>
        <v>125</v>
      </c>
      <c r="G60" s="349"/>
      <c r="H60" s="350"/>
      <c r="I60" s="329"/>
      <c r="J60" s="351">
        <f>SUM(Q53:Q59)</f>
        <v>836.95</v>
      </c>
      <c r="K60" s="329">
        <f>[88]Source!BZ799</f>
        <v>100</v>
      </c>
      <c r="L60" s="351">
        <f>SUM(R53:R59)</f>
        <v>16223.44</v>
      </c>
    </row>
    <row r="61" spans="1:27" ht="14.25" x14ac:dyDescent="0.2">
      <c r="A61" s="346"/>
      <c r="B61" s="346"/>
      <c r="C61" s="347"/>
      <c r="D61" s="347" t="s">
        <v>58</v>
      </c>
      <c r="E61" s="348" t="s">
        <v>57</v>
      </c>
      <c r="F61" s="329">
        <f>[88]Source!DO799</f>
        <v>94</v>
      </c>
      <c r="G61" s="349"/>
      <c r="H61" s="350"/>
      <c r="I61" s="329"/>
      <c r="J61" s="351">
        <f>SUM(S53:S60)</f>
        <v>629.39</v>
      </c>
      <c r="K61" s="329">
        <f>[88]Source!CA799</f>
        <v>45</v>
      </c>
      <c r="L61" s="351">
        <f>SUM(T53:T60)</f>
        <v>7300.55</v>
      </c>
    </row>
    <row r="62" spans="1:27" ht="14.25" x14ac:dyDescent="0.2">
      <c r="A62" s="346"/>
      <c r="B62" s="346"/>
      <c r="C62" s="347"/>
      <c r="D62" s="347" t="s">
        <v>59</v>
      </c>
      <c r="E62" s="348" t="s">
        <v>57</v>
      </c>
      <c r="F62" s="329">
        <f>175</f>
        <v>175</v>
      </c>
      <c r="G62" s="349"/>
      <c r="H62" s="350"/>
      <c r="I62" s="329"/>
      <c r="J62" s="351">
        <f>SUM(U53:U61)-J68</f>
        <v>14.06</v>
      </c>
      <c r="K62" s="329">
        <f>157</f>
        <v>157</v>
      </c>
      <c r="L62" s="351">
        <f>SUM(V53:V61)-L68</f>
        <v>305.63</v>
      </c>
    </row>
    <row r="63" spans="1:27" ht="14.25" x14ac:dyDescent="0.2">
      <c r="A63" s="346"/>
      <c r="B63" s="346"/>
      <c r="C63" s="347"/>
      <c r="D63" s="347" t="s">
        <v>60</v>
      </c>
      <c r="E63" s="348" t="s">
        <v>61</v>
      </c>
      <c r="F63" s="329">
        <f>[88]Source!AQ799</f>
        <v>62.4</v>
      </c>
      <c r="G63" s="349"/>
      <c r="H63" s="350">
        <f>[88]Source!DI799</f>
        <v>0</v>
      </c>
      <c r="I63" s="329">
        <f>[88]Source!AV799</f>
        <v>1.0669999999999999</v>
      </c>
      <c r="J63" s="351">
        <f>[88]Source!U799</f>
        <v>34.950000000000003</v>
      </c>
      <c r="K63" s="329"/>
      <c r="L63" s="351"/>
    </row>
    <row r="64" spans="1:27" ht="15" x14ac:dyDescent="0.25">
      <c r="I64" s="641">
        <f>J55+J56+J58+J60+J61+J62+SUM(J59:J59)</f>
        <v>10733.64</v>
      </c>
      <c r="J64" s="641"/>
      <c r="K64" s="641">
        <f>L55+L56+L58+L60+L61+L62+SUM(L59:L59)</f>
        <v>66838.66</v>
      </c>
      <c r="L64" s="641"/>
      <c r="O64" s="353">
        <f>J55+J56+J58+J60+J61+J62+SUM(J59:J59)</f>
        <v>10733.64</v>
      </c>
      <c r="P64" s="353">
        <f>L55+L56+L58+L60+L61+L62+SUM(L59:L59)</f>
        <v>66838.66</v>
      </c>
      <c r="X64" s="326">
        <f>IF([88]Source!BI799&lt;=1,J55+J56+J58+J60+J61+J62-0, 0)</f>
        <v>2462.79</v>
      </c>
      <c r="Y64" s="326">
        <f>IF([88]Source!BI799=2,J55+J56+J58+J60+J61+J62-0, 0)</f>
        <v>0</v>
      </c>
      <c r="Z64" s="326">
        <f>IF([88]Source!BI799=3,J55+J56+J58+J60+J61+J62-0, 0)</f>
        <v>0</v>
      </c>
      <c r="AA64" s="326">
        <f>IF([88]Source!BI799=4,J55+J56+J58+J60+J61+J62,0)</f>
        <v>0</v>
      </c>
    </row>
    <row r="65" spans="1:27" ht="28.5" x14ac:dyDescent="0.2">
      <c r="A65" s="354"/>
      <c r="B65" s="354"/>
      <c r="C65" s="355"/>
      <c r="D65" s="355" t="s">
        <v>62</v>
      </c>
      <c r="E65" s="348"/>
      <c r="F65" s="356"/>
      <c r="G65" s="357"/>
      <c r="H65" s="348"/>
      <c r="I65" s="356"/>
      <c r="J65" s="352"/>
      <c r="K65" s="356"/>
      <c r="L65" s="352"/>
    </row>
    <row r="66" spans="1:27" ht="14.25" x14ac:dyDescent="0.2">
      <c r="A66" s="354"/>
      <c r="B66" s="354"/>
      <c r="C66" s="355"/>
      <c r="D66" s="355" t="s">
        <v>53</v>
      </c>
      <c r="E66" s="348"/>
      <c r="F66" s="356"/>
      <c r="G66" s="357">
        <f t="shared" ref="G66:L66" si="0">G67</f>
        <v>14.35</v>
      </c>
      <c r="H66" s="358" t="str">
        <f t="shared" si="0"/>
        <v>)*(1.67-1)</v>
      </c>
      <c r="I66" s="356">
        <f t="shared" si="0"/>
        <v>1.0669999999999999</v>
      </c>
      <c r="J66" s="352">
        <f t="shared" si="0"/>
        <v>5.39</v>
      </c>
      <c r="K66" s="356">
        <f t="shared" si="0"/>
        <v>24.23</v>
      </c>
      <c r="L66" s="352">
        <f t="shared" si="0"/>
        <v>130.5</v>
      </c>
    </row>
    <row r="67" spans="1:27" ht="14.25" x14ac:dyDescent="0.2">
      <c r="A67" s="354"/>
      <c r="B67" s="354"/>
      <c r="C67" s="355"/>
      <c r="D67" s="355" t="s">
        <v>54</v>
      </c>
      <c r="E67" s="348"/>
      <c r="F67" s="356"/>
      <c r="G67" s="357">
        <f>[88]Source!AN799</f>
        <v>14.35</v>
      </c>
      <c r="H67" s="358" t="s">
        <v>63</v>
      </c>
      <c r="I67" s="356">
        <f>[88]Source!AV799</f>
        <v>1.0669999999999999</v>
      </c>
      <c r="J67" s="352">
        <f>ROUND(F53*G67*I67*(1.67-1), 2)</f>
        <v>5.39</v>
      </c>
      <c r="K67" s="356">
        <f>IF([88]Source!BS799&lt;&gt; 0, [88]Source!BS799, 1)</f>
        <v>24.23</v>
      </c>
      <c r="L67" s="352">
        <f>ROUND(F53*G67*I67*(1.67-1)*K67, 2)</f>
        <v>130.5</v>
      </c>
      <c r="W67" s="326">
        <f>J67</f>
        <v>5.39</v>
      </c>
    </row>
    <row r="68" spans="1:27" ht="14.25" x14ac:dyDescent="0.2">
      <c r="A68" s="354"/>
      <c r="B68" s="354"/>
      <c r="C68" s="355"/>
      <c r="D68" s="355" t="s">
        <v>59</v>
      </c>
      <c r="E68" s="348" t="s">
        <v>57</v>
      </c>
      <c r="F68" s="356">
        <f>175</f>
        <v>175</v>
      </c>
      <c r="G68" s="357"/>
      <c r="H68" s="348"/>
      <c r="I68" s="356"/>
      <c r="J68" s="352">
        <f>ROUND(J67*(F68/100), 2)</f>
        <v>9.43</v>
      </c>
      <c r="K68" s="356">
        <f>157</f>
        <v>157</v>
      </c>
      <c r="L68" s="352">
        <f>ROUND(L67*(K68/100), 2)</f>
        <v>204.89</v>
      </c>
    </row>
    <row r="69" spans="1:27" ht="15" x14ac:dyDescent="0.25">
      <c r="I69" s="641">
        <f>J68+J67</f>
        <v>14.82</v>
      </c>
      <c r="J69" s="641"/>
      <c r="K69" s="641">
        <f>L68+L67</f>
        <v>335.39</v>
      </c>
      <c r="L69" s="641"/>
      <c r="O69" s="353">
        <f>I69</f>
        <v>14.82</v>
      </c>
      <c r="P69" s="353">
        <f>K69</f>
        <v>335.39</v>
      </c>
      <c r="X69" s="326">
        <f>IF([88]Source!BI799&lt;=1,I69, 0)</f>
        <v>14.82</v>
      </c>
      <c r="Y69" s="326">
        <f>IF([88]Source!BI799=2,I69, 0)</f>
        <v>0</v>
      </c>
      <c r="Z69" s="326">
        <f>IF([88]Source!BI799=3,I69, 0)</f>
        <v>0</v>
      </c>
      <c r="AA69" s="326">
        <f>IF([88]Source!BI799=4,I69, 0)</f>
        <v>0</v>
      </c>
    </row>
    <row r="71" spans="1:27" ht="15" x14ac:dyDescent="0.25">
      <c r="A71" s="359"/>
      <c r="B71" s="359"/>
      <c r="C71" s="360"/>
      <c r="D71" s="360" t="s">
        <v>64</v>
      </c>
      <c r="E71" s="361"/>
      <c r="F71" s="362"/>
      <c r="G71" s="363"/>
      <c r="H71" s="364"/>
      <c r="I71" s="641">
        <f>I64+I69</f>
        <v>10748.46</v>
      </c>
      <c r="J71" s="641"/>
      <c r="K71" s="641">
        <f>K64+K69</f>
        <v>67174.05</v>
      </c>
      <c r="L71" s="641"/>
    </row>
    <row r="72" spans="1:27" ht="40.5" customHeight="1" x14ac:dyDescent="0.2">
      <c r="A72" s="346">
        <v>3</v>
      </c>
      <c r="B72" s="346" t="str">
        <f>[88]Source!E813</f>
        <v>185</v>
      </c>
      <c r="C72" s="347" t="s">
        <v>291</v>
      </c>
      <c r="D72" s="347" t="s">
        <v>80</v>
      </c>
      <c r="E72" s="348" t="str">
        <f>[88]Source!H813</f>
        <v>1 м2 поверхности</v>
      </c>
      <c r="F72" s="329">
        <f>[88]Source!I813</f>
        <v>54.01</v>
      </c>
      <c r="G72" s="349"/>
      <c r="H72" s="350"/>
      <c r="I72" s="329"/>
      <c r="J72" s="351"/>
      <c r="K72" s="329"/>
      <c r="L72" s="351"/>
      <c r="Q72" s="326">
        <f>ROUND(([88]Source!DN813/100)*ROUND((ROUND(([88]Source!AF813*[88]Source!AV813*[88]Source!I813),2)),2), 2)</f>
        <v>529.37</v>
      </c>
      <c r="R72" s="326">
        <f>[88]Source!X813</f>
        <v>10339.77</v>
      </c>
      <c r="S72" s="326">
        <f>ROUND(([88]Source!DO813/100)*ROUND((ROUND(([88]Source!AF813*[88]Source!AV813*[88]Source!I813),2)),2), 2)</f>
        <v>394.32</v>
      </c>
      <c r="T72" s="326">
        <f>[88]Source!Y813</f>
        <v>5366.21</v>
      </c>
      <c r="U72" s="326">
        <f>ROUND((175/100)*ROUND((ROUND(([88]Source!AE813*[88]Source!AV813*[88]Source!I813),2)),2), 2)</f>
        <v>14.88</v>
      </c>
      <c r="V72" s="326">
        <f>ROUND((157/100)*ROUND(ROUND((ROUND(([88]Source!AE813*[88]Source!AV813*[88]Source!I813),2)*[88]Source!BS813),2), 2), 2)</f>
        <v>323.36</v>
      </c>
    </row>
    <row r="73" spans="1:27" x14ac:dyDescent="0.2">
      <c r="D73" s="402" t="str">
        <f>"Объем: "&amp;[88]Source!I813&amp;"=9,71+"&amp;"25,67+"&amp;"18,63"</f>
        <v>Объем: 54,01=9,71+25,67+18,63</v>
      </c>
    </row>
    <row r="74" spans="1:27" ht="14.25" x14ac:dyDescent="0.2">
      <c r="A74" s="346"/>
      <c r="B74" s="346"/>
      <c r="C74" s="347"/>
      <c r="D74" s="347" t="s">
        <v>52</v>
      </c>
      <c r="E74" s="348"/>
      <c r="F74" s="329"/>
      <c r="G74" s="349">
        <f>[88]Source!AO813</f>
        <v>5.72</v>
      </c>
      <c r="H74" s="350" t="str">
        <f>[88]Source!DG813</f>
        <v>)*1,67</v>
      </c>
      <c r="I74" s="329">
        <f>[88]Source!AV813</f>
        <v>1.0469999999999999</v>
      </c>
      <c r="J74" s="351">
        <f>ROUND((ROUND(([88]Source!AF813*[88]Source!AV813*[88]Source!I813),2)),2)</f>
        <v>540.16999999999996</v>
      </c>
      <c r="K74" s="329">
        <f>IF([88]Source!BA813&lt;&gt; 0, [88]Source!BA813, 1)</f>
        <v>24.23</v>
      </c>
      <c r="L74" s="351">
        <f>[88]Source!S813</f>
        <v>13088.32</v>
      </c>
      <c r="W74" s="326">
        <f>J74</f>
        <v>540.16999999999996</v>
      </c>
    </row>
    <row r="75" spans="1:27" ht="14.25" x14ac:dyDescent="0.2">
      <c r="A75" s="346"/>
      <c r="B75" s="346"/>
      <c r="C75" s="347"/>
      <c r="D75" s="347" t="s">
        <v>53</v>
      </c>
      <c r="E75" s="348"/>
      <c r="F75" s="329"/>
      <c r="G75" s="349">
        <f>[88]Source!AM813</f>
        <v>0.46</v>
      </c>
      <c r="H75" s="350">
        <f>[88]Source!DE813</f>
        <v>0</v>
      </c>
      <c r="I75" s="329">
        <f>[88]Source!AV813</f>
        <v>1.0469999999999999</v>
      </c>
      <c r="J75" s="351">
        <f>(ROUND((ROUND((([88]Source!ET813)*[88]Source!AV813*[88]Source!I813),2)),2)+ROUND((ROUND((([88]Source!AE813-([88]Source!EU813))*[88]Source!AV813*[88]Source!I813),2)),2))-J84</f>
        <v>26.01</v>
      </c>
      <c r="K75" s="329">
        <f>IF([88]Source!BB813&lt;&gt; 0, [88]Source!BB813, 1)</f>
        <v>9.2200000000000006</v>
      </c>
      <c r="L75" s="351">
        <f>[88]Source!Q813-L84</f>
        <v>239.81</v>
      </c>
    </row>
    <row r="76" spans="1:27" ht="14.25" x14ac:dyDescent="0.2">
      <c r="A76" s="346"/>
      <c r="B76" s="346"/>
      <c r="C76" s="347"/>
      <c r="D76" s="347" t="s">
        <v>54</v>
      </c>
      <c r="E76" s="348"/>
      <c r="F76" s="329"/>
      <c r="G76" s="349">
        <f>[88]Source!AN813</f>
        <v>0.09</v>
      </c>
      <c r="H76" s="350">
        <f>[88]Source!DE813</f>
        <v>0</v>
      </c>
      <c r="I76" s="329">
        <f>[88]Source!AV813</f>
        <v>1.0469999999999999</v>
      </c>
      <c r="J76" s="352">
        <f>ROUND((ROUND(([88]Source!AE813*[88]Source!AV813*[88]Source!I813),2)),2)-J85</f>
        <v>5.09</v>
      </c>
      <c r="K76" s="329">
        <f>IF([88]Source!BS813&lt;&gt; 0, [88]Source!BS813, 1)</f>
        <v>24.23</v>
      </c>
      <c r="L76" s="352">
        <f>[88]Source!R813-L85</f>
        <v>123.34</v>
      </c>
      <c r="W76" s="326">
        <f>J76</f>
        <v>5.09</v>
      </c>
    </row>
    <row r="77" spans="1:27" ht="14.25" x14ac:dyDescent="0.2">
      <c r="A77" s="346"/>
      <c r="B77" s="346"/>
      <c r="C77" s="347"/>
      <c r="D77" s="347" t="s">
        <v>55</v>
      </c>
      <c r="E77" s="348"/>
      <c r="F77" s="329"/>
      <c r="G77" s="349">
        <f>[88]Source!AL813</f>
        <v>0.12</v>
      </c>
      <c r="H77" s="350">
        <f>[88]Source!DD813</f>
        <v>0</v>
      </c>
      <c r="I77" s="329">
        <f>[88]Source!AW813</f>
        <v>1.0189999999999999</v>
      </c>
      <c r="J77" s="351">
        <f>ROUND((ROUND(([88]Source!AC813*[88]Source!AW813*[88]Source!I813),2)),2)</f>
        <v>6.6</v>
      </c>
      <c r="K77" s="329">
        <f>IF([88]Source!BC813&lt;&gt; 0, [88]Source!BC813, 1)</f>
        <v>5.58</v>
      </c>
      <c r="L77" s="351">
        <f>[88]Source!P813</f>
        <v>36.83</v>
      </c>
    </row>
    <row r="78" spans="1:27" ht="14.25" x14ac:dyDescent="0.2">
      <c r="A78" s="346"/>
      <c r="B78" s="346"/>
      <c r="C78" s="347"/>
      <c r="D78" s="347" t="s">
        <v>56</v>
      </c>
      <c r="E78" s="348" t="s">
        <v>57</v>
      </c>
      <c r="F78" s="329">
        <f>[88]Source!DN813</f>
        <v>98</v>
      </c>
      <c r="G78" s="349"/>
      <c r="H78" s="350"/>
      <c r="I78" s="329"/>
      <c r="J78" s="351">
        <f>SUM(Q72:Q77)</f>
        <v>529.37</v>
      </c>
      <c r="K78" s="329">
        <f>[88]Source!BZ813</f>
        <v>79</v>
      </c>
      <c r="L78" s="351">
        <f>SUM(R72:R77)</f>
        <v>10339.77</v>
      </c>
    </row>
    <row r="79" spans="1:27" ht="14.25" x14ac:dyDescent="0.2">
      <c r="A79" s="346"/>
      <c r="B79" s="346"/>
      <c r="C79" s="347"/>
      <c r="D79" s="347" t="s">
        <v>58</v>
      </c>
      <c r="E79" s="348" t="s">
        <v>57</v>
      </c>
      <c r="F79" s="329">
        <f>[88]Source!DO813</f>
        <v>73</v>
      </c>
      <c r="G79" s="349"/>
      <c r="H79" s="350"/>
      <c r="I79" s="329"/>
      <c r="J79" s="351">
        <f>SUM(S72:S78)</f>
        <v>394.32</v>
      </c>
      <c r="K79" s="329">
        <f>[88]Source!CA813</f>
        <v>41</v>
      </c>
      <c r="L79" s="351">
        <f>SUM(T72:T78)</f>
        <v>5366.21</v>
      </c>
    </row>
    <row r="80" spans="1:27" ht="14.25" x14ac:dyDescent="0.2">
      <c r="A80" s="346"/>
      <c r="B80" s="346"/>
      <c r="C80" s="347"/>
      <c r="D80" s="347" t="s">
        <v>59</v>
      </c>
      <c r="E80" s="348" t="s">
        <v>57</v>
      </c>
      <c r="F80" s="329">
        <f>175</f>
        <v>175</v>
      </c>
      <c r="G80" s="349"/>
      <c r="H80" s="350"/>
      <c r="I80" s="329"/>
      <c r="J80" s="351">
        <f>SUM(U72:U79)-J86</f>
        <v>8.91</v>
      </c>
      <c r="K80" s="329">
        <f>157</f>
        <v>157</v>
      </c>
      <c r="L80" s="351">
        <f>SUM(V72:V79)-L86</f>
        <v>193.65</v>
      </c>
    </row>
    <row r="81" spans="1:27" ht="14.25" x14ac:dyDescent="0.2">
      <c r="A81" s="346"/>
      <c r="B81" s="346"/>
      <c r="C81" s="347"/>
      <c r="D81" s="347" t="s">
        <v>60</v>
      </c>
      <c r="E81" s="348" t="s">
        <v>61</v>
      </c>
      <c r="F81" s="329">
        <f>[88]Source!AQ813</f>
        <v>0.44</v>
      </c>
      <c r="G81" s="349"/>
      <c r="H81" s="350">
        <f>[88]Source!DI813</f>
        <v>0</v>
      </c>
      <c r="I81" s="329">
        <f>[88]Source!AV813</f>
        <v>1.0469999999999999</v>
      </c>
      <c r="J81" s="351">
        <f>[88]Source!U813</f>
        <v>24.88</v>
      </c>
      <c r="K81" s="329"/>
      <c r="L81" s="351"/>
    </row>
    <row r="82" spans="1:27" ht="15" x14ac:dyDescent="0.25">
      <c r="I82" s="641">
        <f>J74+J75+J77+J78+J79+J80</f>
        <v>1505.38</v>
      </c>
      <c r="J82" s="641"/>
      <c r="K82" s="641">
        <f>L74+L75+L77+L78+L79+L80</f>
        <v>29264.59</v>
      </c>
      <c r="L82" s="641"/>
      <c r="O82" s="353">
        <f>J74+J75+J77+J78+J79+J80</f>
        <v>1505.38</v>
      </c>
      <c r="P82" s="353">
        <f>L74+L75+L77+L78+L79+L80</f>
        <v>29264.59</v>
      </c>
      <c r="X82" s="326">
        <f>IF([88]Source!BI813&lt;=1,J74+J75+J77+J78+J79+J80-0, 0)</f>
        <v>1505.38</v>
      </c>
      <c r="Y82" s="326">
        <f>IF([88]Source!BI813=2,J74+J75+J77+J78+J79+J80-0, 0)</f>
        <v>0</v>
      </c>
      <c r="Z82" s="326">
        <f>IF([88]Source!BI813=3,J74+J75+J77+J78+J79+J80-0, 0)</f>
        <v>0</v>
      </c>
      <c r="AA82" s="326">
        <f>IF([88]Source!BI813=4,J74+J75+J77+J78+J79+J80,0)</f>
        <v>0</v>
      </c>
    </row>
    <row r="83" spans="1:27" ht="28.5" x14ac:dyDescent="0.2">
      <c r="A83" s="354"/>
      <c r="B83" s="354"/>
      <c r="C83" s="355"/>
      <c r="D83" s="355" t="s">
        <v>62</v>
      </c>
      <c r="E83" s="348"/>
      <c r="F83" s="356"/>
      <c r="G83" s="357"/>
      <c r="H83" s="348"/>
      <c r="I83" s="356"/>
      <c r="J83" s="352"/>
      <c r="K83" s="356"/>
      <c r="L83" s="352"/>
    </row>
    <row r="84" spans="1:27" ht="14.25" x14ac:dyDescent="0.2">
      <c r="A84" s="354"/>
      <c r="B84" s="354"/>
      <c r="C84" s="355"/>
      <c r="D84" s="355" t="s">
        <v>53</v>
      </c>
      <c r="E84" s="348"/>
      <c r="F84" s="356"/>
      <c r="G84" s="357">
        <f t="shared" ref="G84:L84" si="1">G85</f>
        <v>0.09</v>
      </c>
      <c r="H84" s="358" t="str">
        <f t="shared" si="1"/>
        <v>)*(1.67-1)</v>
      </c>
      <c r="I84" s="356">
        <f t="shared" si="1"/>
        <v>1.0469999999999999</v>
      </c>
      <c r="J84" s="352">
        <f t="shared" si="1"/>
        <v>3.41</v>
      </c>
      <c r="K84" s="356">
        <f t="shared" si="1"/>
        <v>24.23</v>
      </c>
      <c r="L84" s="352">
        <f t="shared" si="1"/>
        <v>82.62</v>
      </c>
    </row>
    <row r="85" spans="1:27" ht="14.25" x14ac:dyDescent="0.2">
      <c r="A85" s="354"/>
      <c r="B85" s="354"/>
      <c r="C85" s="355"/>
      <c r="D85" s="355" t="s">
        <v>54</v>
      </c>
      <c r="E85" s="348"/>
      <c r="F85" s="356"/>
      <c r="G85" s="357">
        <f>[88]Source!AN813</f>
        <v>0.09</v>
      </c>
      <c r="H85" s="358" t="s">
        <v>63</v>
      </c>
      <c r="I85" s="356">
        <f>[88]Source!AV813</f>
        <v>1.0469999999999999</v>
      </c>
      <c r="J85" s="352">
        <f>ROUND(F72*G85*I85*(1.67-1), 2)</f>
        <v>3.41</v>
      </c>
      <c r="K85" s="356">
        <f>IF([88]Source!BS813&lt;&gt; 0, [88]Source!BS813, 1)</f>
        <v>24.23</v>
      </c>
      <c r="L85" s="352">
        <f>ROUND(F72*G85*I85*(1.67-1)*K85, 2)</f>
        <v>82.62</v>
      </c>
      <c r="W85" s="326">
        <f>J85</f>
        <v>3.41</v>
      </c>
    </row>
    <row r="86" spans="1:27" ht="14.25" x14ac:dyDescent="0.2">
      <c r="A86" s="354"/>
      <c r="B86" s="354"/>
      <c r="C86" s="355"/>
      <c r="D86" s="355" t="s">
        <v>59</v>
      </c>
      <c r="E86" s="348" t="s">
        <v>57</v>
      </c>
      <c r="F86" s="356">
        <f>175</f>
        <v>175</v>
      </c>
      <c r="G86" s="357"/>
      <c r="H86" s="348"/>
      <c r="I86" s="356"/>
      <c r="J86" s="352">
        <f>ROUND(J85*(F86/100), 2)</f>
        <v>5.97</v>
      </c>
      <c r="K86" s="356">
        <f>157</f>
        <v>157</v>
      </c>
      <c r="L86" s="352">
        <f>ROUND(L85*(K86/100), 2)</f>
        <v>129.71</v>
      </c>
    </row>
    <row r="87" spans="1:27" ht="15" x14ac:dyDescent="0.25">
      <c r="I87" s="641">
        <f>J86+J85</f>
        <v>9.3800000000000008</v>
      </c>
      <c r="J87" s="641"/>
      <c r="K87" s="641">
        <f>L86+L85</f>
        <v>212.33</v>
      </c>
      <c r="L87" s="641"/>
      <c r="O87" s="353">
        <f>I87</f>
        <v>9.3800000000000008</v>
      </c>
      <c r="P87" s="353">
        <f>K87</f>
        <v>212.33</v>
      </c>
      <c r="X87" s="326">
        <f>IF([88]Source!BI813&lt;=1,I87, 0)</f>
        <v>9.3800000000000008</v>
      </c>
      <c r="Y87" s="326">
        <f>IF([88]Source!BI813=2,I87, 0)</f>
        <v>0</v>
      </c>
      <c r="Z87" s="326">
        <f>IF([88]Source!BI813=3,I87, 0)</f>
        <v>0</v>
      </c>
      <c r="AA87" s="326">
        <f>IF([88]Source!BI813=4,I87, 0)</f>
        <v>0</v>
      </c>
    </row>
    <row r="89" spans="1:27" ht="15" x14ac:dyDescent="0.25">
      <c r="A89" s="359"/>
      <c r="B89" s="359"/>
      <c r="C89" s="360"/>
      <c r="D89" s="360" t="s">
        <v>64</v>
      </c>
      <c r="E89" s="361"/>
      <c r="F89" s="362"/>
      <c r="G89" s="363"/>
      <c r="H89" s="364"/>
      <c r="I89" s="641">
        <f>I82+I87</f>
        <v>1514.76</v>
      </c>
      <c r="J89" s="641"/>
      <c r="K89" s="641">
        <f>K82+K87</f>
        <v>29476.92</v>
      </c>
      <c r="L89" s="641"/>
    </row>
    <row r="90" spans="1:27" ht="125.25" x14ac:dyDescent="0.2">
      <c r="A90" s="346">
        <v>4</v>
      </c>
      <c r="B90" s="346" t="str">
        <f>[88]Source!E815</f>
        <v>186</v>
      </c>
      <c r="C90" s="347" t="str">
        <f>[88]Source!F815</f>
        <v>МКЭ-33-235/8-1 от 12.03.2018г.</v>
      </c>
      <c r="D90" s="347" t="s">
        <v>292</v>
      </c>
      <c r="E90" s="348" t="str">
        <f>[88]Source!H815</f>
        <v>м2</v>
      </c>
      <c r="F90" s="329">
        <f>[88]Source!I815</f>
        <v>35.380000000000003</v>
      </c>
      <c r="G90" s="412">
        <f>J90/F90</f>
        <v>29.12</v>
      </c>
      <c r="H90" s="410">
        <v>1.02</v>
      </c>
      <c r="I90" s="411">
        <v>1</v>
      </c>
      <c r="J90" s="412">
        <f>L90/K90</f>
        <v>1030.3699999999999</v>
      </c>
      <c r="K90" s="411">
        <v>5.58</v>
      </c>
      <c r="L90" s="412">
        <f>159.32*H90*F90</f>
        <v>5749.48</v>
      </c>
      <c r="Q90" s="326">
        <f>ROUND(([88]Source!DN815/100)*ROUND((ROUND(([88]Source!AF815*[88]Source!AV815*[88]Source!I815),2)),2), 2)</f>
        <v>0</v>
      </c>
      <c r="R90" s="326">
        <f>[88]Source!X815</f>
        <v>0</v>
      </c>
      <c r="S90" s="326">
        <f>ROUND(([88]Source!DO815/100)*ROUND((ROUND(([88]Source!AF815*[88]Source!AV815*[88]Source!I815),2)),2), 2)</f>
        <v>0</v>
      </c>
      <c r="T90" s="326">
        <f>[88]Source!Y815</f>
        <v>0</v>
      </c>
      <c r="U90" s="326">
        <f>ROUND((175/100)*ROUND((ROUND(([88]Source!AE815*[88]Source!AV815*[88]Source!I815),2)),2), 2)</f>
        <v>0</v>
      </c>
      <c r="V90" s="326">
        <f>ROUND((157/100)*ROUND(ROUND((ROUND(([88]Source!AE815*[88]Source!AV815*[88]Source!I815),2)*[88]Source!BS815),2), 2), 2)</f>
        <v>0</v>
      </c>
    </row>
    <row r="91" spans="1:27" x14ac:dyDescent="0.2">
      <c r="D91" s="402" t="str">
        <f>"Объем: "&amp;[88]Source!I815&amp;"=9,71+"&amp;"25,67"</f>
        <v>Объем: 35,38=9,71+25,67</v>
      </c>
    </row>
    <row r="92" spans="1:27" ht="15" x14ac:dyDescent="0.25">
      <c r="A92" s="365"/>
      <c r="B92" s="365"/>
      <c r="C92" s="365"/>
      <c r="D92" s="365"/>
      <c r="E92" s="365"/>
      <c r="F92" s="365"/>
      <c r="G92" s="365"/>
      <c r="H92" s="365"/>
      <c r="I92" s="641">
        <f>J90</f>
        <v>1030.3699999999999</v>
      </c>
      <c r="J92" s="641"/>
      <c r="K92" s="641">
        <f>L90</f>
        <v>5749.48</v>
      </c>
      <c r="L92" s="641"/>
      <c r="O92" s="353">
        <f>J90</f>
        <v>1030.3699999999999</v>
      </c>
      <c r="P92" s="353">
        <f>L90</f>
        <v>5749.48</v>
      </c>
      <c r="X92" s="326">
        <f>IF([88]Source!BI815&lt;=1,J90-0, 0)</f>
        <v>1030.3699999999999</v>
      </c>
      <c r="Y92" s="326">
        <f>IF([88]Source!BI815=2,J90-0, 0)</f>
        <v>0</v>
      </c>
      <c r="Z92" s="326">
        <f>IF([88]Source!BI815=3,J90-0, 0)</f>
        <v>0</v>
      </c>
      <c r="AA92" s="326">
        <f>IF([88]Source!BI815=4,J90,0)</f>
        <v>0</v>
      </c>
    </row>
    <row r="93" spans="1:27" ht="125.25" x14ac:dyDescent="0.2">
      <c r="A93" s="346">
        <v>5</v>
      </c>
      <c r="B93" s="346" t="str">
        <f>[88]Source!E817</f>
        <v>187</v>
      </c>
      <c r="C93" s="347" t="str">
        <f>[88]Source!F817</f>
        <v>МКЭ-33-355/9-1 от 21.03.2019г.</v>
      </c>
      <c r="D93" s="347" t="s">
        <v>293</v>
      </c>
      <c r="E93" s="348" t="str">
        <f>[88]Source!H817</f>
        <v>м2</v>
      </c>
      <c r="F93" s="329">
        <f>[88]Source!I817</f>
        <v>18.63</v>
      </c>
      <c r="G93" s="412">
        <f>J93/F93</f>
        <v>33.81</v>
      </c>
      <c r="H93" s="410">
        <v>1.02</v>
      </c>
      <c r="I93" s="411">
        <v>1</v>
      </c>
      <c r="J93" s="412">
        <f>L93/K93</f>
        <v>629.95000000000005</v>
      </c>
      <c r="K93" s="411">
        <v>5.58</v>
      </c>
      <c r="L93" s="412">
        <f>184.98*H93*F93</f>
        <v>3515.1</v>
      </c>
      <c r="Q93" s="326">
        <f>ROUND(([88]Source!DN817/100)*ROUND((ROUND(([88]Source!AF817*[88]Source!AV817*[88]Source!I817),2)),2), 2)</f>
        <v>0</v>
      </c>
      <c r="R93" s="326">
        <f>[88]Source!X817</f>
        <v>0</v>
      </c>
      <c r="S93" s="326">
        <f>ROUND(([88]Source!DO817/100)*ROUND((ROUND(([88]Source!AF817*[88]Source!AV817*[88]Source!I817),2)),2), 2)</f>
        <v>0</v>
      </c>
      <c r="T93" s="326">
        <f>[88]Source!Y817</f>
        <v>0</v>
      </c>
      <c r="U93" s="326">
        <f>ROUND((175/100)*ROUND((ROUND(([88]Source!AE817*[88]Source!AV817*[88]Source!I817),2)),2), 2)</f>
        <v>0</v>
      </c>
      <c r="V93" s="326">
        <f>ROUND((157/100)*ROUND(ROUND((ROUND(([88]Source!AE817*[88]Source!AV817*[88]Source!I817),2)*[88]Source!BS817),2), 2), 2)</f>
        <v>0</v>
      </c>
    </row>
    <row r="94" spans="1:27" ht="15" x14ac:dyDescent="0.25">
      <c r="A94" s="365"/>
      <c r="B94" s="365"/>
      <c r="C94" s="365"/>
      <c r="D94" s="365"/>
      <c r="E94" s="365"/>
      <c r="F94" s="365"/>
      <c r="G94" s="365"/>
      <c r="H94" s="365"/>
      <c r="I94" s="641">
        <f>J93</f>
        <v>629.95000000000005</v>
      </c>
      <c r="J94" s="641"/>
      <c r="K94" s="641">
        <f>L93</f>
        <v>3515.1</v>
      </c>
      <c r="L94" s="641"/>
      <c r="O94" s="353">
        <f>J93</f>
        <v>629.95000000000005</v>
      </c>
      <c r="P94" s="353">
        <f>L93</f>
        <v>3515.1</v>
      </c>
      <c r="X94" s="326">
        <f>IF([88]Source!BI817&lt;=1,J93-0, 0)</f>
        <v>629.95000000000005</v>
      </c>
      <c r="Y94" s="326">
        <f>IF([88]Source!BI817=2,J93-0, 0)</f>
        <v>0</v>
      </c>
      <c r="Z94" s="326">
        <f>IF([88]Source!BI817=3,J93-0, 0)</f>
        <v>0</v>
      </c>
      <c r="AA94" s="326">
        <f>IF([88]Source!BI817=4,J93,0)</f>
        <v>0</v>
      </c>
    </row>
    <row r="96" spans="1:27" ht="15" x14ac:dyDescent="0.25">
      <c r="A96" s="637" t="str">
        <f>CONCATENATE("Итого по подразделу: ",IF([88]Source!G839&lt;&gt;"Новый подраздел", [88]Source!G839, ""))</f>
        <v>Итого по подразделу: ПП2-7.1</v>
      </c>
      <c r="B96" s="637"/>
      <c r="C96" s="637"/>
      <c r="D96" s="637"/>
      <c r="E96" s="637"/>
      <c r="F96" s="637"/>
      <c r="G96" s="637"/>
      <c r="H96" s="637"/>
      <c r="I96" s="638">
        <f>SUM(O52:O95)</f>
        <v>13923.54</v>
      </c>
      <c r="J96" s="639"/>
      <c r="K96" s="638">
        <f>SUM(P52:P95)</f>
        <v>105915.55</v>
      </c>
      <c r="L96" s="639"/>
    </row>
    <row r="97" spans="1:38" hidden="1" x14ac:dyDescent="0.2">
      <c r="A97" s="326" t="s">
        <v>67</v>
      </c>
      <c r="J97" s="326">
        <f>SUM(AC52:AC96)</f>
        <v>0</v>
      </c>
      <c r="K97" s="326">
        <f>SUM(AD52:AD96)</f>
        <v>0</v>
      </c>
    </row>
    <row r="98" spans="1:38" hidden="1" x14ac:dyDescent="0.2">
      <c r="A98" s="326" t="s">
        <v>68</v>
      </c>
      <c r="J98" s="326">
        <f>SUM(AE52:AE97)</f>
        <v>0</v>
      </c>
      <c r="K98" s="326">
        <f>SUM(AF52:AF97)</f>
        <v>0</v>
      </c>
    </row>
    <row r="99" spans="1:38" ht="14.25" hidden="1" x14ac:dyDescent="0.2">
      <c r="D99" s="714" t="str">
        <f>[88]Source!H845</f>
        <v>Стоимость материалов (всего)</v>
      </c>
      <c r="E99" s="714"/>
      <c r="F99" s="714"/>
      <c r="G99" s="714"/>
      <c r="H99" s="714"/>
      <c r="I99" s="714"/>
      <c r="J99" s="714"/>
      <c r="K99" s="670">
        <f>IF([88]Source!P845=0, "", [88]Source!P845)</f>
        <v>35730.519999999997</v>
      </c>
      <c r="L99" s="670"/>
    </row>
    <row r="100" spans="1:38" ht="14.25" hidden="1" x14ac:dyDescent="0.2">
      <c r="D100" s="714" t="str">
        <f>[88]Source!H853</f>
        <v>ЗП машинистов</v>
      </c>
      <c r="E100" s="714"/>
      <c r="F100" s="714"/>
      <c r="G100" s="714"/>
      <c r="H100" s="714"/>
      <c r="I100" s="714"/>
      <c r="J100" s="714"/>
      <c r="K100" s="670">
        <f>IF([88]Source!P853=0, "", [88]Source!P853)</f>
        <v>531.13</v>
      </c>
      <c r="L100" s="670"/>
    </row>
    <row r="101" spans="1:38" ht="14.25" hidden="1" x14ac:dyDescent="0.2">
      <c r="D101" s="714" t="str">
        <f>[88]Source!H854</f>
        <v>Основная ЗП рабочих</v>
      </c>
      <c r="E101" s="714"/>
      <c r="F101" s="714"/>
      <c r="G101" s="714"/>
      <c r="H101" s="714"/>
      <c r="I101" s="714"/>
      <c r="J101" s="714"/>
      <c r="K101" s="670">
        <f>IF([88]Source!P854=0, "", [88]Source!P854)</f>
        <v>29311.759999999998</v>
      </c>
      <c r="L101" s="670"/>
    </row>
    <row r="102" spans="1:38" ht="14.25" hidden="1" x14ac:dyDescent="0.2">
      <c r="D102" s="714" t="str">
        <f>[88]Source!H864</f>
        <v>Накладные расходы</v>
      </c>
      <c r="E102" s="714"/>
      <c r="F102" s="714"/>
      <c r="G102" s="714"/>
      <c r="H102" s="714"/>
      <c r="I102" s="714"/>
      <c r="J102" s="714"/>
      <c r="K102" s="670">
        <f>IF([88]Source!P864=0, "", [88]Source!P864)</f>
        <v>26563.21</v>
      </c>
      <c r="L102" s="670"/>
    </row>
    <row r="103" spans="1:38" ht="14.25" hidden="1" x14ac:dyDescent="0.2">
      <c r="D103" s="714" t="str">
        <f>[88]Source!H865</f>
        <v>Сметная прибыль</v>
      </c>
      <c r="E103" s="714"/>
      <c r="F103" s="714"/>
      <c r="G103" s="714"/>
      <c r="H103" s="714"/>
      <c r="I103" s="714"/>
      <c r="J103" s="714"/>
      <c r="K103" s="670">
        <f>IF([88]Source!P865=0, "", [88]Source!P865)</f>
        <v>12666.76</v>
      </c>
      <c r="L103" s="670"/>
    </row>
    <row r="105" spans="1:38" ht="15" x14ac:dyDescent="0.25">
      <c r="A105" s="637" t="str">
        <f>CONCATENATE("Итого по разделу: ",IF([88]Source!G868&lt;&gt;"Новый раздел", [88]Source!G868, ""))</f>
        <v>Итого по разделу: Противодымная вентиляция</v>
      </c>
      <c r="B105" s="637"/>
      <c r="C105" s="637"/>
      <c r="D105" s="637"/>
      <c r="E105" s="637"/>
      <c r="F105" s="637"/>
      <c r="G105" s="637"/>
      <c r="H105" s="637"/>
      <c r="I105" s="638">
        <f>SUM(O50:O104)</f>
        <v>13923.54</v>
      </c>
      <c r="J105" s="639"/>
      <c r="K105" s="638">
        <f>SUM(P50:P104)</f>
        <v>105915.55</v>
      </c>
      <c r="L105" s="639"/>
    </row>
    <row r="106" spans="1:38" hidden="1" x14ac:dyDescent="0.2">
      <c r="A106" s="326" t="s">
        <v>67</v>
      </c>
      <c r="J106" s="326">
        <f>SUM(AC50:AC105)</f>
        <v>0</v>
      </c>
      <c r="K106" s="326">
        <f>SUM(AD50:AD105)</f>
        <v>0</v>
      </c>
    </row>
    <row r="107" spans="1:38" hidden="1" x14ac:dyDescent="0.2">
      <c r="A107" s="326" t="s">
        <v>68</v>
      </c>
      <c r="J107" s="326">
        <f>SUM(AE50:AE106)</f>
        <v>0</v>
      </c>
      <c r="K107" s="326">
        <f>SUM(AF50:AF106)</f>
        <v>0</v>
      </c>
    </row>
    <row r="109" spans="1:38" ht="45" x14ac:dyDescent="0.25">
      <c r="A109" s="637" t="str">
        <f>CONCATENATE("Итого по локальной смете: ",IF([88]Source!G933&lt;&gt;"Новая локальная смета", [88]Source!G933, ""))</f>
        <v>Итого по локальной смете: Станционный комплекс "Аминьевское шоссе". Вестибюль №2, камера съездов, ТПП. Внутренние инженерные системы(не включая ТПП). Отопление, вентиляция, кондиционирование, дымоудаление. Дымоудаление</v>
      </c>
      <c r="B109" s="637"/>
      <c r="C109" s="637"/>
      <c r="D109" s="637"/>
      <c r="E109" s="637"/>
      <c r="F109" s="637"/>
      <c r="G109" s="637"/>
      <c r="H109" s="637"/>
      <c r="I109" s="638">
        <f>SUM(O42:O108)</f>
        <v>13923.54</v>
      </c>
      <c r="J109" s="639"/>
      <c r="K109" s="638">
        <f>SUM(P42:P108)</f>
        <v>105915.55</v>
      </c>
      <c r="L109" s="639"/>
      <c r="AL109" s="366" t="str">
        <f>CONCATENATE("Итого по локальной смете: ",IF([88]Source!G933&lt;&gt;"Новая локальная смета", [88]Source!G933, ""))</f>
        <v>Итого по локальной смете: Станционный комплекс "Аминьевское шоссе". Вестибюль №2, камера съездов, ТПП. Внутренние инженерные системы(не включая ТПП). Отопление, вентиляция, кондиционирование, дымоудаление. Дымоудаление</v>
      </c>
    </row>
    <row r="110" spans="1:38" hidden="1" x14ac:dyDescent="0.2">
      <c r="A110" s="326" t="s">
        <v>67</v>
      </c>
      <c r="J110" s="326">
        <f>SUM(AC42:AC109)</f>
        <v>0</v>
      </c>
      <c r="K110" s="326">
        <f>SUM(AD42:AD109)</f>
        <v>0</v>
      </c>
    </row>
    <row r="111" spans="1:38" hidden="1" x14ac:dyDescent="0.2">
      <c r="A111" s="326" t="s">
        <v>68</v>
      </c>
      <c r="J111" s="326">
        <f>SUM(AE42:AE110)</f>
        <v>0</v>
      </c>
      <c r="K111" s="326">
        <f>SUM(AF42:AF110)</f>
        <v>0</v>
      </c>
    </row>
    <row r="112" spans="1:38" ht="14.25" x14ac:dyDescent="0.2">
      <c r="D112" s="367" t="str">
        <f>[88]Source!H939</f>
        <v>Стоимость материалов (всего)</v>
      </c>
      <c r="E112" s="367"/>
      <c r="F112" s="367"/>
      <c r="G112" s="367"/>
      <c r="H112" s="367"/>
      <c r="I112" s="640">
        <f>SUMIF(D17:D108,"МР",J17:J108)+J93+J90+J59</f>
        <v>10208.93</v>
      </c>
      <c r="J112" s="636"/>
      <c r="K112" s="670">
        <f>IF([88]Source!P939=0, "", [88]Source!P939)</f>
        <v>35730.519999999997</v>
      </c>
      <c r="L112" s="670"/>
    </row>
    <row r="113" spans="1:256" ht="14.25" x14ac:dyDescent="0.2">
      <c r="D113" s="367" t="str">
        <f>[88]Source!H947</f>
        <v>ЗП машинистов</v>
      </c>
      <c r="E113" s="367"/>
      <c r="F113" s="367"/>
      <c r="G113" s="367"/>
      <c r="H113" s="367"/>
      <c r="I113" s="636">
        <f>SUMIF(D18:D108,"в т.ч. ЗПМ",J18:J108)</f>
        <v>21.92</v>
      </c>
      <c r="J113" s="636"/>
      <c r="K113" s="670">
        <f>IF([88]Source!P947=0, "", [88]Source!P947)</f>
        <v>531.13</v>
      </c>
      <c r="L113" s="670"/>
    </row>
    <row r="114" spans="1:256" ht="14.25" x14ac:dyDescent="0.2">
      <c r="D114" s="367" t="str">
        <f>[88]Source!H948</f>
        <v>Основная ЗП рабочих</v>
      </c>
      <c r="E114" s="367"/>
      <c r="F114" s="367"/>
      <c r="G114" s="367"/>
      <c r="H114" s="367"/>
      <c r="I114" s="636">
        <f>SUMIF(D19:D108,"ЗП",J19:J108)</f>
        <v>1209.73</v>
      </c>
      <c r="J114" s="636"/>
      <c r="K114" s="670">
        <f>IF([88]Source!P948=0, "", [88]Source!P948)</f>
        <v>29311.759999999998</v>
      </c>
      <c r="L114" s="670"/>
    </row>
    <row r="115" spans="1:256" ht="14.25" x14ac:dyDescent="0.2">
      <c r="D115" s="367" t="str">
        <f>[88]Source!H958</f>
        <v>Накладные расходы</v>
      </c>
      <c r="E115" s="367"/>
      <c r="F115" s="367"/>
      <c r="G115" s="367"/>
      <c r="H115" s="367"/>
      <c r="I115" s="636">
        <f>SUMIF(D20:D108,"НР от ЗП",J20:J108)</f>
        <v>1366.32</v>
      </c>
      <c r="J115" s="636"/>
      <c r="K115" s="670">
        <f>IF([88]Source!P958=0, "", [88]Source!P958)</f>
        <v>26563.21</v>
      </c>
      <c r="L115" s="670"/>
    </row>
    <row r="116" spans="1:256" ht="14.25" x14ac:dyDescent="0.2">
      <c r="D116" s="367" t="str">
        <f>[88]Source!H959</f>
        <v>Сметная прибыль</v>
      </c>
      <c r="E116" s="367"/>
      <c r="F116" s="367"/>
      <c r="G116" s="367"/>
      <c r="H116" s="367"/>
      <c r="I116" s="636">
        <f>SUMIF(D21:D108,"СП от ЗП",J21:J108)</f>
        <v>1023.71</v>
      </c>
      <c r="J116" s="636"/>
      <c r="K116" s="670">
        <f>IF([88]Source!P959=0, "", [88]Source!P959)</f>
        <v>12666.76</v>
      </c>
      <c r="L116" s="670"/>
    </row>
    <row r="118" spans="1:256" x14ac:dyDescent="0.2">
      <c r="A118" s="371"/>
      <c r="B118" s="371"/>
      <c r="C118" s="371"/>
      <c r="D118" s="715" t="s">
        <v>191</v>
      </c>
      <c r="E118" s="715"/>
      <c r="F118" s="715"/>
      <c r="G118" s="715"/>
      <c r="H118" s="715"/>
      <c r="I118" s="403"/>
      <c r="J118" s="404">
        <v>0</v>
      </c>
      <c r="K118" s="404"/>
      <c r="L118" s="404">
        <v>0</v>
      </c>
      <c r="M118" s="370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371"/>
      <c r="Y118" s="371"/>
      <c r="Z118" s="371"/>
      <c r="AA118" s="371"/>
      <c r="AB118" s="371"/>
      <c r="AC118" s="371"/>
      <c r="AD118" s="371"/>
      <c r="AE118" s="371"/>
      <c r="AF118" s="371"/>
      <c r="AG118" s="371"/>
      <c r="AH118" s="371"/>
      <c r="AI118" s="371"/>
      <c r="AJ118" s="371"/>
      <c r="AK118" s="371"/>
      <c r="AL118" s="371"/>
      <c r="AM118" s="371"/>
      <c r="AN118" s="371"/>
      <c r="AO118" s="371"/>
      <c r="AP118" s="371"/>
      <c r="AQ118" s="371"/>
      <c r="AR118" s="371"/>
      <c r="AS118" s="371"/>
      <c r="AT118" s="371"/>
      <c r="AU118" s="371"/>
      <c r="AV118" s="371"/>
      <c r="AW118" s="371"/>
      <c r="AX118" s="371"/>
      <c r="AY118" s="371"/>
      <c r="AZ118" s="371"/>
      <c r="BA118" s="371"/>
      <c r="BB118" s="371"/>
      <c r="BC118" s="371"/>
      <c r="BD118" s="371"/>
      <c r="BE118" s="371"/>
      <c r="BF118" s="371"/>
      <c r="BG118" s="371"/>
      <c r="BH118" s="371"/>
      <c r="BI118" s="371"/>
      <c r="BJ118" s="371"/>
      <c r="BK118" s="371"/>
      <c r="BL118" s="371"/>
      <c r="BM118" s="371"/>
      <c r="BN118" s="371"/>
      <c r="BO118" s="371"/>
      <c r="BP118" s="371"/>
      <c r="BQ118" s="371"/>
      <c r="BR118" s="371"/>
      <c r="BS118" s="371"/>
      <c r="BT118" s="371"/>
      <c r="BU118" s="371"/>
      <c r="BV118" s="371"/>
      <c r="BW118" s="371"/>
      <c r="BX118" s="371"/>
      <c r="BY118" s="371"/>
      <c r="BZ118" s="371"/>
      <c r="CA118" s="371"/>
      <c r="CB118" s="371"/>
      <c r="CC118" s="371"/>
      <c r="CD118" s="371"/>
      <c r="CE118" s="371"/>
      <c r="CF118" s="371"/>
      <c r="CG118" s="371"/>
      <c r="CH118" s="371"/>
      <c r="CI118" s="371"/>
      <c r="CJ118" s="371"/>
      <c r="CK118" s="371"/>
      <c r="CL118" s="371"/>
      <c r="CM118" s="371"/>
      <c r="CN118" s="371"/>
      <c r="CO118" s="371"/>
      <c r="CP118" s="371"/>
      <c r="CQ118" s="371"/>
      <c r="CR118" s="371"/>
      <c r="CS118" s="371"/>
      <c r="CT118" s="371"/>
      <c r="CU118" s="371"/>
      <c r="CV118" s="371"/>
      <c r="CW118" s="371"/>
      <c r="CX118" s="371"/>
      <c r="CY118" s="371"/>
      <c r="CZ118" s="371"/>
      <c r="DA118" s="371"/>
      <c r="DB118" s="371"/>
      <c r="DC118" s="371"/>
      <c r="DD118" s="371"/>
      <c r="DE118" s="371"/>
      <c r="DF118" s="371"/>
      <c r="DG118" s="371"/>
      <c r="DH118" s="371"/>
      <c r="DI118" s="371"/>
      <c r="DJ118" s="371"/>
      <c r="DK118" s="371"/>
      <c r="DL118" s="371"/>
      <c r="DM118" s="371"/>
      <c r="DN118" s="371"/>
      <c r="DO118" s="371"/>
      <c r="DP118" s="371"/>
      <c r="DQ118" s="371"/>
      <c r="DR118" s="371"/>
      <c r="DS118" s="371"/>
      <c r="DT118" s="371"/>
      <c r="DU118" s="371"/>
      <c r="DV118" s="371"/>
      <c r="DW118" s="371"/>
      <c r="DX118" s="371"/>
      <c r="DY118" s="371"/>
      <c r="DZ118" s="371"/>
      <c r="EA118" s="371"/>
      <c r="EB118" s="371"/>
      <c r="EC118" s="371"/>
      <c r="ED118" s="371"/>
      <c r="EE118" s="371"/>
      <c r="EF118" s="371"/>
      <c r="EG118" s="371"/>
      <c r="EH118" s="371"/>
      <c r="EI118" s="371"/>
      <c r="EJ118" s="371"/>
      <c r="EK118" s="371"/>
      <c r="EL118" s="371"/>
      <c r="EM118" s="371"/>
      <c r="EN118" s="371"/>
      <c r="EO118" s="371"/>
      <c r="EP118" s="371"/>
      <c r="EQ118" s="371"/>
      <c r="ER118" s="371"/>
      <c r="ES118" s="371"/>
      <c r="ET118" s="371"/>
      <c r="EU118" s="371"/>
      <c r="EV118" s="371"/>
      <c r="EW118" s="371"/>
      <c r="EX118" s="371"/>
      <c r="EY118" s="371"/>
      <c r="EZ118" s="371"/>
      <c r="FA118" s="371"/>
      <c r="FB118" s="371"/>
      <c r="FC118" s="371"/>
      <c r="FD118" s="371"/>
      <c r="FE118" s="371"/>
      <c r="FF118" s="371"/>
      <c r="FG118" s="371"/>
      <c r="FH118" s="371"/>
      <c r="FI118" s="371"/>
      <c r="FJ118" s="371"/>
      <c r="FK118" s="371"/>
      <c r="FL118" s="371"/>
      <c r="FM118" s="371"/>
      <c r="FN118" s="371"/>
      <c r="FO118" s="371"/>
      <c r="FP118" s="371"/>
      <c r="FQ118" s="371"/>
      <c r="FR118" s="371"/>
      <c r="FS118" s="371"/>
      <c r="FT118" s="371"/>
      <c r="FU118" s="371"/>
      <c r="FV118" s="371"/>
      <c r="FW118" s="371"/>
      <c r="FX118" s="371"/>
      <c r="FY118" s="371"/>
      <c r="FZ118" s="371"/>
      <c r="GA118" s="371"/>
      <c r="GB118" s="371"/>
      <c r="GC118" s="371"/>
      <c r="GD118" s="371"/>
      <c r="GE118" s="371"/>
      <c r="GF118" s="371"/>
      <c r="GG118" s="371"/>
      <c r="GH118" s="371"/>
      <c r="GI118" s="371"/>
      <c r="GJ118" s="371"/>
      <c r="GK118" s="371"/>
      <c r="GL118" s="371"/>
      <c r="GM118" s="371"/>
      <c r="GN118" s="371"/>
      <c r="GO118" s="371"/>
      <c r="GP118" s="371"/>
      <c r="GQ118" s="371"/>
      <c r="GR118" s="371"/>
      <c r="GS118" s="371"/>
      <c r="GT118" s="371"/>
      <c r="GU118" s="371"/>
      <c r="GV118" s="371"/>
      <c r="GW118" s="371"/>
      <c r="GX118" s="371"/>
      <c r="GY118" s="371"/>
      <c r="GZ118" s="371"/>
      <c r="HA118" s="371"/>
      <c r="HB118" s="371"/>
      <c r="HC118" s="371"/>
      <c r="HD118" s="371"/>
      <c r="HE118" s="371"/>
      <c r="HF118" s="371"/>
      <c r="HG118" s="371"/>
      <c r="HH118" s="371"/>
      <c r="HI118" s="371"/>
      <c r="HJ118" s="371"/>
      <c r="HK118" s="371"/>
      <c r="HL118" s="371"/>
      <c r="HM118" s="371"/>
      <c r="HN118" s="371"/>
      <c r="HO118" s="371"/>
      <c r="HP118" s="371"/>
      <c r="HQ118" s="371"/>
      <c r="HR118" s="371"/>
      <c r="HS118" s="371"/>
      <c r="HT118" s="371"/>
      <c r="HU118" s="371"/>
      <c r="HV118" s="371"/>
      <c r="HW118" s="371"/>
      <c r="HX118" s="371"/>
      <c r="HY118" s="371"/>
      <c r="HZ118" s="371"/>
      <c r="IA118" s="371"/>
      <c r="IB118" s="371"/>
      <c r="IC118" s="371"/>
      <c r="ID118" s="371"/>
      <c r="IE118" s="371"/>
      <c r="IF118" s="371"/>
      <c r="IG118" s="371"/>
      <c r="IH118" s="371"/>
      <c r="II118" s="371"/>
      <c r="IJ118" s="371"/>
      <c r="IK118" s="371"/>
      <c r="IL118" s="371"/>
      <c r="IM118" s="371"/>
      <c r="IN118" s="371"/>
      <c r="IO118" s="371"/>
      <c r="IP118" s="371"/>
      <c r="IQ118" s="371"/>
      <c r="IR118" s="371"/>
      <c r="IS118" s="371"/>
      <c r="IT118" s="371"/>
      <c r="IU118" s="371"/>
      <c r="IV118" s="371"/>
    </row>
    <row r="119" spans="1:256" x14ac:dyDescent="0.2">
      <c r="A119" s="405"/>
      <c r="B119" s="405"/>
      <c r="C119" s="405"/>
      <c r="D119" s="715" t="s">
        <v>192</v>
      </c>
      <c r="E119" s="715"/>
      <c r="F119" s="715"/>
      <c r="G119" s="715"/>
      <c r="H119" s="715"/>
      <c r="I119" s="403"/>
      <c r="J119" s="404">
        <v>0</v>
      </c>
      <c r="K119" s="406"/>
      <c r="L119" s="404">
        <v>0</v>
      </c>
      <c r="M119" s="370"/>
      <c r="N119" s="373"/>
      <c r="O119" s="373"/>
      <c r="P119" s="373"/>
      <c r="Q119" s="373"/>
      <c r="R119" s="373"/>
      <c r="S119" s="373"/>
      <c r="T119" s="373"/>
      <c r="U119" s="373"/>
      <c r="V119" s="373"/>
      <c r="W119" s="373"/>
      <c r="X119" s="373"/>
      <c r="Y119" s="373"/>
      <c r="Z119" s="373"/>
      <c r="AA119" s="373"/>
      <c r="AB119" s="373"/>
      <c r="AC119" s="373"/>
      <c r="AD119" s="373"/>
      <c r="AE119" s="373"/>
      <c r="AF119" s="373"/>
      <c r="AG119" s="373"/>
      <c r="AH119" s="373"/>
      <c r="AI119" s="373"/>
      <c r="AJ119" s="373"/>
      <c r="AK119" s="373"/>
      <c r="AL119" s="373"/>
      <c r="AM119" s="373"/>
      <c r="AN119" s="373"/>
      <c r="AO119" s="373"/>
      <c r="AP119" s="373"/>
      <c r="AQ119" s="373"/>
      <c r="AR119" s="373"/>
      <c r="AS119" s="373"/>
      <c r="AT119" s="373"/>
      <c r="AU119" s="373"/>
      <c r="AV119" s="373"/>
      <c r="AW119" s="373"/>
      <c r="AX119" s="373"/>
      <c r="AY119" s="373"/>
      <c r="AZ119" s="373"/>
      <c r="BA119" s="373"/>
      <c r="BB119" s="373"/>
      <c r="BC119" s="373"/>
      <c r="BD119" s="373"/>
      <c r="BE119" s="373"/>
      <c r="BF119" s="373"/>
      <c r="BG119" s="373"/>
      <c r="BH119" s="373"/>
      <c r="BI119" s="373"/>
      <c r="BJ119" s="373"/>
      <c r="BK119" s="373"/>
      <c r="BL119" s="373"/>
      <c r="BM119" s="373"/>
      <c r="BN119" s="373"/>
      <c r="BO119" s="373"/>
      <c r="BP119" s="373"/>
      <c r="BQ119" s="373"/>
      <c r="BR119" s="373"/>
      <c r="BS119" s="373"/>
      <c r="BT119" s="373"/>
      <c r="BU119" s="373"/>
      <c r="BV119" s="373"/>
      <c r="BW119" s="373"/>
      <c r="BX119" s="373"/>
      <c r="BY119" s="373"/>
      <c r="BZ119" s="373"/>
      <c r="CA119" s="373"/>
      <c r="CB119" s="373"/>
      <c r="CC119" s="373"/>
      <c r="CD119" s="373"/>
      <c r="CE119" s="373"/>
      <c r="CF119" s="373"/>
      <c r="CG119" s="373"/>
      <c r="CH119" s="373"/>
      <c r="CI119" s="373"/>
      <c r="CJ119" s="373"/>
      <c r="CK119" s="373"/>
      <c r="CL119" s="373"/>
      <c r="CM119" s="373"/>
      <c r="CN119" s="373"/>
      <c r="CO119" s="373"/>
      <c r="CP119" s="373"/>
      <c r="CQ119" s="373"/>
      <c r="CR119" s="373"/>
      <c r="CS119" s="373"/>
      <c r="CT119" s="373"/>
      <c r="CU119" s="373"/>
      <c r="CV119" s="373"/>
      <c r="CW119" s="373"/>
      <c r="CX119" s="373"/>
      <c r="CY119" s="373"/>
      <c r="CZ119" s="373"/>
      <c r="DA119" s="373"/>
      <c r="DB119" s="373"/>
      <c r="DC119" s="373"/>
      <c r="DD119" s="373"/>
      <c r="DE119" s="373"/>
      <c r="DF119" s="373"/>
      <c r="DG119" s="373"/>
      <c r="DH119" s="373"/>
      <c r="DI119" s="373"/>
      <c r="DJ119" s="373"/>
      <c r="DK119" s="373"/>
      <c r="DL119" s="373"/>
      <c r="DM119" s="373"/>
      <c r="DN119" s="373"/>
      <c r="DO119" s="373"/>
      <c r="DP119" s="373"/>
      <c r="DQ119" s="373"/>
      <c r="DR119" s="373"/>
      <c r="DS119" s="373"/>
      <c r="DT119" s="373"/>
      <c r="DU119" s="373"/>
      <c r="DV119" s="373"/>
      <c r="DW119" s="373"/>
      <c r="DX119" s="373"/>
      <c r="DY119" s="373"/>
      <c r="DZ119" s="373"/>
      <c r="EA119" s="373"/>
      <c r="EB119" s="373"/>
      <c r="EC119" s="373"/>
      <c r="ED119" s="373"/>
      <c r="EE119" s="373"/>
      <c r="EF119" s="373"/>
      <c r="EG119" s="373"/>
      <c r="EH119" s="373"/>
      <c r="EI119" s="373"/>
      <c r="EJ119" s="373"/>
      <c r="EK119" s="373"/>
      <c r="EL119" s="373"/>
      <c r="EM119" s="373"/>
      <c r="EN119" s="373"/>
      <c r="EO119" s="373"/>
      <c r="EP119" s="373"/>
      <c r="EQ119" s="373"/>
      <c r="ER119" s="373"/>
      <c r="ES119" s="373"/>
      <c r="ET119" s="373"/>
      <c r="EU119" s="373"/>
      <c r="EV119" s="373"/>
      <c r="EW119" s="373"/>
      <c r="EX119" s="373"/>
      <c r="EY119" s="373"/>
      <c r="EZ119" s="373"/>
      <c r="FA119" s="373"/>
      <c r="FB119" s="373"/>
      <c r="FC119" s="373"/>
      <c r="FD119" s="373"/>
      <c r="FE119" s="373"/>
      <c r="FF119" s="373"/>
      <c r="FG119" s="373"/>
      <c r="FH119" s="373"/>
      <c r="FI119" s="373"/>
      <c r="FJ119" s="373"/>
      <c r="FK119" s="373"/>
      <c r="FL119" s="373"/>
      <c r="FM119" s="373"/>
      <c r="FN119" s="373"/>
      <c r="FO119" s="373"/>
      <c r="FP119" s="373"/>
      <c r="FQ119" s="373"/>
      <c r="FR119" s="373"/>
      <c r="FS119" s="373"/>
      <c r="FT119" s="373"/>
      <c r="FU119" s="373"/>
      <c r="FV119" s="373"/>
      <c r="FW119" s="373"/>
      <c r="FX119" s="373"/>
      <c r="FY119" s="373"/>
      <c r="FZ119" s="373"/>
      <c r="GA119" s="373"/>
      <c r="GB119" s="373"/>
      <c r="GC119" s="373"/>
      <c r="GD119" s="373"/>
      <c r="GE119" s="373"/>
      <c r="GF119" s="373"/>
      <c r="GG119" s="373"/>
      <c r="GH119" s="373"/>
      <c r="GI119" s="373"/>
      <c r="GJ119" s="373"/>
      <c r="GK119" s="373"/>
      <c r="GL119" s="373"/>
      <c r="GM119" s="373"/>
      <c r="GN119" s="373"/>
      <c r="GO119" s="373"/>
      <c r="GP119" s="373"/>
      <c r="GQ119" s="373"/>
      <c r="GR119" s="373"/>
      <c r="GS119" s="373"/>
      <c r="GT119" s="373"/>
      <c r="GU119" s="373"/>
      <c r="GV119" s="373"/>
      <c r="GW119" s="373"/>
      <c r="GX119" s="373"/>
      <c r="GY119" s="373"/>
      <c r="GZ119" s="373"/>
      <c r="HA119" s="373"/>
      <c r="HB119" s="373"/>
      <c r="HC119" s="373"/>
      <c r="HD119" s="373"/>
      <c r="HE119" s="373"/>
      <c r="HF119" s="373"/>
      <c r="HG119" s="373"/>
      <c r="HH119" s="373"/>
      <c r="HI119" s="373"/>
      <c r="HJ119" s="373"/>
      <c r="HK119" s="373"/>
      <c r="HL119" s="373"/>
      <c r="HM119" s="373"/>
      <c r="HN119" s="373"/>
      <c r="HO119" s="373"/>
      <c r="HP119" s="373"/>
      <c r="HQ119" s="373"/>
      <c r="HR119" s="373"/>
      <c r="HS119" s="373"/>
      <c r="HT119" s="373"/>
      <c r="HU119" s="373"/>
      <c r="HV119" s="373"/>
      <c r="HW119" s="373"/>
      <c r="HX119" s="373"/>
      <c r="HY119" s="373"/>
      <c r="HZ119" s="373"/>
      <c r="IA119" s="373"/>
      <c r="IB119" s="373"/>
      <c r="IC119" s="373"/>
      <c r="ID119" s="373"/>
      <c r="IE119" s="373"/>
      <c r="IF119" s="373"/>
      <c r="IG119" s="373"/>
      <c r="IH119" s="373"/>
      <c r="II119" s="373"/>
      <c r="IJ119" s="373"/>
      <c r="IK119" s="373"/>
      <c r="IL119" s="373"/>
      <c r="IM119" s="373"/>
      <c r="IN119" s="373"/>
      <c r="IO119" s="373"/>
      <c r="IP119" s="373"/>
      <c r="IQ119" s="373"/>
      <c r="IR119" s="373"/>
      <c r="IS119" s="373"/>
      <c r="IT119" s="373"/>
      <c r="IU119" s="373"/>
      <c r="IV119" s="373"/>
    </row>
    <row r="120" spans="1:256" x14ac:dyDescent="0.2">
      <c r="A120" s="405"/>
      <c r="B120" s="405"/>
      <c r="C120" s="405"/>
      <c r="D120" s="406" t="s">
        <v>193</v>
      </c>
      <c r="E120" s="406"/>
      <c r="F120" s="406"/>
      <c r="G120" s="406"/>
      <c r="H120" s="406"/>
      <c r="I120" s="406"/>
      <c r="J120" s="404">
        <v>0</v>
      </c>
      <c r="K120" s="406"/>
      <c r="L120" s="404">
        <f>SUM(L118:L119)</f>
        <v>0</v>
      </c>
      <c r="M120" s="370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373"/>
      <c r="Y120" s="373"/>
      <c r="Z120" s="373"/>
      <c r="AA120" s="373"/>
      <c r="AB120" s="373"/>
      <c r="AC120" s="373"/>
      <c r="AD120" s="373"/>
      <c r="AE120" s="373"/>
      <c r="AF120" s="373"/>
      <c r="AG120" s="373"/>
      <c r="AH120" s="373"/>
      <c r="AI120" s="373"/>
      <c r="AJ120" s="373"/>
      <c r="AK120" s="373"/>
      <c r="AL120" s="373"/>
      <c r="AM120" s="373"/>
      <c r="AN120" s="373"/>
      <c r="AO120" s="373"/>
      <c r="AP120" s="373"/>
      <c r="AQ120" s="373"/>
      <c r="AR120" s="373"/>
      <c r="AS120" s="373"/>
      <c r="AT120" s="373"/>
      <c r="AU120" s="373"/>
      <c r="AV120" s="373"/>
      <c r="AW120" s="373"/>
      <c r="AX120" s="373"/>
      <c r="AY120" s="373"/>
      <c r="AZ120" s="373"/>
      <c r="BA120" s="373"/>
      <c r="BB120" s="373"/>
      <c r="BC120" s="373"/>
      <c r="BD120" s="373"/>
      <c r="BE120" s="373"/>
      <c r="BF120" s="373"/>
      <c r="BG120" s="373"/>
      <c r="BH120" s="373"/>
      <c r="BI120" s="373"/>
      <c r="BJ120" s="373"/>
      <c r="BK120" s="373"/>
      <c r="BL120" s="373"/>
      <c r="BM120" s="373"/>
      <c r="BN120" s="373"/>
      <c r="BO120" s="373"/>
      <c r="BP120" s="373"/>
      <c r="BQ120" s="373"/>
      <c r="BR120" s="373"/>
      <c r="BS120" s="373"/>
      <c r="BT120" s="373"/>
      <c r="BU120" s="373"/>
      <c r="BV120" s="373"/>
      <c r="BW120" s="373"/>
      <c r="BX120" s="373"/>
      <c r="BY120" s="373"/>
      <c r="BZ120" s="373"/>
      <c r="CA120" s="373"/>
      <c r="CB120" s="373"/>
      <c r="CC120" s="373"/>
      <c r="CD120" s="373"/>
      <c r="CE120" s="373"/>
      <c r="CF120" s="373"/>
      <c r="CG120" s="373"/>
      <c r="CH120" s="373"/>
      <c r="CI120" s="373"/>
      <c r="CJ120" s="373"/>
      <c r="CK120" s="373"/>
      <c r="CL120" s="373"/>
      <c r="CM120" s="373"/>
      <c r="CN120" s="373"/>
      <c r="CO120" s="373"/>
      <c r="CP120" s="373"/>
      <c r="CQ120" s="373"/>
      <c r="CR120" s="373"/>
      <c r="CS120" s="373"/>
      <c r="CT120" s="373"/>
      <c r="CU120" s="373"/>
      <c r="CV120" s="373"/>
      <c r="CW120" s="373"/>
      <c r="CX120" s="373"/>
      <c r="CY120" s="373"/>
      <c r="CZ120" s="373"/>
      <c r="DA120" s="373"/>
      <c r="DB120" s="373"/>
      <c r="DC120" s="373"/>
      <c r="DD120" s="373"/>
      <c r="DE120" s="373"/>
      <c r="DF120" s="373"/>
      <c r="DG120" s="373"/>
      <c r="DH120" s="373"/>
      <c r="DI120" s="373"/>
      <c r="DJ120" s="373"/>
      <c r="DK120" s="373"/>
      <c r="DL120" s="373"/>
      <c r="DM120" s="373"/>
      <c r="DN120" s="373"/>
      <c r="DO120" s="373"/>
      <c r="DP120" s="373"/>
      <c r="DQ120" s="373"/>
      <c r="DR120" s="373"/>
      <c r="DS120" s="373"/>
      <c r="DT120" s="373"/>
      <c r="DU120" s="373"/>
      <c r="DV120" s="373"/>
      <c r="DW120" s="373"/>
      <c r="DX120" s="373"/>
      <c r="DY120" s="373"/>
      <c r="DZ120" s="373"/>
      <c r="EA120" s="373"/>
      <c r="EB120" s="373"/>
      <c r="EC120" s="373"/>
      <c r="ED120" s="373"/>
      <c r="EE120" s="373"/>
      <c r="EF120" s="373"/>
      <c r="EG120" s="373"/>
      <c r="EH120" s="373"/>
      <c r="EI120" s="373"/>
      <c r="EJ120" s="373"/>
      <c r="EK120" s="373"/>
      <c r="EL120" s="373"/>
      <c r="EM120" s="373"/>
      <c r="EN120" s="373"/>
      <c r="EO120" s="373"/>
      <c r="EP120" s="373"/>
      <c r="EQ120" s="373"/>
      <c r="ER120" s="373"/>
      <c r="ES120" s="373"/>
      <c r="ET120" s="373"/>
      <c r="EU120" s="373"/>
      <c r="EV120" s="373"/>
      <c r="EW120" s="373"/>
      <c r="EX120" s="373"/>
      <c r="EY120" s="373"/>
      <c r="EZ120" s="373"/>
      <c r="FA120" s="373"/>
      <c r="FB120" s="373"/>
      <c r="FC120" s="373"/>
      <c r="FD120" s="373"/>
      <c r="FE120" s="373"/>
      <c r="FF120" s="373"/>
      <c r="FG120" s="373"/>
      <c r="FH120" s="373"/>
      <c r="FI120" s="373"/>
      <c r="FJ120" s="373"/>
      <c r="FK120" s="373"/>
      <c r="FL120" s="373"/>
      <c r="FM120" s="373"/>
      <c r="FN120" s="373"/>
      <c r="FO120" s="373"/>
      <c r="FP120" s="373"/>
      <c r="FQ120" s="373"/>
      <c r="FR120" s="373"/>
      <c r="FS120" s="373"/>
      <c r="FT120" s="373"/>
      <c r="FU120" s="373"/>
      <c r="FV120" s="373"/>
      <c r="FW120" s="373"/>
      <c r="FX120" s="373"/>
      <c r="FY120" s="373"/>
      <c r="FZ120" s="373"/>
      <c r="GA120" s="373"/>
      <c r="GB120" s="373"/>
      <c r="GC120" s="373"/>
      <c r="GD120" s="373"/>
      <c r="GE120" s="373"/>
      <c r="GF120" s="373"/>
      <c r="GG120" s="373"/>
      <c r="GH120" s="373"/>
      <c r="GI120" s="373"/>
      <c r="GJ120" s="373"/>
      <c r="GK120" s="373"/>
      <c r="GL120" s="373"/>
      <c r="GM120" s="373"/>
      <c r="GN120" s="373"/>
      <c r="GO120" s="373"/>
      <c r="GP120" s="373"/>
      <c r="GQ120" s="373"/>
      <c r="GR120" s="373"/>
      <c r="GS120" s="373"/>
      <c r="GT120" s="373"/>
      <c r="GU120" s="373"/>
      <c r="GV120" s="373"/>
      <c r="GW120" s="373"/>
      <c r="GX120" s="373"/>
      <c r="GY120" s="373"/>
      <c r="GZ120" s="373"/>
      <c r="HA120" s="373"/>
      <c r="HB120" s="373"/>
      <c r="HC120" s="373"/>
      <c r="HD120" s="373"/>
      <c r="HE120" s="373"/>
      <c r="HF120" s="373"/>
      <c r="HG120" s="373"/>
      <c r="HH120" s="373"/>
      <c r="HI120" s="373"/>
      <c r="HJ120" s="373"/>
      <c r="HK120" s="373"/>
      <c r="HL120" s="373"/>
      <c r="HM120" s="373"/>
      <c r="HN120" s="373"/>
      <c r="HO120" s="373"/>
      <c r="HP120" s="373"/>
      <c r="HQ120" s="373"/>
      <c r="HR120" s="373"/>
      <c r="HS120" s="373"/>
      <c r="HT120" s="373"/>
      <c r="HU120" s="373"/>
      <c r="HV120" s="373"/>
      <c r="HW120" s="373"/>
      <c r="HX120" s="373"/>
      <c r="HY120" s="373"/>
      <c r="HZ120" s="373"/>
      <c r="IA120" s="373"/>
      <c r="IB120" s="373"/>
      <c r="IC120" s="373"/>
      <c r="ID120" s="373"/>
      <c r="IE120" s="373"/>
      <c r="IF120" s="373"/>
      <c r="IG120" s="373"/>
      <c r="IH120" s="373"/>
      <c r="II120" s="373"/>
      <c r="IJ120" s="373"/>
      <c r="IK120" s="373"/>
      <c r="IL120" s="373"/>
      <c r="IM120" s="373"/>
      <c r="IN120" s="373"/>
      <c r="IO120" s="373"/>
      <c r="IP120" s="373"/>
      <c r="IQ120" s="373"/>
      <c r="IR120" s="373"/>
      <c r="IS120" s="373"/>
      <c r="IT120" s="373"/>
      <c r="IU120" s="373"/>
      <c r="IV120" s="373"/>
    </row>
    <row r="121" spans="1:256" x14ac:dyDescent="0.2">
      <c r="A121" s="375"/>
      <c r="B121" s="375"/>
      <c r="C121" s="375"/>
      <c r="D121" s="375"/>
      <c r="E121" s="375"/>
      <c r="F121" s="375"/>
      <c r="G121" s="375"/>
      <c r="H121" s="375"/>
      <c r="I121" s="375"/>
      <c r="J121" s="375"/>
      <c r="K121" s="375"/>
      <c r="L121" s="375"/>
      <c r="M121" s="374"/>
      <c r="N121" s="375"/>
      <c r="O121" s="375"/>
      <c r="P121" s="375"/>
      <c r="Q121" s="375"/>
      <c r="R121" s="375"/>
      <c r="S121" s="375"/>
      <c r="T121" s="375"/>
      <c r="U121" s="375"/>
      <c r="V121" s="375"/>
      <c r="W121" s="375"/>
      <c r="X121" s="375"/>
      <c r="Y121" s="375"/>
      <c r="Z121" s="375"/>
      <c r="AA121" s="375"/>
      <c r="AB121" s="375"/>
      <c r="AC121" s="375"/>
      <c r="AD121" s="375"/>
      <c r="AE121" s="375"/>
      <c r="AF121" s="375"/>
      <c r="AG121" s="375"/>
      <c r="AH121" s="375"/>
      <c r="AI121" s="375"/>
      <c r="AJ121" s="375"/>
      <c r="AK121" s="375"/>
      <c r="AL121" s="375"/>
      <c r="AM121" s="375"/>
      <c r="AN121" s="375"/>
      <c r="AO121" s="375"/>
      <c r="AP121" s="375"/>
      <c r="AQ121" s="375"/>
      <c r="AR121" s="375"/>
      <c r="AS121" s="375"/>
      <c r="AT121" s="375"/>
      <c r="AU121" s="375"/>
      <c r="AV121" s="375"/>
      <c r="AW121" s="375"/>
      <c r="AX121" s="375"/>
      <c r="AY121" s="375"/>
      <c r="AZ121" s="375"/>
      <c r="BA121" s="375"/>
      <c r="BB121" s="375"/>
      <c r="BC121" s="375"/>
      <c r="BD121" s="375"/>
      <c r="BE121" s="375"/>
      <c r="BF121" s="375"/>
      <c r="BG121" s="375"/>
      <c r="BH121" s="375"/>
      <c r="BI121" s="375"/>
      <c r="BJ121" s="375"/>
      <c r="BK121" s="375"/>
      <c r="BL121" s="375"/>
      <c r="BM121" s="375"/>
      <c r="BN121" s="375"/>
      <c r="BO121" s="375"/>
      <c r="BP121" s="375"/>
      <c r="BQ121" s="375"/>
      <c r="BR121" s="375"/>
      <c r="BS121" s="375"/>
      <c r="BT121" s="375"/>
      <c r="BU121" s="375"/>
      <c r="BV121" s="375"/>
      <c r="BW121" s="375"/>
      <c r="BX121" s="375"/>
      <c r="BY121" s="375"/>
      <c r="BZ121" s="375"/>
      <c r="CA121" s="375"/>
      <c r="CB121" s="375"/>
      <c r="CC121" s="375"/>
      <c r="CD121" s="375"/>
      <c r="CE121" s="375"/>
      <c r="CF121" s="375"/>
      <c r="CG121" s="375"/>
      <c r="CH121" s="375"/>
      <c r="CI121" s="375"/>
      <c r="CJ121" s="375"/>
      <c r="CK121" s="375"/>
      <c r="CL121" s="375"/>
      <c r="CM121" s="375"/>
      <c r="CN121" s="375"/>
      <c r="CO121" s="375"/>
      <c r="CP121" s="375"/>
      <c r="CQ121" s="375"/>
      <c r="CR121" s="375"/>
      <c r="CS121" s="375"/>
      <c r="CT121" s="375"/>
      <c r="CU121" s="375"/>
      <c r="CV121" s="375"/>
      <c r="CW121" s="375"/>
      <c r="CX121" s="375"/>
      <c r="CY121" s="375"/>
      <c r="CZ121" s="375"/>
      <c r="DA121" s="375"/>
      <c r="DB121" s="375"/>
      <c r="DC121" s="375"/>
      <c r="DD121" s="375"/>
      <c r="DE121" s="375"/>
      <c r="DF121" s="375"/>
      <c r="DG121" s="375"/>
      <c r="DH121" s="375"/>
      <c r="DI121" s="375"/>
      <c r="DJ121" s="375"/>
      <c r="DK121" s="375"/>
      <c r="DL121" s="375"/>
      <c r="DM121" s="375"/>
      <c r="DN121" s="375"/>
      <c r="DO121" s="375"/>
      <c r="DP121" s="375"/>
      <c r="DQ121" s="375"/>
      <c r="DR121" s="375"/>
      <c r="DS121" s="375"/>
      <c r="DT121" s="375"/>
      <c r="DU121" s="375"/>
      <c r="DV121" s="375"/>
      <c r="DW121" s="375"/>
      <c r="DX121" s="375"/>
      <c r="DY121" s="375"/>
      <c r="DZ121" s="375"/>
      <c r="EA121" s="375"/>
      <c r="EB121" s="375"/>
      <c r="EC121" s="375"/>
      <c r="ED121" s="375"/>
      <c r="EE121" s="375"/>
      <c r="EF121" s="375"/>
      <c r="EG121" s="375"/>
      <c r="EH121" s="375"/>
      <c r="EI121" s="375"/>
      <c r="EJ121" s="375"/>
      <c r="EK121" s="375"/>
      <c r="EL121" s="375"/>
      <c r="EM121" s="375"/>
      <c r="EN121" s="375"/>
      <c r="EO121" s="375"/>
      <c r="EP121" s="375"/>
      <c r="EQ121" s="375"/>
      <c r="ER121" s="375"/>
      <c r="ES121" s="375"/>
      <c r="ET121" s="375"/>
      <c r="EU121" s="375"/>
      <c r="EV121" s="375"/>
      <c r="EW121" s="375"/>
      <c r="EX121" s="375"/>
      <c r="EY121" s="375"/>
      <c r="EZ121" s="375"/>
      <c r="FA121" s="375"/>
      <c r="FB121" s="375"/>
      <c r="FC121" s="375"/>
      <c r="FD121" s="375"/>
      <c r="FE121" s="375"/>
      <c r="FF121" s="375"/>
      <c r="FG121" s="375"/>
      <c r="FH121" s="375"/>
      <c r="FI121" s="375"/>
      <c r="FJ121" s="375"/>
      <c r="FK121" s="375"/>
      <c r="FL121" s="375"/>
      <c r="FM121" s="375"/>
      <c r="FN121" s="375"/>
      <c r="FO121" s="375"/>
      <c r="FP121" s="375"/>
      <c r="FQ121" s="375"/>
      <c r="FR121" s="375"/>
      <c r="FS121" s="375"/>
      <c r="FT121" s="375"/>
      <c r="FU121" s="375"/>
      <c r="FV121" s="375"/>
      <c r="FW121" s="375"/>
      <c r="FX121" s="375"/>
      <c r="FY121" s="375"/>
      <c r="FZ121" s="375"/>
      <c r="GA121" s="375"/>
      <c r="GB121" s="375"/>
      <c r="GC121" s="375"/>
      <c r="GD121" s="375"/>
      <c r="GE121" s="375"/>
      <c r="GF121" s="375"/>
      <c r="GG121" s="375"/>
      <c r="GH121" s="375"/>
      <c r="GI121" s="375"/>
      <c r="GJ121" s="375"/>
      <c r="GK121" s="375"/>
      <c r="GL121" s="375"/>
      <c r="GM121" s="375"/>
      <c r="GN121" s="375"/>
      <c r="GO121" s="375"/>
      <c r="GP121" s="375"/>
      <c r="GQ121" s="375"/>
      <c r="GR121" s="375"/>
      <c r="GS121" s="375"/>
      <c r="GT121" s="375"/>
      <c r="GU121" s="375"/>
      <c r="GV121" s="375"/>
      <c r="GW121" s="375"/>
      <c r="GX121" s="375"/>
      <c r="GY121" s="375"/>
      <c r="GZ121" s="375"/>
      <c r="HA121" s="375"/>
      <c r="HB121" s="375"/>
      <c r="HC121" s="375"/>
      <c r="HD121" s="375"/>
      <c r="HE121" s="375"/>
      <c r="HF121" s="375"/>
      <c r="HG121" s="375"/>
      <c r="HH121" s="375"/>
      <c r="HI121" s="375"/>
      <c r="HJ121" s="375"/>
      <c r="HK121" s="375"/>
      <c r="HL121" s="375"/>
      <c r="HM121" s="375"/>
      <c r="HN121" s="375"/>
      <c r="HO121" s="375"/>
      <c r="HP121" s="375"/>
      <c r="HQ121" s="375"/>
      <c r="HR121" s="375"/>
      <c r="HS121" s="375"/>
      <c r="HT121" s="375"/>
      <c r="HU121" s="375"/>
      <c r="HV121" s="375"/>
      <c r="HW121" s="375"/>
      <c r="HX121" s="375"/>
      <c r="HY121" s="375"/>
      <c r="HZ121" s="375"/>
      <c r="IA121" s="375"/>
      <c r="IB121" s="375"/>
      <c r="IC121" s="375"/>
      <c r="ID121" s="375"/>
      <c r="IE121" s="375"/>
      <c r="IF121" s="375"/>
      <c r="IG121" s="375"/>
      <c r="IH121" s="375"/>
      <c r="II121" s="375"/>
      <c r="IJ121" s="375"/>
      <c r="IK121" s="375"/>
      <c r="IL121" s="375"/>
      <c r="IM121" s="375"/>
      <c r="IN121" s="375"/>
      <c r="IO121" s="375"/>
      <c r="IP121" s="375"/>
      <c r="IQ121" s="375"/>
      <c r="IR121" s="375"/>
      <c r="IS121" s="375"/>
      <c r="IT121" s="375"/>
      <c r="IU121" s="375"/>
      <c r="IV121" s="375"/>
    </row>
    <row r="122" spans="1:256" ht="30" x14ac:dyDescent="0.25">
      <c r="A122" s="405"/>
      <c r="B122" s="405"/>
      <c r="C122" s="405"/>
      <c r="D122" s="242" t="s">
        <v>194</v>
      </c>
      <c r="E122" s="242"/>
      <c r="F122" s="242"/>
      <c r="G122" s="242"/>
      <c r="H122" s="242"/>
      <c r="I122" s="243"/>
      <c r="J122" s="244">
        <f>I109</f>
        <v>13923.54</v>
      </c>
      <c r="K122" s="245"/>
      <c r="L122" s="244">
        <f>K109</f>
        <v>105915.55</v>
      </c>
      <c r="M122" s="374"/>
      <c r="N122" s="373"/>
      <c r="O122" s="373"/>
      <c r="P122" s="373"/>
      <c r="Q122" s="373"/>
      <c r="R122" s="373"/>
      <c r="S122" s="373"/>
      <c r="T122" s="373"/>
      <c r="U122" s="373"/>
      <c r="V122" s="373"/>
      <c r="W122" s="373"/>
      <c r="X122" s="373"/>
      <c r="Y122" s="373"/>
      <c r="Z122" s="373"/>
      <c r="AA122" s="373"/>
      <c r="AB122" s="373"/>
      <c r="AC122" s="373"/>
      <c r="AD122" s="373"/>
      <c r="AE122" s="373"/>
      <c r="AF122" s="373"/>
      <c r="AG122" s="373"/>
      <c r="AH122" s="373"/>
      <c r="AI122" s="373"/>
      <c r="AJ122" s="373"/>
      <c r="AK122" s="373"/>
      <c r="AL122" s="373"/>
      <c r="AM122" s="373"/>
      <c r="AN122" s="373"/>
      <c r="AO122" s="373"/>
      <c r="AP122" s="373"/>
      <c r="AQ122" s="373"/>
      <c r="AR122" s="373"/>
      <c r="AS122" s="373"/>
      <c r="AT122" s="373"/>
      <c r="AU122" s="373"/>
      <c r="AV122" s="373"/>
      <c r="AW122" s="373"/>
      <c r="AX122" s="373"/>
      <c r="AY122" s="373"/>
      <c r="AZ122" s="373"/>
      <c r="BA122" s="373"/>
      <c r="BB122" s="373"/>
      <c r="BC122" s="373"/>
      <c r="BD122" s="373"/>
      <c r="BE122" s="373"/>
      <c r="BF122" s="373"/>
      <c r="BG122" s="373"/>
      <c r="BH122" s="373"/>
      <c r="BI122" s="373"/>
      <c r="BJ122" s="373"/>
      <c r="BK122" s="373"/>
      <c r="BL122" s="373"/>
      <c r="BM122" s="373"/>
      <c r="BN122" s="373"/>
      <c r="BO122" s="373"/>
      <c r="BP122" s="373"/>
      <c r="BQ122" s="373"/>
      <c r="BR122" s="373"/>
      <c r="BS122" s="373"/>
      <c r="BT122" s="373"/>
      <c r="BU122" s="373"/>
      <c r="BV122" s="373"/>
      <c r="BW122" s="373"/>
      <c r="BX122" s="373"/>
      <c r="BY122" s="373"/>
      <c r="BZ122" s="373"/>
      <c r="CA122" s="373"/>
      <c r="CB122" s="373"/>
      <c r="CC122" s="373"/>
      <c r="CD122" s="373"/>
      <c r="CE122" s="373"/>
      <c r="CF122" s="373"/>
      <c r="CG122" s="373"/>
      <c r="CH122" s="373"/>
      <c r="CI122" s="373"/>
      <c r="CJ122" s="373"/>
      <c r="CK122" s="373"/>
      <c r="CL122" s="373"/>
      <c r="CM122" s="373"/>
      <c r="CN122" s="373"/>
      <c r="CO122" s="373"/>
      <c r="CP122" s="373"/>
      <c r="CQ122" s="373"/>
      <c r="CR122" s="373"/>
      <c r="CS122" s="373"/>
      <c r="CT122" s="373"/>
      <c r="CU122" s="373"/>
      <c r="CV122" s="373"/>
      <c r="CW122" s="373"/>
      <c r="CX122" s="373"/>
      <c r="CY122" s="373"/>
      <c r="CZ122" s="373"/>
      <c r="DA122" s="373"/>
      <c r="DB122" s="373"/>
      <c r="DC122" s="373"/>
      <c r="DD122" s="373"/>
      <c r="DE122" s="373"/>
      <c r="DF122" s="373"/>
      <c r="DG122" s="373"/>
      <c r="DH122" s="373"/>
      <c r="DI122" s="373"/>
      <c r="DJ122" s="373"/>
      <c r="DK122" s="373"/>
      <c r="DL122" s="373"/>
      <c r="DM122" s="373"/>
      <c r="DN122" s="373"/>
      <c r="DO122" s="373"/>
      <c r="DP122" s="373"/>
      <c r="DQ122" s="373"/>
      <c r="DR122" s="373"/>
      <c r="DS122" s="373"/>
      <c r="DT122" s="373"/>
      <c r="DU122" s="373"/>
      <c r="DV122" s="373"/>
      <c r="DW122" s="373"/>
      <c r="DX122" s="373"/>
      <c r="DY122" s="373"/>
      <c r="DZ122" s="373"/>
      <c r="EA122" s="373"/>
      <c r="EB122" s="373"/>
      <c r="EC122" s="373"/>
      <c r="ED122" s="373"/>
      <c r="EE122" s="373"/>
      <c r="EF122" s="373"/>
      <c r="EG122" s="373"/>
      <c r="EH122" s="373"/>
      <c r="EI122" s="373"/>
      <c r="EJ122" s="373"/>
      <c r="EK122" s="373"/>
      <c r="EL122" s="373"/>
      <c r="EM122" s="373"/>
      <c r="EN122" s="373"/>
      <c r="EO122" s="373"/>
      <c r="EP122" s="373"/>
      <c r="EQ122" s="373"/>
      <c r="ER122" s="373"/>
      <c r="ES122" s="373"/>
      <c r="ET122" s="373"/>
      <c r="EU122" s="373"/>
      <c r="EV122" s="373"/>
      <c r="EW122" s="373"/>
      <c r="EX122" s="373"/>
      <c r="EY122" s="373"/>
      <c r="EZ122" s="373"/>
      <c r="FA122" s="373"/>
      <c r="FB122" s="373"/>
      <c r="FC122" s="373"/>
      <c r="FD122" s="373"/>
      <c r="FE122" s="373"/>
      <c r="FF122" s="373"/>
      <c r="FG122" s="373"/>
      <c r="FH122" s="373"/>
      <c r="FI122" s="373"/>
      <c r="FJ122" s="373"/>
      <c r="FK122" s="373"/>
      <c r="FL122" s="373"/>
      <c r="FM122" s="373"/>
      <c r="FN122" s="373"/>
      <c r="FO122" s="373"/>
      <c r="FP122" s="373"/>
      <c r="FQ122" s="373"/>
      <c r="FR122" s="373"/>
      <c r="FS122" s="373"/>
      <c r="FT122" s="373"/>
      <c r="FU122" s="373"/>
      <c r="FV122" s="373"/>
      <c r="FW122" s="373"/>
      <c r="FX122" s="373"/>
      <c r="FY122" s="373"/>
      <c r="FZ122" s="373"/>
      <c r="GA122" s="373"/>
      <c r="GB122" s="373"/>
      <c r="GC122" s="373"/>
      <c r="GD122" s="373"/>
      <c r="GE122" s="373"/>
      <c r="GF122" s="373"/>
      <c r="GG122" s="373"/>
      <c r="GH122" s="373"/>
      <c r="GI122" s="373"/>
      <c r="GJ122" s="373"/>
      <c r="GK122" s="373"/>
      <c r="GL122" s="373"/>
      <c r="GM122" s="373"/>
      <c r="GN122" s="373"/>
      <c r="GO122" s="373"/>
      <c r="GP122" s="373"/>
      <c r="GQ122" s="373"/>
      <c r="GR122" s="373"/>
      <c r="GS122" s="373"/>
      <c r="GT122" s="373"/>
      <c r="GU122" s="373"/>
      <c r="GV122" s="373"/>
      <c r="GW122" s="373"/>
      <c r="GX122" s="373"/>
      <c r="GY122" s="373"/>
      <c r="GZ122" s="373"/>
      <c r="HA122" s="373"/>
      <c r="HB122" s="373"/>
      <c r="HC122" s="373"/>
      <c r="HD122" s="373"/>
      <c r="HE122" s="373"/>
      <c r="HF122" s="373"/>
      <c r="HG122" s="373"/>
      <c r="HH122" s="373"/>
      <c r="HI122" s="373"/>
      <c r="HJ122" s="373"/>
      <c r="HK122" s="373"/>
      <c r="HL122" s="373"/>
      <c r="HM122" s="373"/>
      <c r="HN122" s="373"/>
      <c r="HO122" s="373"/>
      <c r="HP122" s="373"/>
      <c r="HQ122" s="373"/>
      <c r="HR122" s="373"/>
      <c r="HS122" s="373"/>
      <c r="HT122" s="373"/>
      <c r="HU122" s="373"/>
      <c r="HV122" s="373"/>
      <c r="HW122" s="373"/>
      <c r="HX122" s="373"/>
      <c r="HY122" s="373"/>
      <c r="HZ122" s="373"/>
      <c r="IA122" s="373"/>
      <c r="IB122" s="373"/>
      <c r="IC122" s="373"/>
      <c r="ID122" s="373"/>
      <c r="IE122" s="373"/>
      <c r="IF122" s="373"/>
      <c r="IG122" s="373"/>
      <c r="IH122" s="373"/>
      <c r="II122" s="373"/>
      <c r="IJ122" s="373"/>
      <c r="IK122" s="373"/>
      <c r="IL122" s="373"/>
      <c r="IM122" s="373"/>
      <c r="IN122" s="373"/>
      <c r="IO122" s="373"/>
      <c r="IP122" s="373"/>
      <c r="IQ122" s="373"/>
      <c r="IR122" s="373"/>
      <c r="IS122" s="373"/>
      <c r="IT122" s="373"/>
      <c r="IU122" s="373"/>
      <c r="IV122" s="373"/>
    </row>
    <row r="123" spans="1:256" ht="14.25" x14ac:dyDescent="0.2">
      <c r="A123" s="405"/>
      <c r="B123" s="405"/>
      <c r="C123" s="405"/>
      <c r="D123" s="246" t="s">
        <v>69</v>
      </c>
      <c r="E123" s="246"/>
      <c r="F123" s="246"/>
      <c r="G123" s="246"/>
      <c r="H123" s="246"/>
      <c r="I123" s="247"/>
      <c r="J123" s="248">
        <f>J122-J126</f>
        <v>13923.54</v>
      </c>
      <c r="K123" s="249"/>
      <c r="L123" s="248">
        <f>L122-L126</f>
        <v>105915.55</v>
      </c>
      <c r="M123" s="374"/>
      <c r="N123" s="373"/>
      <c r="O123" s="373"/>
      <c r="P123" s="373"/>
      <c r="Q123" s="373"/>
      <c r="R123" s="373"/>
      <c r="S123" s="373"/>
      <c r="T123" s="373"/>
      <c r="U123" s="373"/>
      <c r="V123" s="373"/>
      <c r="W123" s="373"/>
      <c r="X123" s="373"/>
      <c r="Y123" s="373"/>
      <c r="Z123" s="373"/>
      <c r="AA123" s="373"/>
      <c r="AB123" s="373"/>
      <c r="AC123" s="373"/>
      <c r="AD123" s="373"/>
      <c r="AE123" s="373"/>
      <c r="AF123" s="373"/>
      <c r="AG123" s="373"/>
      <c r="AH123" s="373"/>
      <c r="AI123" s="373"/>
      <c r="AJ123" s="373"/>
      <c r="AK123" s="373"/>
      <c r="AL123" s="373"/>
      <c r="AM123" s="373"/>
      <c r="AN123" s="373"/>
      <c r="AO123" s="373"/>
      <c r="AP123" s="373"/>
      <c r="AQ123" s="373"/>
      <c r="AR123" s="373"/>
      <c r="AS123" s="373"/>
      <c r="AT123" s="373"/>
      <c r="AU123" s="373"/>
      <c r="AV123" s="373"/>
      <c r="AW123" s="373"/>
      <c r="AX123" s="373"/>
      <c r="AY123" s="373"/>
      <c r="AZ123" s="373"/>
      <c r="BA123" s="373"/>
      <c r="BB123" s="373"/>
      <c r="BC123" s="373"/>
      <c r="BD123" s="373"/>
      <c r="BE123" s="373"/>
      <c r="BF123" s="373"/>
      <c r="BG123" s="373"/>
      <c r="BH123" s="373"/>
      <c r="BI123" s="373"/>
      <c r="BJ123" s="373"/>
      <c r="BK123" s="373"/>
      <c r="BL123" s="373"/>
      <c r="BM123" s="373"/>
      <c r="BN123" s="373"/>
      <c r="BO123" s="373"/>
      <c r="BP123" s="373"/>
      <c r="BQ123" s="373"/>
      <c r="BR123" s="373"/>
      <c r="BS123" s="373"/>
      <c r="BT123" s="373"/>
      <c r="BU123" s="373"/>
      <c r="BV123" s="373"/>
      <c r="BW123" s="373"/>
      <c r="BX123" s="373"/>
      <c r="BY123" s="373"/>
      <c r="BZ123" s="373"/>
      <c r="CA123" s="373"/>
      <c r="CB123" s="373"/>
      <c r="CC123" s="373"/>
      <c r="CD123" s="373"/>
      <c r="CE123" s="373"/>
      <c r="CF123" s="373"/>
      <c r="CG123" s="373"/>
      <c r="CH123" s="373"/>
      <c r="CI123" s="373"/>
      <c r="CJ123" s="373"/>
      <c r="CK123" s="373"/>
      <c r="CL123" s="373"/>
      <c r="CM123" s="373"/>
      <c r="CN123" s="373"/>
      <c r="CO123" s="373"/>
      <c r="CP123" s="373"/>
      <c r="CQ123" s="373"/>
      <c r="CR123" s="373"/>
      <c r="CS123" s="373"/>
      <c r="CT123" s="373"/>
      <c r="CU123" s="373"/>
      <c r="CV123" s="373"/>
      <c r="CW123" s="373"/>
      <c r="CX123" s="373"/>
      <c r="CY123" s="373"/>
      <c r="CZ123" s="373"/>
      <c r="DA123" s="373"/>
      <c r="DB123" s="373"/>
      <c r="DC123" s="373"/>
      <c r="DD123" s="373"/>
      <c r="DE123" s="373"/>
      <c r="DF123" s="373"/>
      <c r="DG123" s="373"/>
      <c r="DH123" s="373"/>
      <c r="DI123" s="373"/>
      <c r="DJ123" s="373"/>
      <c r="DK123" s="373"/>
      <c r="DL123" s="373"/>
      <c r="DM123" s="373"/>
      <c r="DN123" s="373"/>
      <c r="DO123" s="373"/>
      <c r="DP123" s="373"/>
      <c r="DQ123" s="373"/>
      <c r="DR123" s="373"/>
      <c r="DS123" s="373"/>
      <c r="DT123" s="373"/>
      <c r="DU123" s="373"/>
      <c r="DV123" s="373"/>
      <c r="DW123" s="373"/>
      <c r="DX123" s="373"/>
      <c r="DY123" s="373"/>
      <c r="DZ123" s="373"/>
      <c r="EA123" s="373"/>
      <c r="EB123" s="373"/>
      <c r="EC123" s="373"/>
      <c r="ED123" s="373"/>
      <c r="EE123" s="373"/>
      <c r="EF123" s="373"/>
      <c r="EG123" s="373"/>
      <c r="EH123" s="373"/>
      <c r="EI123" s="373"/>
      <c r="EJ123" s="373"/>
      <c r="EK123" s="373"/>
      <c r="EL123" s="373"/>
      <c r="EM123" s="373"/>
      <c r="EN123" s="373"/>
      <c r="EO123" s="373"/>
      <c r="EP123" s="373"/>
      <c r="EQ123" s="373"/>
      <c r="ER123" s="373"/>
      <c r="ES123" s="373"/>
      <c r="ET123" s="373"/>
      <c r="EU123" s="373"/>
      <c r="EV123" s="373"/>
      <c r="EW123" s="373"/>
      <c r="EX123" s="373"/>
      <c r="EY123" s="373"/>
      <c r="EZ123" s="373"/>
      <c r="FA123" s="373"/>
      <c r="FB123" s="373"/>
      <c r="FC123" s="373"/>
      <c r="FD123" s="373"/>
      <c r="FE123" s="373"/>
      <c r="FF123" s="373"/>
      <c r="FG123" s="373"/>
      <c r="FH123" s="373"/>
      <c r="FI123" s="373"/>
      <c r="FJ123" s="373"/>
      <c r="FK123" s="373"/>
      <c r="FL123" s="373"/>
      <c r="FM123" s="373"/>
      <c r="FN123" s="373"/>
      <c r="FO123" s="373"/>
      <c r="FP123" s="373"/>
      <c r="FQ123" s="373"/>
      <c r="FR123" s="373"/>
      <c r="FS123" s="373"/>
      <c r="FT123" s="373"/>
      <c r="FU123" s="373"/>
      <c r="FV123" s="373"/>
      <c r="FW123" s="373"/>
      <c r="FX123" s="373"/>
      <c r="FY123" s="373"/>
      <c r="FZ123" s="373"/>
      <c r="GA123" s="373"/>
      <c r="GB123" s="373"/>
      <c r="GC123" s="373"/>
      <c r="GD123" s="373"/>
      <c r="GE123" s="373"/>
      <c r="GF123" s="373"/>
      <c r="GG123" s="373"/>
      <c r="GH123" s="373"/>
      <c r="GI123" s="373"/>
      <c r="GJ123" s="373"/>
      <c r="GK123" s="373"/>
      <c r="GL123" s="373"/>
      <c r="GM123" s="373"/>
      <c r="GN123" s="373"/>
      <c r="GO123" s="373"/>
      <c r="GP123" s="373"/>
      <c r="GQ123" s="373"/>
      <c r="GR123" s="373"/>
      <c r="GS123" s="373"/>
      <c r="GT123" s="373"/>
      <c r="GU123" s="373"/>
      <c r="GV123" s="373"/>
      <c r="GW123" s="373"/>
      <c r="GX123" s="373"/>
      <c r="GY123" s="373"/>
      <c r="GZ123" s="373"/>
      <c r="HA123" s="373"/>
      <c r="HB123" s="373"/>
      <c r="HC123" s="373"/>
      <c r="HD123" s="373"/>
      <c r="HE123" s="373"/>
      <c r="HF123" s="373"/>
      <c r="HG123" s="373"/>
      <c r="HH123" s="373"/>
      <c r="HI123" s="373"/>
      <c r="HJ123" s="373"/>
      <c r="HK123" s="373"/>
      <c r="HL123" s="373"/>
      <c r="HM123" s="373"/>
      <c r="HN123" s="373"/>
      <c r="HO123" s="373"/>
      <c r="HP123" s="373"/>
      <c r="HQ123" s="373"/>
      <c r="HR123" s="373"/>
      <c r="HS123" s="373"/>
      <c r="HT123" s="373"/>
      <c r="HU123" s="373"/>
      <c r="HV123" s="373"/>
      <c r="HW123" s="373"/>
      <c r="HX123" s="373"/>
      <c r="HY123" s="373"/>
      <c r="HZ123" s="373"/>
      <c r="IA123" s="373"/>
      <c r="IB123" s="373"/>
      <c r="IC123" s="373"/>
      <c r="ID123" s="373"/>
      <c r="IE123" s="373"/>
      <c r="IF123" s="373"/>
      <c r="IG123" s="373"/>
      <c r="IH123" s="373"/>
      <c r="II123" s="373"/>
      <c r="IJ123" s="373"/>
      <c r="IK123" s="373"/>
      <c r="IL123" s="373"/>
      <c r="IM123" s="373"/>
      <c r="IN123" s="373"/>
      <c r="IO123" s="373"/>
      <c r="IP123" s="373"/>
      <c r="IQ123" s="373"/>
      <c r="IR123" s="373"/>
      <c r="IS123" s="373"/>
      <c r="IT123" s="373"/>
      <c r="IU123" s="373"/>
      <c r="IV123" s="373"/>
    </row>
    <row r="124" spans="1:256" ht="14.25" x14ac:dyDescent="0.2">
      <c r="A124" s="405"/>
      <c r="B124" s="405"/>
      <c r="C124" s="405"/>
      <c r="D124" s="246" t="s">
        <v>70</v>
      </c>
      <c r="E124" s="246"/>
      <c r="F124" s="246"/>
      <c r="G124" s="246"/>
      <c r="H124" s="246"/>
      <c r="I124" s="247"/>
      <c r="J124" s="248">
        <f>I114+I113</f>
        <v>1231.6500000000001</v>
      </c>
      <c r="K124" s="249"/>
      <c r="L124" s="248">
        <f>K114+K113</f>
        <v>29842.89</v>
      </c>
      <c r="M124" s="374"/>
      <c r="N124" s="373"/>
      <c r="O124" s="373"/>
      <c r="P124" s="373"/>
      <c r="Q124" s="373"/>
      <c r="R124" s="373"/>
      <c r="S124" s="373"/>
      <c r="T124" s="373"/>
      <c r="U124" s="373"/>
      <c r="V124" s="373"/>
      <c r="W124" s="373"/>
      <c r="X124" s="373"/>
      <c r="Y124" s="373"/>
      <c r="Z124" s="373"/>
      <c r="AA124" s="373"/>
      <c r="AB124" s="373"/>
      <c r="AC124" s="373"/>
      <c r="AD124" s="373"/>
      <c r="AE124" s="373"/>
      <c r="AF124" s="373"/>
      <c r="AG124" s="373"/>
      <c r="AH124" s="373"/>
      <c r="AI124" s="373"/>
      <c r="AJ124" s="373"/>
      <c r="AK124" s="373"/>
      <c r="AL124" s="373"/>
      <c r="AM124" s="373"/>
      <c r="AN124" s="373"/>
      <c r="AO124" s="373"/>
      <c r="AP124" s="373"/>
      <c r="AQ124" s="373"/>
      <c r="AR124" s="373"/>
      <c r="AS124" s="373"/>
      <c r="AT124" s="373"/>
      <c r="AU124" s="373"/>
      <c r="AV124" s="373"/>
      <c r="AW124" s="373"/>
      <c r="AX124" s="373"/>
      <c r="AY124" s="373"/>
      <c r="AZ124" s="373"/>
      <c r="BA124" s="373"/>
      <c r="BB124" s="373"/>
      <c r="BC124" s="373"/>
      <c r="BD124" s="373"/>
      <c r="BE124" s="373"/>
      <c r="BF124" s="373"/>
      <c r="BG124" s="373"/>
      <c r="BH124" s="373"/>
      <c r="BI124" s="373"/>
      <c r="BJ124" s="373"/>
      <c r="BK124" s="373"/>
      <c r="BL124" s="373"/>
      <c r="BM124" s="373"/>
      <c r="BN124" s="373"/>
      <c r="BO124" s="373"/>
      <c r="BP124" s="373"/>
      <c r="BQ124" s="373"/>
      <c r="BR124" s="373"/>
      <c r="BS124" s="373"/>
      <c r="BT124" s="373"/>
      <c r="BU124" s="373"/>
      <c r="BV124" s="373"/>
      <c r="BW124" s="373"/>
      <c r="BX124" s="373"/>
      <c r="BY124" s="373"/>
      <c r="BZ124" s="373"/>
      <c r="CA124" s="373"/>
      <c r="CB124" s="373"/>
      <c r="CC124" s="373"/>
      <c r="CD124" s="373"/>
      <c r="CE124" s="373"/>
      <c r="CF124" s="373"/>
      <c r="CG124" s="373"/>
      <c r="CH124" s="373"/>
      <c r="CI124" s="373"/>
      <c r="CJ124" s="373"/>
      <c r="CK124" s="373"/>
      <c r="CL124" s="373"/>
      <c r="CM124" s="373"/>
      <c r="CN124" s="373"/>
      <c r="CO124" s="373"/>
      <c r="CP124" s="373"/>
      <c r="CQ124" s="373"/>
      <c r="CR124" s="373"/>
      <c r="CS124" s="373"/>
      <c r="CT124" s="373"/>
      <c r="CU124" s="373"/>
      <c r="CV124" s="373"/>
      <c r="CW124" s="373"/>
      <c r="CX124" s="373"/>
      <c r="CY124" s="373"/>
      <c r="CZ124" s="373"/>
      <c r="DA124" s="373"/>
      <c r="DB124" s="373"/>
      <c r="DC124" s="373"/>
      <c r="DD124" s="373"/>
      <c r="DE124" s="373"/>
      <c r="DF124" s="373"/>
      <c r="DG124" s="373"/>
      <c r="DH124" s="373"/>
      <c r="DI124" s="373"/>
      <c r="DJ124" s="373"/>
      <c r="DK124" s="373"/>
      <c r="DL124" s="373"/>
      <c r="DM124" s="373"/>
      <c r="DN124" s="373"/>
      <c r="DO124" s="373"/>
      <c r="DP124" s="373"/>
      <c r="DQ124" s="373"/>
      <c r="DR124" s="373"/>
      <c r="DS124" s="373"/>
      <c r="DT124" s="373"/>
      <c r="DU124" s="373"/>
      <c r="DV124" s="373"/>
      <c r="DW124" s="373"/>
      <c r="DX124" s="373"/>
      <c r="DY124" s="373"/>
      <c r="DZ124" s="373"/>
      <c r="EA124" s="373"/>
      <c r="EB124" s="373"/>
      <c r="EC124" s="373"/>
      <c r="ED124" s="373"/>
      <c r="EE124" s="373"/>
      <c r="EF124" s="373"/>
      <c r="EG124" s="373"/>
      <c r="EH124" s="373"/>
      <c r="EI124" s="373"/>
      <c r="EJ124" s="373"/>
      <c r="EK124" s="373"/>
      <c r="EL124" s="373"/>
      <c r="EM124" s="373"/>
      <c r="EN124" s="373"/>
      <c r="EO124" s="373"/>
      <c r="EP124" s="373"/>
      <c r="EQ124" s="373"/>
      <c r="ER124" s="373"/>
      <c r="ES124" s="373"/>
      <c r="ET124" s="373"/>
      <c r="EU124" s="373"/>
      <c r="EV124" s="373"/>
      <c r="EW124" s="373"/>
      <c r="EX124" s="373"/>
      <c r="EY124" s="373"/>
      <c r="EZ124" s="373"/>
      <c r="FA124" s="373"/>
      <c r="FB124" s="373"/>
      <c r="FC124" s="373"/>
      <c r="FD124" s="373"/>
      <c r="FE124" s="373"/>
      <c r="FF124" s="373"/>
      <c r="FG124" s="373"/>
      <c r="FH124" s="373"/>
      <c r="FI124" s="373"/>
      <c r="FJ124" s="373"/>
      <c r="FK124" s="373"/>
      <c r="FL124" s="373"/>
      <c r="FM124" s="373"/>
      <c r="FN124" s="373"/>
      <c r="FO124" s="373"/>
      <c r="FP124" s="373"/>
      <c r="FQ124" s="373"/>
      <c r="FR124" s="373"/>
      <c r="FS124" s="373"/>
      <c r="FT124" s="373"/>
      <c r="FU124" s="373"/>
      <c r="FV124" s="373"/>
      <c r="FW124" s="373"/>
      <c r="FX124" s="373"/>
      <c r="FY124" s="373"/>
      <c r="FZ124" s="373"/>
      <c r="GA124" s="373"/>
      <c r="GB124" s="373"/>
      <c r="GC124" s="373"/>
      <c r="GD124" s="373"/>
      <c r="GE124" s="373"/>
      <c r="GF124" s="373"/>
      <c r="GG124" s="373"/>
      <c r="GH124" s="373"/>
      <c r="GI124" s="373"/>
      <c r="GJ124" s="373"/>
      <c r="GK124" s="373"/>
      <c r="GL124" s="373"/>
      <c r="GM124" s="373"/>
      <c r="GN124" s="373"/>
      <c r="GO124" s="373"/>
      <c r="GP124" s="373"/>
      <c r="GQ124" s="373"/>
      <c r="GR124" s="373"/>
      <c r="GS124" s="373"/>
      <c r="GT124" s="373"/>
      <c r="GU124" s="373"/>
      <c r="GV124" s="373"/>
      <c r="GW124" s="373"/>
      <c r="GX124" s="373"/>
      <c r="GY124" s="373"/>
      <c r="GZ124" s="373"/>
      <c r="HA124" s="373"/>
      <c r="HB124" s="373"/>
      <c r="HC124" s="373"/>
      <c r="HD124" s="373"/>
      <c r="HE124" s="373"/>
      <c r="HF124" s="373"/>
      <c r="HG124" s="373"/>
      <c r="HH124" s="373"/>
      <c r="HI124" s="373"/>
      <c r="HJ124" s="373"/>
      <c r="HK124" s="373"/>
      <c r="HL124" s="373"/>
      <c r="HM124" s="373"/>
      <c r="HN124" s="373"/>
      <c r="HO124" s="373"/>
      <c r="HP124" s="373"/>
      <c r="HQ124" s="373"/>
      <c r="HR124" s="373"/>
      <c r="HS124" s="373"/>
      <c r="HT124" s="373"/>
      <c r="HU124" s="373"/>
      <c r="HV124" s="373"/>
      <c r="HW124" s="373"/>
      <c r="HX124" s="373"/>
      <c r="HY124" s="373"/>
      <c r="HZ124" s="373"/>
      <c r="IA124" s="373"/>
      <c r="IB124" s="373"/>
      <c r="IC124" s="373"/>
      <c r="ID124" s="373"/>
      <c r="IE124" s="373"/>
      <c r="IF124" s="373"/>
      <c r="IG124" s="373"/>
      <c r="IH124" s="373"/>
      <c r="II124" s="373"/>
      <c r="IJ124" s="373"/>
      <c r="IK124" s="373"/>
      <c r="IL124" s="373"/>
      <c r="IM124" s="373"/>
      <c r="IN124" s="373"/>
      <c r="IO124" s="373"/>
      <c r="IP124" s="373"/>
      <c r="IQ124" s="373"/>
      <c r="IR124" s="373"/>
      <c r="IS124" s="373"/>
      <c r="IT124" s="373"/>
      <c r="IU124" s="373"/>
      <c r="IV124" s="373"/>
    </row>
    <row r="125" spans="1:256" ht="14.25" x14ac:dyDescent="0.2">
      <c r="A125" s="405"/>
      <c r="B125" s="405"/>
      <c r="C125" s="405"/>
      <c r="D125" s="246" t="s">
        <v>195</v>
      </c>
      <c r="E125" s="246"/>
      <c r="F125" s="246"/>
      <c r="G125" s="246"/>
      <c r="H125" s="246"/>
      <c r="I125" s="247"/>
      <c r="J125" s="248">
        <f>I112</f>
        <v>10208.93</v>
      </c>
      <c r="K125" s="249"/>
      <c r="L125" s="248">
        <f>K112</f>
        <v>35730.519999999997</v>
      </c>
      <c r="M125" s="374"/>
      <c r="N125" s="373"/>
      <c r="O125" s="373"/>
      <c r="P125" s="373"/>
      <c r="Q125" s="373"/>
      <c r="R125" s="373"/>
      <c r="S125" s="373"/>
      <c r="T125" s="373"/>
      <c r="U125" s="373"/>
      <c r="V125" s="373"/>
      <c r="W125" s="373"/>
      <c r="X125" s="373"/>
      <c r="Y125" s="373"/>
      <c r="Z125" s="373"/>
      <c r="AA125" s="373"/>
      <c r="AB125" s="373"/>
      <c r="AC125" s="373"/>
      <c r="AD125" s="373"/>
      <c r="AE125" s="373"/>
      <c r="AF125" s="373"/>
      <c r="AG125" s="373"/>
      <c r="AH125" s="373"/>
      <c r="AI125" s="373"/>
      <c r="AJ125" s="373"/>
      <c r="AK125" s="373"/>
      <c r="AL125" s="373"/>
      <c r="AM125" s="373"/>
      <c r="AN125" s="373"/>
      <c r="AO125" s="373"/>
      <c r="AP125" s="373"/>
      <c r="AQ125" s="373"/>
      <c r="AR125" s="373"/>
      <c r="AS125" s="373"/>
      <c r="AT125" s="373"/>
      <c r="AU125" s="373"/>
      <c r="AV125" s="373"/>
      <c r="AW125" s="373"/>
      <c r="AX125" s="373"/>
      <c r="AY125" s="373"/>
      <c r="AZ125" s="373"/>
      <c r="BA125" s="373"/>
      <c r="BB125" s="373"/>
      <c r="BC125" s="373"/>
      <c r="BD125" s="373"/>
      <c r="BE125" s="373"/>
      <c r="BF125" s="373"/>
      <c r="BG125" s="373"/>
      <c r="BH125" s="373"/>
      <c r="BI125" s="373"/>
      <c r="BJ125" s="373"/>
      <c r="BK125" s="373"/>
      <c r="BL125" s="373"/>
      <c r="BM125" s="373"/>
      <c r="BN125" s="373"/>
      <c r="BO125" s="373"/>
      <c r="BP125" s="373"/>
      <c r="BQ125" s="373"/>
      <c r="BR125" s="373"/>
      <c r="BS125" s="373"/>
      <c r="BT125" s="373"/>
      <c r="BU125" s="373"/>
      <c r="BV125" s="373"/>
      <c r="BW125" s="373"/>
      <c r="BX125" s="373"/>
      <c r="BY125" s="373"/>
      <c r="BZ125" s="373"/>
      <c r="CA125" s="373"/>
      <c r="CB125" s="373"/>
      <c r="CC125" s="373"/>
      <c r="CD125" s="373"/>
      <c r="CE125" s="373"/>
      <c r="CF125" s="373"/>
      <c r="CG125" s="373"/>
      <c r="CH125" s="373"/>
      <c r="CI125" s="373"/>
      <c r="CJ125" s="373"/>
      <c r="CK125" s="373"/>
      <c r="CL125" s="373"/>
      <c r="CM125" s="373"/>
      <c r="CN125" s="373"/>
      <c r="CO125" s="373"/>
      <c r="CP125" s="373"/>
      <c r="CQ125" s="373"/>
      <c r="CR125" s="373"/>
      <c r="CS125" s="373"/>
      <c r="CT125" s="373"/>
      <c r="CU125" s="373"/>
      <c r="CV125" s="373"/>
      <c r="CW125" s="373"/>
      <c r="CX125" s="373"/>
      <c r="CY125" s="373"/>
      <c r="CZ125" s="373"/>
      <c r="DA125" s="373"/>
      <c r="DB125" s="373"/>
      <c r="DC125" s="373"/>
      <c r="DD125" s="373"/>
      <c r="DE125" s="373"/>
      <c r="DF125" s="373"/>
      <c r="DG125" s="373"/>
      <c r="DH125" s="373"/>
      <c r="DI125" s="373"/>
      <c r="DJ125" s="373"/>
      <c r="DK125" s="373"/>
      <c r="DL125" s="373"/>
      <c r="DM125" s="373"/>
      <c r="DN125" s="373"/>
      <c r="DO125" s="373"/>
      <c r="DP125" s="373"/>
      <c r="DQ125" s="373"/>
      <c r="DR125" s="373"/>
      <c r="DS125" s="373"/>
      <c r="DT125" s="373"/>
      <c r="DU125" s="373"/>
      <c r="DV125" s="373"/>
      <c r="DW125" s="373"/>
      <c r="DX125" s="373"/>
      <c r="DY125" s="373"/>
      <c r="DZ125" s="373"/>
      <c r="EA125" s="373"/>
      <c r="EB125" s="373"/>
      <c r="EC125" s="373"/>
      <c r="ED125" s="373"/>
      <c r="EE125" s="373"/>
      <c r="EF125" s="373"/>
      <c r="EG125" s="373"/>
      <c r="EH125" s="373"/>
      <c r="EI125" s="373"/>
      <c r="EJ125" s="373"/>
      <c r="EK125" s="373"/>
      <c r="EL125" s="373"/>
      <c r="EM125" s="373"/>
      <c r="EN125" s="373"/>
      <c r="EO125" s="373"/>
      <c r="EP125" s="373"/>
      <c r="EQ125" s="373"/>
      <c r="ER125" s="373"/>
      <c r="ES125" s="373"/>
      <c r="ET125" s="373"/>
      <c r="EU125" s="373"/>
      <c r="EV125" s="373"/>
      <c r="EW125" s="373"/>
      <c r="EX125" s="373"/>
      <c r="EY125" s="373"/>
      <c r="EZ125" s="373"/>
      <c r="FA125" s="373"/>
      <c r="FB125" s="373"/>
      <c r="FC125" s="373"/>
      <c r="FD125" s="373"/>
      <c r="FE125" s="373"/>
      <c r="FF125" s="373"/>
      <c r="FG125" s="373"/>
      <c r="FH125" s="373"/>
      <c r="FI125" s="373"/>
      <c r="FJ125" s="373"/>
      <c r="FK125" s="373"/>
      <c r="FL125" s="373"/>
      <c r="FM125" s="373"/>
      <c r="FN125" s="373"/>
      <c r="FO125" s="373"/>
      <c r="FP125" s="373"/>
      <c r="FQ125" s="373"/>
      <c r="FR125" s="373"/>
      <c r="FS125" s="373"/>
      <c r="FT125" s="373"/>
      <c r="FU125" s="373"/>
      <c r="FV125" s="373"/>
      <c r="FW125" s="373"/>
      <c r="FX125" s="373"/>
      <c r="FY125" s="373"/>
      <c r="FZ125" s="373"/>
      <c r="GA125" s="373"/>
      <c r="GB125" s="373"/>
      <c r="GC125" s="373"/>
      <c r="GD125" s="373"/>
      <c r="GE125" s="373"/>
      <c r="GF125" s="373"/>
      <c r="GG125" s="373"/>
      <c r="GH125" s="373"/>
      <c r="GI125" s="373"/>
      <c r="GJ125" s="373"/>
      <c r="GK125" s="373"/>
      <c r="GL125" s="373"/>
      <c r="GM125" s="373"/>
      <c r="GN125" s="373"/>
      <c r="GO125" s="373"/>
      <c r="GP125" s="373"/>
      <c r="GQ125" s="373"/>
      <c r="GR125" s="373"/>
      <c r="GS125" s="373"/>
      <c r="GT125" s="373"/>
      <c r="GU125" s="373"/>
      <c r="GV125" s="373"/>
      <c r="GW125" s="373"/>
      <c r="GX125" s="373"/>
      <c r="GY125" s="373"/>
      <c r="GZ125" s="373"/>
      <c r="HA125" s="373"/>
      <c r="HB125" s="373"/>
      <c r="HC125" s="373"/>
      <c r="HD125" s="373"/>
      <c r="HE125" s="373"/>
      <c r="HF125" s="373"/>
      <c r="HG125" s="373"/>
      <c r="HH125" s="373"/>
      <c r="HI125" s="373"/>
      <c r="HJ125" s="373"/>
      <c r="HK125" s="373"/>
      <c r="HL125" s="373"/>
      <c r="HM125" s="373"/>
      <c r="HN125" s="373"/>
      <c r="HO125" s="373"/>
      <c r="HP125" s="373"/>
      <c r="HQ125" s="373"/>
      <c r="HR125" s="373"/>
      <c r="HS125" s="373"/>
      <c r="HT125" s="373"/>
      <c r="HU125" s="373"/>
      <c r="HV125" s="373"/>
      <c r="HW125" s="373"/>
      <c r="HX125" s="373"/>
      <c r="HY125" s="373"/>
      <c r="HZ125" s="373"/>
      <c r="IA125" s="373"/>
      <c r="IB125" s="373"/>
      <c r="IC125" s="373"/>
      <c r="ID125" s="373"/>
      <c r="IE125" s="373"/>
      <c r="IF125" s="373"/>
      <c r="IG125" s="373"/>
      <c r="IH125" s="373"/>
      <c r="II125" s="373"/>
      <c r="IJ125" s="373"/>
      <c r="IK125" s="373"/>
      <c r="IL125" s="373"/>
      <c r="IM125" s="373"/>
      <c r="IN125" s="373"/>
      <c r="IO125" s="373"/>
      <c r="IP125" s="373"/>
      <c r="IQ125" s="373"/>
      <c r="IR125" s="373"/>
      <c r="IS125" s="373"/>
      <c r="IT125" s="373"/>
      <c r="IU125" s="373"/>
      <c r="IV125" s="373"/>
    </row>
    <row r="126" spans="1:256" ht="14.25" x14ac:dyDescent="0.2">
      <c r="A126" s="407"/>
      <c r="B126" s="407"/>
      <c r="C126" s="407"/>
      <c r="D126" s="251" t="s">
        <v>157</v>
      </c>
      <c r="E126" s="251"/>
      <c r="F126" s="251"/>
      <c r="G126" s="251"/>
      <c r="H126" s="251"/>
      <c r="I126" s="252"/>
      <c r="J126" s="253">
        <v>0</v>
      </c>
      <c r="K126" s="254"/>
      <c r="L126" s="253">
        <v>0</v>
      </c>
      <c r="M126" s="374"/>
      <c r="N126" s="376"/>
      <c r="O126" s="376"/>
      <c r="P126" s="376"/>
      <c r="Q126" s="376"/>
      <c r="R126" s="376"/>
      <c r="S126" s="376"/>
      <c r="T126" s="376"/>
      <c r="U126" s="376"/>
      <c r="V126" s="376"/>
      <c r="W126" s="376"/>
      <c r="X126" s="376"/>
      <c r="Y126" s="376"/>
      <c r="Z126" s="376"/>
      <c r="AA126" s="376"/>
      <c r="AB126" s="376"/>
      <c r="AC126" s="376"/>
      <c r="AD126" s="376"/>
      <c r="AE126" s="376"/>
      <c r="AF126" s="376"/>
      <c r="AG126" s="376"/>
      <c r="AH126" s="376"/>
      <c r="AI126" s="376"/>
      <c r="AJ126" s="376"/>
      <c r="AK126" s="376"/>
      <c r="AL126" s="376"/>
      <c r="AM126" s="376"/>
      <c r="AN126" s="376"/>
      <c r="AO126" s="376"/>
      <c r="AP126" s="376"/>
      <c r="AQ126" s="376"/>
      <c r="AR126" s="376"/>
      <c r="AS126" s="376"/>
      <c r="AT126" s="376"/>
      <c r="AU126" s="376"/>
      <c r="AV126" s="376"/>
      <c r="AW126" s="376"/>
      <c r="AX126" s="376"/>
      <c r="AY126" s="376"/>
      <c r="AZ126" s="376"/>
      <c r="BA126" s="376"/>
      <c r="BB126" s="376"/>
      <c r="BC126" s="376"/>
      <c r="BD126" s="376"/>
      <c r="BE126" s="376"/>
      <c r="BF126" s="376"/>
      <c r="BG126" s="376"/>
      <c r="BH126" s="376"/>
      <c r="BI126" s="376"/>
      <c r="BJ126" s="376"/>
      <c r="BK126" s="376"/>
      <c r="BL126" s="376"/>
      <c r="BM126" s="376"/>
      <c r="BN126" s="376"/>
      <c r="BO126" s="376"/>
      <c r="BP126" s="376"/>
      <c r="BQ126" s="376"/>
      <c r="BR126" s="376"/>
      <c r="BS126" s="376"/>
      <c r="BT126" s="376"/>
      <c r="BU126" s="376"/>
      <c r="BV126" s="376"/>
      <c r="BW126" s="376"/>
      <c r="BX126" s="376"/>
      <c r="BY126" s="376"/>
      <c r="BZ126" s="376"/>
      <c r="CA126" s="376"/>
      <c r="CB126" s="376"/>
      <c r="CC126" s="376"/>
      <c r="CD126" s="376"/>
      <c r="CE126" s="376"/>
      <c r="CF126" s="376"/>
      <c r="CG126" s="376"/>
      <c r="CH126" s="376"/>
      <c r="CI126" s="376"/>
      <c r="CJ126" s="376"/>
      <c r="CK126" s="376"/>
      <c r="CL126" s="376"/>
      <c r="CM126" s="376"/>
      <c r="CN126" s="376"/>
      <c r="CO126" s="376"/>
      <c r="CP126" s="376"/>
      <c r="CQ126" s="376"/>
      <c r="CR126" s="376"/>
      <c r="CS126" s="376"/>
      <c r="CT126" s="376"/>
      <c r="CU126" s="376"/>
      <c r="CV126" s="376"/>
      <c r="CW126" s="376"/>
      <c r="CX126" s="376"/>
      <c r="CY126" s="376"/>
      <c r="CZ126" s="376"/>
      <c r="DA126" s="376"/>
      <c r="DB126" s="376"/>
      <c r="DC126" s="376"/>
      <c r="DD126" s="376"/>
      <c r="DE126" s="376"/>
      <c r="DF126" s="376"/>
      <c r="DG126" s="376"/>
      <c r="DH126" s="376"/>
      <c r="DI126" s="376"/>
      <c r="DJ126" s="376"/>
      <c r="DK126" s="376"/>
      <c r="DL126" s="376"/>
      <c r="DM126" s="376"/>
      <c r="DN126" s="376"/>
      <c r="DO126" s="376"/>
      <c r="DP126" s="376"/>
      <c r="DQ126" s="376"/>
      <c r="DR126" s="376"/>
      <c r="DS126" s="376"/>
      <c r="DT126" s="376"/>
      <c r="DU126" s="376"/>
      <c r="DV126" s="376"/>
      <c r="DW126" s="376"/>
      <c r="DX126" s="376"/>
      <c r="DY126" s="376"/>
      <c r="DZ126" s="376"/>
      <c r="EA126" s="376"/>
      <c r="EB126" s="376"/>
      <c r="EC126" s="376"/>
      <c r="ED126" s="376"/>
      <c r="EE126" s="376"/>
      <c r="EF126" s="376"/>
      <c r="EG126" s="376"/>
      <c r="EH126" s="376"/>
      <c r="EI126" s="376"/>
      <c r="EJ126" s="376"/>
      <c r="EK126" s="376"/>
      <c r="EL126" s="376"/>
      <c r="EM126" s="376"/>
      <c r="EN126" s="376"/>
      <c r="EO126" s="376"/>
      <c r="EP126" s="376"/>
      <c r="EQ126" s="376"/>
      <c r="ER126" s="376"/>
      <c r="ES126" s="376"/>
      <c r="ET126" s="376"/>
      <c r="EU126" s="376"/>
      <c r="EV126" s="376"/>
      <c r="EW126" s="376"/>
      <c r="EX126" s="376"/>
      <c r="EY126" s="376"/>
      <c r="EZ126" s="376"/>
      <c r="FA126" s="376"/>
      <c r="FB126" s="376"/>
      <c r="FC126" s="376"/>
      <c r="FD126" s="376"/>
      <c r="FE126" s="376"/>
      <c r="FF126" s="376"/>
      <c r="FG126" s="376"/>
      <c r="FH126" s="376"/>
      <c r="FI126" s="376"/>
      <c r="FJ126" s="376"/>
      <c r="FK126" s="376"/>
      <c r="FL126" s="376"/>
      <c r="FM126" s="376"/>
      <c r="FN126" s="376"/>
      <c r="FO126" s="376"/>
      <c r="FP126" s="376"/>
      <c r="FQ126" s="376"/>
      <c r="FR126" s="376"/>
      <c r="FS126" s="376"/>
      <c r="FT126" s="376"/>
      <c r="FU126" s="376"/>
      <c r="FV126" s="376"/>
      <c r="FW126" s="376"/>
      <c r="FX126" s="376"/>
      <c r="FY126" s="376"/>
      <c r="FZ126" s="376"/>
      <c r="GA126" s="376"/>
      <c r="GB126" s="376"/>
      <c r="GC126" s="376"/>
      <c r="GD126" s="376"/>
      <c r="GE126" s="376"/>
      <c r="GF126" s="376"/>
      <c r="GG126" s="376"/>
      <c r="GH126" s="376"/>
      <c r="GI126" s="376"/>
      <c r="GJ126" s="376"/>
      <c r="GK126" s="376"/>
      <c r="GL126" s="376"/>
      <c r="GM126" s="376"/>
      <c r="GN126" s="376"/>
      <c r="GO126" s="376"/>
      <c r="GP126" s="376"/>
      <c r="GQ126" s="376"/>
      <c r="GR126" s="376"/>
      <c r="GS126" s="376"/>
      <c r="GT126" s="376"/>
      <c r="GU126" s="376"/>
      <c r="GV126" s="376"/>
      <c r="GW126" s="376"/>
      <c r="GX126" s="376"/>
      <c r="GY126" s="376"/>
      <c r="GZ126" s="376"/>
      <c r="HA126" s="376"/>
      <c r="HB126" s="376"/>
      <c r="HC126" s="376"/>
      <c r="HD126" s="376"/>
      <c r="HE126" s="376"/>
      <c r="HF126" s="376"/>
      <c r="HG126" s="376"/>
      <c r="HH126" s="376"/>
      <c r="HI126" s="376"/>
      <c r="HJ126" s="376"/>
      <c r="HK126" s="376"/>
      <c r="HL126" s="376"/>
      <c r="HM126" s="376"/>
      <c r="HN126" s="376"/>
      <c r="HO126" s="376"/>
      <c r="HP126" s="376"/>
      <c r="HQ126" s="376"/>
      <c r="HR126" s="376"/>
      <c r="HS126" s="376"/>
      <c r="HT126" s="376"/>
      <c r="HU126" s="376"/>
      <c r="HV126" s="376"/>
      <c r="HW126" s="376"/>
      <c r="HX126" s="376"/>
      <c r="HY126" s="376"/>
      <c r="HZ126" s="376"/>
      <c r="IA126" s="376"/>
      <c r="IB126" s="376"/>
      <c r="IC126" s="376"/>
      <c r="ID126" s="376"/>
      <c r="IE126" s="376"/>
      <c r="IF126" s="376"/>
      <c r="IG126" s="376"/>
      <c r="IH126" s="376"/>
      <c r="II126" s="376"/>
      <c r="IJ126" s="376"/>
      <c r="IK126" s="376"/>
      <c r="IL126" s="376"/>
      <c r="IM126" s="376"/>
      <c r="IN126" s="376"/>
      <c r="IO126" s="376"/>
      <c r="IP126" s="376"/>
      <c r="IQ126" s="376"/>
      <c r="IR126" s="376"/>
      <c r="IS126" s="376"/>
      <c r="IT126" s="376"/>
      <c r="IU126" s="376"/>
      <c r="IV126" s="376"/>
    </row>
    <row r="127" spans="1:256" ht="14.25" x14ac:dyDescent="0.2">
      <c r="A127" s="371"/>
      <c r="B127" s="371"/>
      <c r="C127" s="371"/>
      <c r="D127" s="255" t="s">
        <v>196</v>
      </c>
      <c r="E127" s="255"/>
      <c r="F127" s="255"/>
      <c r="G127" s="255"/>
      <c r="H127" s="255"/>
      <c r="I127" s="255"/>
      <c r="J127" s="256">
        <f>J124*15%</f>
        <v>184.75</v>
      </c>
      <c r="K127" s="256"/>
      <c r="L127" s="256">
        <f>L124*15%</f>
        <v>4476.43</v>
      </c>
      <c r="M127" s="370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371"/>
      <c r="Y127" s="371"/>
      <c r="Z127" s="371"/>
      <c r="AA127" s="371"/>
      <c r="AB127" s="371"/>
      <c r="AC127" s="371"/>
      <c r="AD127" s="371"/>
      <c r="AE127" s="371"/>
      <c r="AF127" s="371"/>
      <c r="AG127" s="371"/>
      <c r="AH127" s="371"/>
      <c r="AI127" s="371"/>
      <c r="AJ127" s="371"/>
      <c r="AK127" s="371"/>
      <c r="AL127" s="371"/>
      <c r="AM127" s="371"/>
      <c r="AN127" s="371"/>
      <c r="AO127" s="371"/>
      <c r="AP127" s="371"/>
      <c r="AQ127" s="371"/>
      <c r="AR127" s="371"/>
      <c r="AS127" s="371"/>
      <c r="AT127" s="371"/>
      <c r="AU127" s="371"/>
      <c r="AV127" s="371"/>
      <c r="AW127" s="371"/>
      <c r="AX127" s="371"/>
      <c r="AY127" s="371"/>
      <c r="AZ127" s="371"/>
      <c r="BA127" s="371"/>
      <c r="BB127" s="371"/>
      <c r="BC127" s="371"/>
      <c r="BD127" s="371"/>
      <c r="BE127" s="371"/>
      <c r="BF127" s="371"/>
      <c r="BG127" s="371"/>
      <c r="BH127" s="371"/>
      <c r="BI127" s="371"/>
      <c r="BJ127" s="371"/>
      <c r="BK127" s="371"/>
      <c r="BL127" s="371"/>
      <c r="BM127" s="371"/>
      <c r="BN127" s="371"/>
      <c r="BO127" s="371"/>
      <c r="BP127" s="371"/>
      <c r="BQ127" s="371"/>
      <c r="BR127" s="371"/>
      <c r="BS127" s="371"/>
      <c r="BT127" s="371"/>
      <c r="BU127" s="371"/>
      <c r="BV127" s="371"/>
      <c r="BW127" s="371"/>
      <c r="BX127" s="371"/>
      <c r="BY127" s="371"/>
      <c r="BZ127" s="371"/>
      <c r="CA127" s="371"/>
      <c r="CB127" s="371"/>
      <c r="CC127" s="371"/>
      <c r="CD127" s="371"/>
      <c r="CE127" s="371"/>
      <c r="CF127" s="371"/>
      <c r="CG127" s="371"/>
      <c r="CH127" s="371"/>
      <c r="CI127" s="371"/>
      <c r="CJ127" s="371"/>
      <c r="CK127" s="371"/>
      <c r="CL127" s="371"/>
      <c r="CM127" s="371"/>
      <c r="CN127" s="371"/>
      <c r="CO127" s="371"/>
      <c r="CP127" s="371"/>
      <c r="CQ127" s="371"/>
      <c r="CR127" s="371"/>
      <c r="CS127" s="371"/>
      <c r="CT127" s="371"/>
      <c r="CU127" s="371"/>
      <c r="CV127" s="371"/>
      <c r="CW127" s="371"/>
      <c r="CX127" s="371"/>
      <c r="CY127" s="371"/>
      <c r="CZ127" s="371"/>
      <c r="DA127" s="371"/>
      <c r="DB127" s="371"/>
      <c r="DC127" s="371"/>
      <c r="DD127" s="371"/>
      <c r="DE127" s="371"/>
      <c r="DF127" s="371"/>
      <c r="DG127" s="371"/>
      <c r="DH127" s="371"/>
      <c r="DI127" s="371"/>
      <c r="DJ127" s="371"/>
      <c r="DK127" s="371"/>
      <c r="DL127" s="371"/>
      <c r="DM127" s="371"/>
      <c r="DN127" s="371"/>
      <c r="DO127" s="371"/>
      <c r="DP127" s="371"/>
      <c r="DQ127" s="371"/>
      <c r="DR127" s="371"/>
      <c r="DS127" s="371"/>
      <c r="DT127" s="371"/>
      <c r="DU127" s="371"/>
      <c r="DV127" s="371"/>
      <c r="DW127" s="371"/>
      <c r="DX127" s="371"/>
      <c r="DY127" s="371"/>
      <c r="DZ127" s="371"/>
      <c r="EA127" s="371"/>
      <c r="EB127" s="371"/>
      <c r="EC127" s="371"/>
      <c r="ED127" s="371"/>
      <c r="EE127" s="371"/>
      <c r="EF127" s="371"/>
      <c r="EG127" s="371"/>
      <c r="EH127" s="371"/>
      <c r="EI127" s="371"/>
      <c r="EJ127" s="371"/>
      <c r="EK127" s="371"/>
      <c r="EL127" s="371"/>
      <c r="EM127" s="371"/>
      <c r="EN127" s="371"/>
      <c r="EO127" s="371"/>
      <c r="EP127" s="371"/>
      <c r="EQ127" s="371"/>
      <c r="ER127" s="371"/>
      <c r="ES127" s="371"/>
      <c r="ET127" s="371"/>
      <c r="EU127" s="371"/>
      <c r="EV127" s="371"/>
      <c r="EW127" s="371"/>
      <c r="EX127" s="371"/>
      <c r="EY127" s="371"/>
      <c r="EZ127" s="371"/>
      <c r="FA127" s="371"/>
      <c r="FB127" s="371"/>
      <c r="FC127" s="371"/>
      <c r="FD127" s="371"/>
      <c r="FE127" s="371"/>
      <c r="FF127" s="371"/>
      <c r="FG127" s="371"/>
      <c r="FH127" s="371"/>
      <c r="FI127" s="371"/>
      <c r="FJ127" s="371"/>
      <c r="FK127" s="371"/>
      <c r="FL127" s="371"/>
      <c r="FM127" s="371"/>
      <c r="FN127" s="371"/>
      <c r="FO127" s="371"/>
      <c r="FP127" s="371"/>
      <c r="FQ127" s="371"/>
      <c r="FR127" s="371"/>
      <c r="FS127" s="371"/>
      <c r="FT127" s="371"/>
      <c r="FU127" s="371"/>
      <c r="FV127" s="371"/>
      <c r="FW127" s="371"/>
      <c r="FX127" s="371"/>
      <c r="FY127" s="371"/>
      <c r="FZ127" s="371"/>
      <c r="GA127" s="371"/>
      <c r="GB127" s="371"/>
      <c r="GC127" s="371"/>
      <c r="GD127" s="371"/>
      <c r="GE127" s="371"/>
      <c r="GF127" s="371"/>
      <c r="GG127" s="371"/>
      <c r="GH127" s="371"/>
      <c r="GI127" s="371"/>
      <c r="GJ127" s="371"/>
      <c r="GK127" s="371"/>
      <c r="GL127" s="371"/>
      <c r="GM127" s="371"/>
      <c r="GN127" s="371"/>
      <c r="GO127" s="371"/>
      <c r="GP127" s="371"/>
      <c r="GQ127" s="371"/>
      <c r="GR127" s="371"/>
      <c r="GS127" s="371"/>
      <c r="GT127" s="371"/>
      <c r="GU127" s="371"/>
      <c r="GV127" s="371"/>
      <c r="GW127" s="371"/>
      <c r="GX127" s="371"/>
      <c r="GY127" s="371"/>
      <c r="GZ127" s="371"/>
      <c r="HA127" s="371"/>
      <c r="HB127" s="371"/>
      <c r="HC127" s="371"/>
      <c r="HD127" s="371"/>
      <c r="HE127" s="371"/>
      <c r="HF127" s="371"/>
      <c r="HG127" s="371"/>
      <c r="HH127" s="371"/>
      <c r="HI127" s="371"/>
      <c r="HJ127" s="371"/>
      <c r="HK127" s="371"/>
      <c r="HL127" s="371"/>
      <c r="HM127" s="371"/>
      <c r="HN127" s="371"/>
      <c r="HO127" s="371"/>
      <c r="HP127" s="371"/>
      <c r="HQ127" s="371"/>
      <c r="HR127" s="371"/>
      <c r="HS127" s="371"/>
      <c r="HT127" s="371"/>
      <c r="HU127" s="371"/>
      <c r="HV127" s="371"/>
      <c r="HW127" s="371"/>
      <c r="HX127" s="371"/>
      <c r="HY127" s="371"/>
      <c r="HZ127" s="371"/>
      <c r="IA127" s="371"/>
      <c r="IB127" s="371"/>
      <c r="IC127" s="371"/>
      <c r="ID127" s="371"/>
      <c r="IE127" s="371"/>
      <c r="IF127" s="371"/>
      <c r="IG127" s="371"/>
      <c r="IH127" s="371"/>
      <c r="II127" s="371"/>
      <c r="IJ127" s="371"/>
      <c r="IK127" s="371"/>
      <c r="IL127" s="371"/>
      <c r="IM127" s="371"/>
      <c r="IN127" s="371"/>
      <c r="IO127" s="371"/>
      <c r="IP127" s="371"/>
      <c r="IQ127" s="371"/>
      <c r="IR127" s="371"/>
      <c r="IS127" s="371"/>
      <c r="IT127" s="371"/>
      <c r="IU127" s="371"/>
      <c r="IV127" s="371"/>
    </row>
    <row r="128" spans="1:256" ht="15" x14ac:dyDescent="0.25">
      <c r="A128" s="371"/>
      <c r="B128" s="371"/>
      <c r="C128" s="371"/>
      <c r="D128" s="257" t="s">
        <v>197</v>
      </c>
      <c r="E128" s="258"/>
      <c r="F128" s="258"/>
      <c r="G128" s="258"/>
      <c r="H128" s="258"/>
      <c r="I128" s="258"/>
      <c r="J128" s="259">
        <f>J122+J127</f>
        <v>14108.29</v>
      </c>
      <c r="K128" s="259"/>
      <c r="L128" s="259">
        <f>L122+L127</f>
        <v>110391.98</v>
      </c>
      <c r="M128" s="370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371"/>
      <c r="Y128" s="371"/>
      <c r="Z128" s="371"/>
      <c r="AA128" s="371"/>
      <c r="AB128" s="371"/>
      <c r="AC128" s="371"/>
      <c r="AD128" s="371"/>
      <c r="AE128" s="371"/>
      <c r="AF128" s="371"/>
      <c r="AG128" s="371"/>
      <c r="AH128" s="371"/>
      <c r="AI128" s="371"/>
      <c r="AJ128" s="371"/>
      <c r="AK128" s="371"/>
      <c r="AL128" s="371"/>
      <c r="AM128" s="371"/>
      <c r="AN128" s="371"/>
      <c r="AO128" s="371"/>
      <c r="AP128" s="371"/>
      <c r="AQ128" s="371"/>
      <c r="AR128" s="371"/>
      <c r="AS128" s="371"/>
      <c r="AT128" s="371"/>
      <c r="AU128" s="371"/>
      <c r="AV128" s="371"/>
      <c r="AW128" s="371"/>
      <c r="AX128" s="371"/>
      <c r="AY128" s="371"/>
      <c r="AZ128" s="371"/>
      <c r="BA128" s="371"/>
      <c r="BB128" s="371"/>
      <c r="BC128" s="371"/>
      <c r="BD128" s="371"/>
      <c r="BE128" s="371"/>
      <c r="BF128" s="371"/>
      <c r="BG128" s="371"/>
      <c r="BH128" s="371"/>
      <c r="BI128" s="371"/>
      <c r="BJ128" s="371"/>
      <c r="BK128" s="371"/>
      <c r="BL128" s="371"/>
      <c r="BM128" s="371"/>
      <c r="BN128" s="371"/>
      <c r="BO128" s="371"/>
      <c r="BP128" s="371"/>
      <c r="BQ128" s="371"/>
      <c r="BR128" s="371"/>
      <c r="BS128" s="371"/>
      <c r="BT128" s="371"/>
      <c r="BU128" s="371"/>
      <c r="BV128" s="371"/>
      <c r="BW128" s="371"/>
      <c r="BX128" s="371"/>
      <c r="BY128" s="371"/>
      <c r="BZ128" s="371"/>
      <c r="CA128" s="371"/>
      <c r="CB128" s="371"/>
      <c r="CC128" s="371"/>
      <c r="CD128" s="371"/>
      <c r="CE128" s="371"/>
      <c r="CF128" s="371"/>
      <c r="CG128" s="371"/>
      <c r="CH128" s="371"/>
      <c r="CI128" s="371"/>
      <c r="CJ128" s="371"/>
      <c r="CK128" s="371"/>
      <c r="CL128" s="371"/>
      <c r="CM128" s="371"/>
      <c r="CN128" s="371"/>
      <c r="CO128" s="371"/>
      <c r="CP128" s="371"/>
      <c r="CQ128" s="371"/>
      <c r="CR128" s="371"/>
      <c r="CS128" s="371"/>
      <c r="CT128" s="371"/>
      <c r="CU128" s="371"/>
      <c r="CV128" s="371"/>
      <c r="CW128" s="371"/>
      <c r="CX128" s="371"/>
      <c r="CY128" s="371"/>
      <c r="CZ128" s="371"/>
      <c r="DA128" s="371"/>
      <c r="DB128" s="371"/>
      <c r="DC128" s="371"/>
      <c r="DD128" s="371"/>
      <c r="DE128" s="371"/>
      <c r="DF128" s="371"/>
      <c r="DG128" s="371"/>
      <c r="DH128" s="371"/>
      <c r="DI128" s="371"/>
      <c r="DJ128" s="371"/>
      <c r="DK128" s="371"/>
      <c r="DL128" s="371"/>
      <c r="DM128" s="371"/>
      <c r="DN128" s="371"/>
      <c r="DO128" s="371"/>
      <c r="DP128" s="371"/>
      <c r="DQ128" s="371"/>
      <c r="DR128" s="371"/>
      <c r="DS128" s="371"/>
      <c r="DT128" s="371"/>
      <c r="DU128" s="371"/>
      <c r="DV128" s="371"/>
      <c r="DW128" s="371"/>
      <c r="DX128" s="371"/>
      <c r="DY128" s="371"/>
      <c r="DZ128" s="371"/>
      <c r="EA128" s="371"/>
      <c r="EB128" s="371"/>
      <c r="EC128" s="371"/>
      <c r="ED128" s="371"/>
      <c r="EE128" s="371"/>
      <c r="EF128" s="371"/>
      <c r="EG128" s="371"/>
      <c r="EH128" s="371"/>
      <c r="EI128" s="371"/>
      <c r="EJ128" s="371"/>
      <c r="EK128" s="371"/>
      <c r="EL128" s="371"/>
      <c r="EM128" s="371"/>
      <c r="EN128" s="371"/>
      <c r="EO128" s="371"/>
      <c r="EP128" s="371"/>
      <c r="EQ128" s="371"/>
      <c r="ER128" s="371"/>
      <c r="ES128" s="371"/>
      <c r="ET128" s="371"/>
      <c r="EU128" s="371"/>
      <c r="EV128" s="371"/>
      <c r="EW128" s="371"/>
      <c r="EX128" s="371"/>
      <c r="EY128" s="371"/>
      <c r="EZ128" s="371"/>
      <c r="FA128" s="371"/>
      <c r="FB128" s="371"/>
      <c r="FC128" s="371"/>
      <c r="FD128" s="371"/>
      <c r="FE128" s="371"/>
      <c r="FF128" s="371"/>
      <c r="FG128" s="371"/>
      <c r="FH128" s="371"/>
      <c r="FI128" s="371"/>
      <c r="FJ128" s="371"/>
      <c r="FK128" s="371"/>
      <c r="FL128" s="371"/>
      <c r="FM128" s="371"/>
      <c r="FN128" s="371"/>
      <c r="FO128" s="371"/>
      <c r="FP128" s="371"/>
      <c r="FQ128" s="371"/>
      <c r="FR128" s="371"/>
      <c r="FS128" s="371"/>
      <c r="FT128" s="371"/>
      <c r="FU128" s="371"/>
      <c r="FV128" s="371"/>
      <c r="FW128" s="371"/>
      <c r="FX128" s="371"/>
      <c r="FY128" s="371"/>
      <c r="FZ128" s="371"/>
      <c r="GA128" s="371"/>
      <c r="GB128" s="371"/>
      <c r="GC128" s="371"/>
      <c r="GD128" s="371"/>
      <c r="GE128" s="371"/>
      <c r="GF128" s="371"/>
      <c r="GG128" s="371"/>
      <c r="GH128" s="371"/>
      <c r="GI128" s="371"/>
      <c r="GJ128" s="371"/>
      <c r="GK128" s="371"/>
      <c r="GL128" s="371"/>
      <c r="GM128" s="371"/>
      <c r="GN128" s="371"/>
      <c r="GO128" s="371"/>
      <c r="GP128" s="371"/>
      <c r="GQ128" s="371"/>
      <c r="GR128" s="371"/>
      <c r="GS128" s="371"/>
      <c r="GT128" s="371"/>
      <c r="GU128" s="371"/>
      <c r="GV128" s="371"/>
      <c r="GW128" s="371"/>
      <c r="GX128" s="371"/>
      <c r="GY128" s="371"/>
      <c r="GZ128" s="371"/>
      <c r="HA128" s="371"/>
      <c r="HB128" s="371"/>
      <c r="HC128" s="371"/>
      <c r="HD128" s="371"/>
      <c r="HE128" s="371"/>
      <c r="HF128" s="371"/>
      <c r="HG128" s="371"/>
      <c r="HH128" s="371"/>
      <c r="HI128" s="371"/>
      <c r="HJ128" s="371"/>
      <c r="HK128" s="371"/>
      <c r="HL128" s="371"/>
      <c r="HM128" s="371"/>
      <c r="HN128" s="371"/>
      <c r="HO128" s="371"/>
      <c r="HP128" s="371"/>
      <c r="HQ128" s="371"/>
      <c r="HR128" s="371"/>
      <c r="HS128" s="371"/>
      <c r="HT128" s="371"/>
      <c r="HU128" s="371"/>
      <c r="HV128" s="371"/>
      <c r="HW128" s="371"/>
      <c r="HX128" s="371"/>
      <c r="HY128" s="371"/>
      <c r="HZ128" s="371"/>
      <c r="IA128" s="371"/>
      <c r="IB128" s="371"/>
      <c r="IC128" s="371"/>
      <c r="ID128" s="371"/>
      <c r="IE128" s="371"/>
      <c r="IF128" s="371"/>
      <c r="IG128" s="371"/>
      <c r="IH128" s="371"/>
      <c r="II128" s="371"/>
      <c r="IJ128" s="371"/>
      <c r="IK128" s="371"/>
      <c r="IL128" s="371"/>
      <c r="IM128" s="371"/>
      <c r="IN128" s="371"/>
      <c r="IO128" s="371"/>
      <c r="IP128" s="371"/>
      <c r="IQ128" s="371"/>
      <c r="IR128" s="371"/>
      <c r="IS128" s="371"/>
      <c r="IT128" s="371"/>
      <c r="IU128" s="371"/>
      <c r="IV128" s="371"/>
    </row>
    <row r="129" spans="1:256" ht="14.25" x14ac:dyDescent="0.2">
      <c r="A129" s="375"/>
      <c r="B129" s="375"/>
      <c r="C129" s="375"/>
      <c r="D129" s="241"/>
      <c r="E129" s="241"/>
      <c r="F129" s="241"/>
      <c r="G129" s="241"/>
      <c r="H129" s="241"/>
      <c r="I129" s="241"/>
      <c r="J129" s="241"/>
      <c r="K129" s="241"/>
      <c r="L129" s="241"/>
      <c r="M129" s="374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75"/>
      <c r="AA129" s="375"/>
      <c r="AB129" s="375"/>
      <c r="AC129" s="375"/>
      <c r="AD129" s="375"/>
      <c r="AE129" s="375"/>
      <c r="AF129" s="375"/>
      <c r="AG129" s="375"/>
      <c r="AH129" s="375"/>
      <c r="AI129" s="375"/>
      <c r="AJ129" s="375"/>
      <c r="AK129" s="375"/>
      <c r="AL129" s="375"/>
      <c r="AM129" s="375"/>
      <c r="AN129" s="375"/>
      <c r="AO129" s="375"/>
      <c r="AP129" s="375"/>
      <c r="AQ129" s="375"/>
      <c r="AR129" s="375"/>
      <c r="AS129" s="375"/>
      <c r="AT129" s="375"/>
      <c r="AU129" s="375"/>
      <c r="AV129" s="375"/>
      <c r="AW129" s="375"/>
      <c r="AX129" s="375"/>
      <c r="AY129" s="375"/>
      <c r="AZ129" s="375"/>
      <c r="BA129" s="375"/>
      <c r="BB129" s="375"/>
      <c r="BC129" s="375"/>
      <c r="BD129" s="375"/>
      <c r="BE129" s="375"/>
      <c r="BF129" s="375"/>
      <c r="BG129" s="375"/>
      <c r="BH129" s="375"/>
      <c r="BI129" s="375"/>
      <c r="BJ129" s="375"/>
      <c r="BK129" s="375"/>
      <c r="BL129" s="375"/>
      <c r="BM129" s="375"/>
      <c r="BN129" s="375"/>
      <c r="BO129" s="375"/>
      <c r="BP129" s="375"/>
      <c r="BQ129" s="375"/>
      <c r="BR129" s="375"/>
      <c r="BS129" s="375"/>
      <c r="BT129" s="375"/>
      <c r="BU129" s="375"/>
      <c r="BV129" s="375"/>
      <c r="BW129" s="375"/>
      <c r="BX129" s="375"/>
      <c r="BY129" s="375"/>
      <c r="BZ129" s="375"/>
      <c r="CA129" s="375"/>
      <c r="CB129" s="375"/>
      <c r="CC129" s="375"/>
      <c r="CD129" s="375"/>
      <c r="CE129" s="375"/>
      <c r="CF129" s="375"/>
      <c r="CG129" s="375"/>
      <c r="CH129" s="375"/>
      <c r="CI129" s="375"/>
      <c r="CJ129" s="375"/>
      <c r="CK129" s="375"/>
      <c r="CL129" s="375"/>
      <c r="CM129" s="375"/>
      <c r="CN129" s="375"/>
      <c r="CO129" s="375"/>
      <c r="CP129" s="375"/>
      <c r="CQ129" s="375"/>
      <c r="CR129" s="375"/>
      <c r="CS129" s="375"/>
      <c r="CT129" s="375"/>
      <c r="CU129" s="375"/>
      <c r="CV129" s="375"/>
      <c r="CW129" s="375"/>
      <c r="CX129" s="375"/>
      <c r="CY129" s="375"/>
      <c r="CZ129" s="375"/>
      <c r="DA129" s="375"/>
      <c r="DB129" s="375"/>
      <c r="DC129" s="375"/>
      <c r="DD129" s="375"/>
      <c r="DE129" s="375"/>
      <c r="DF129" s="375"/>
      <c r="DG129" s="375"/>
      <c r="DH129" s="375"/>
      <c r="DI129" s="375"/>
      <c r="DJ129" s="375"/>
      <c r="DK129" s="375"/>
      <c r="DL129" s="375"/>
      <c r="DM129" s="375"/>
      <c r="DN129" s="375"/>
      <c r="DO129" s="375"/>
      <c r="DP129" s="375"/>
      <c r="DQ129" s="375"/>
      <c r="DR129" s="375"/>
      <c r="DS129" s="375"/>
      <c r="DT129" s="375"/>
      <c r="DU129" s="375"/>
      <c r="DV129" s="375"/>
      <c r="DW129" s="375"/>
      <c r="DX129" s="375"/>
      <c r="DY129" s="375"/>
      <c r="DZ129" s="375"/>
      <c r="EA129" s="375"/>
      <c r="EB129" s="375"/>
      <c r="EC129" s="375"/>
      <c r="ED129" s="375"/>
      <c r="EE129" s="375"/>
      <c r="EF129" s="375"/>
      <c r="EG129" s="375"/>
      <c r="EH129" s="375"/>
      <c r="EI129" s="375"/>
      <c r="EJ129" s="375"/>
      <c r="EK129" s="375"/>
      <c r="EL129" s="375"/>
      <c r="EM129" s="375"/>
      <c r="EN129" s="375"/>
      <c r="EO129" s="375"/>
      <c r="EP129" s="375"/>
      <c r="EQ129" s="375"/>
      <c r="ER129" s="375"/>
      <c r="ES129" s="375"/>
      <c r="ET129" s="375"/>
      <c r="EU129" s="375"/>
      <c r="EV129" s="375"/>
      <c r="EW129" s="375"/>
      <c r="EX129" s="375"/>
      <c r="EY129" s="375"/>
      <c r="EZ129" s="375"/>
      <c r="FA129" s="375"/>
      <c r="FB129" s="375"/>
      <c r="FC129" s="375"/>
      <c r="FD129" s="375"/>
      <c r="FE129" s="375"/>
      <c r="FF129" s="375"/>
      <c r="FG129" s="375"/>
      <c r="FH129" s="375"/>
      <c r="FI129" s="375"/>
      <c r="FJ129" s="375"/>
      <c r="FK129" s="375"/>
      <c r="FL129" s="375"/>
      <c r="FM129" s="375"/>
      <c r="FN129" s="375"/>
      <c r="FO129" s="375"/>
      <c r="FP129" s="375"/>
      <c r="FQ129" s="375"/>
      <c r="FR129" s="375"/>
      <c r="FS129" s="375"/>
      <c r="FT129" s="375"/>
      <c r="FU129" s="375"/>
      <c r="FV129" s="375"/>
      <c r="FW129" s="375"/>
      <c r="FX129" s="375"/>
      <c r="FY129" s="375"/>
      <c r="FZ129" s="375"/>
      <c r="GA129" s="375"/>
      <c r="GB129" s="375"/>
      <c r="GC129" s="375"/>
      <c r="GD129" s="375"/>
      <c r="GE129" s="375"/>
      <c r="GF129" s="375"/>
      <c r="GG129" s="375"/>
      <c r="GH129" s="375"/>
      <c r="GI129" s="375"/>
      <c r="GJ129" s="375"/>
      <c r="GK129" s="375"/>
      <c r="GL129" s="375"/>
      <c r="GM129" s="375"/>
      <c r="GN129" s="375"/>
      <c r="GO129" s="375"/>
      <c r="GP129" s="375"/>
      <c r="GQ129" s="375"/>
      <c r="GR129" s="375"/>
      <c r="GS129" s="375"/>
      <c r="GT129" s="375"/>
      <c r="GU129" s="375"/>
      <c r="GV129" s="375"/>
      <c r="GW129" s="375"/>
      <c r="GX129" s="375"/>
      <c r="GY129" s="375"/>
      <c r="GZ129" s="375"/>
      <c r="HA129" s="375"/>
      <c r="HB129" s="375"/>
      <c r="HC129" s="375"/>
      <c r="HD129" s="375"/>
      <c r="HE129" s="375"/>
      <c r="HF129" s="375"/>
      <c r="HG129" s="375"/>
      <c r="HH129" s="375"/>
      <c r="HI129" s="375"/>
      <c r="HJ129" s="375"/>
      <c r="HK129" s="375"/>
      <c r="HL129" s="375"/>
      <c r="HM129" s="375"/>
      <c r="HN129" s="375"/>
      <c r="HO129" s="375"/>
      <c r="HP129" s="375"/>
      <c r="HQ129" s="375"/>
      <c r="HR129" s="375"/>
      <c r="HS129" s="375"/>
      <c r="HT129" s="375"/>
      <c r="HU129" s="375"/>
      <c r="HV129" s="375"/>
      <c r="HW129" s="375"/>
      <c r="HX129" s="375"/>
      <c r="HY129" s="375"/>
      <c r="HZ129" s="375"/>
      <c r="IA129" s="375"/>
      <c r="IB129" s="375"/>
      <c r="IC129" s="375"/>
      <c r="ID129" s="375"/>
      <c r="IE129" s="375"/>
      <c r="IF129" s="375"/>
      <c r="IG129" s="375"/>
      <c r="IH129" s="375"/>
      <c r="II129" s="375"/>
      <c r="IJ129" s="375"/>
      <c r="IK129" s="375"/>
      <c r="IL129" s="375"/>
      <c r="IM129" s="375"/>
      <c r="IN129" s="375"/>
      <c r="IO129" s="375"/>
      <c r="IP129" s="375"/>
      <c r="IQ129" s="375"/>
      <c r="IR129" s="375"/>
      <c r="IS129" s="375"/>
      <c r="IT129" s="375"/>
      <c r="IU129" s="375"/>
      <c r="IV129" s="375"/>
    </row>
    <row r="130" spans="1:256" ht="14.25" x14ac:dyDescent="0.2">
      <c r="A130" s="375"/>
      <c r="B130" s="375"/>
      <c r="C130" s="375"/>
      <c r="D130" s="241"/>
      <c r="E130" s="241"/>
      <c r="F130" s="241"/>
      <c r="G130" s="241"/>
      <c r="H130" s="241"/>
      <c r="I130" s="241"/>
      <c r="J130" s="241"/>
      <c r="K130" s="241"/>
      <c r="L130" s="241"/>
      <c r="M130" s="374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75"/>
      <c r="AA130" s="375"/>
      <c r="AB130" s="375"/>
      <c r="AC130" s="375"/>
      <c r="AD130" s="375"/>
      <c r="AE130" s="375"/>
      <c r="AF130" s="375"/>
      <c r="AG130" s="375"/>
      <c r="AH130" s="375"/>
      <c r="AI130" s="375"/>
      <c r="AJ130" s="375"/>
      <c r="AK130" s="375"/>
      <c r="AL130" s="375"/>
      <c r="AM130" s="375"/>
      <c r="AN130" s="375"/>
      <c r="AO130" s="375"/>
      <c r="AP130" s="375"/>
      <c r="AQ130" s="375"/>
      <c r="AR130" s="375"/>
      <c r="AS130" s="375"/>
      <c r="AT130" s="375"/>
      <c r="AU130" s="375"/>
      <c r="AV130" s="375"/>
      <c r="AW130" s="375"/>
      <c r="AX130" s="375"/>
      <c r="AY130" s="375"/>
      <c r="AZ130" s="375"/>
      <c r="BA130" s="375"/>
      <c r="BB130" s="375"/>
      <c r="BC130" s="375"/>
      <c r="BD130" s="375"/>
      <c r="BE130" s="375"/>
      <c r="BF130" s="375"/>
      <c r="BG130" s="375"/>
      <c r="BH130" s="375"/>
      <c r="BI130" s="375"/>
      <c r="BJ130" s="375"/>
      <c r="BK130" s="375"/>
      <c r="BL130" s="375"/>
      <c r="BM130" s="375"/>
      <c r="BN130" s="375"/>
      <c r="BO130" s="375"/>
      <c r="BP130" s="375"/>
      <c r="BQ130" s="375"/>
      <c r="BR130" s="375"/>
      <c r="BS130" s="375"/>
      <c r="BT130" s="375"/>
      <c r="BU130" s="375"/>
      <c r="BV130" s="375"/>
      <c r="BW130" s="375"/>
      <c r="BX130" s="375"/>
      <c r="BY130" s="375"/>
      <c r="BZ130" s="375"/>
      <c r="CA130" s="375"/>
      <c r="CB130" s="375"/>
      <c r="CC130" s="375"/>
      <c r="CD130" s="375"/>
      <c r="CE130" s="375"/>
      <c r="CF130" s="375"/>
      <c r="CG130" s="375"/>
      <c r="CH130" s="375"/>
      <c r="CI130" s="375"/>
      <c r="CJ130" s="375"/>
      <c r="CK130" s="375"/>
      <c r="CL130" s="375"/>
      <c r="CM130" s="375"/>
      <c r="CN130" s="375"/>
      <c r="CO130" s="375"/>
      <c r="CP130" s="375"/>
      <c r="CQ130" s="375"/>
      <c r="CR130" s="375"/>
      <c r="CS130" s="375"/>
      <c r="CT130" s="375"/>
      <c r="CU130" s="375"/>
      <c r="CV130" s="375"/>
      <c r="CW130" s="375"/>
      <c r="CX130" s="375"/>
      <c r="CY130" s="375"/>
      <c r="CZ130" s="375"/>
      <c r="DA130" s="375"/>
      <c r="DB130" s="375"/>
      <c r="DC130" s="375"/>
      <c r="DD130" s="375"/>
      <c r="DE130" s="375"/>
      <c r="DF130" s="375"/>
      <c r="DG130" s="375"/>
      <c r="DH130" s="375"/>
      <c r="DI130" s="375"/>
      <c r="DJ130" s="375"/>
      <c r="DK130" s="375"/>
      <c r="DL130" s="375"/>
      <c r="DM130" s="375"/>
      <c r="DN130" s="375"/>
      <c r="DO130" s="375"/>
      <c r="DP130" s="375"/>
      <c r="DQ130" s="375"/>
      <c r="DR130" s="375"/>
      <c r="DS130" s="375"/>
      <c r="DT130" s="375"/>
      <c r="DU130" s="375"/>
      <c r="DV130" s="375"/>
      <c r="DW130" s="375"/>
      <c r="DX130" s="375"/>
      <c r="DY130" s="375"/>
      <c r="DZ130" s="375"/>
      <c r="EA130" s="375"/>
      <c r="EB130" s="375"/>
      <c r="EC130" s="375"/>
      <c r="ED130" s="375"/>
      <c r="EE130" s="375"/>
      <c r="EF130" s="375"/>
      <c r="EG130" s="375"/>
      <c r="EH130" s="375"/>
      <c r="EI130" s="375"/>
      <c r="EJ130" s="375"/>
      <c r="EK130" s="375"/>
      <c r="EL130" s="375"/>
      <c r="EM130" s="375"/>
      <c r="EN130" s="375"/>
      <c r="EO130" s="375"/>
      <c r="EP130" s="375"/>
      <c r="EQ130" s="375"/>
      <c r="ER130" s="375"/>
      <c r="ES130" s="375"/>
      <c r="ET130" s="375"/>
      <c r="EU130" s="375"/>
      <c r="EV130" s="375"/>
      <c r="EW130" s="375"/>
      <c r="EX130" s="375"/>
      <c r="EY130" s="375"/>
      <c r="EZ130" s="375"/>
      <c r="FA130" s="375"/>
      <c r="FB130" s="375"/>
      <c r="FC130" s="375"/>
      <c r="FD130" s="375"/>
      <c r="FE130" s="375"/>
      <c r="FF130" s="375"/>
      <c r="FG130" s="375"/>
      <c r="FH130" s="375"/>
      <c r="FI130" s="375"/>
      <c r="FJ130" s="375"/>
      <c r="FK130" s="375"/>
      <c r="FL130" s="375"/>
      <c r="FM130" s="375"/>
      <c r="FN130" s="375"/>
      <c r="FO130" s="375"/>
      <c r="FP130" s="375"/>
      <c r="FQ130" s="375"/>
      <c r="FR130" s="375"/>
      <c r="FS130" s="375"/>
      <c r="FT130" s="375"/>
      <c r="FU130" s="375"/>
      <c r="FV130" s="375"/>
      <c r="FW130" s="375"/>
      <c r="FX130" s="375"/>
      <c r="FY130" s="375"/>
      <c r="FZ130" s="375"/>
      <c r="GA130" s="375"/>
      <c r="GB130" s="375"/>
      <c r="GC130" s="375"/>
      <c r="GD130" s="375"/>
      <c r="GE130" s="375"/>
      <c r="GF130" s="375"/>
      <c r="GG130" s="375"/>
      <c r="GH130" s="375"/>
      <c r="GI130" s="375"/>
      <c r="GJ130" s="375"/>
      <c r="GK130" s="375"/>
      <c r="GL130" s="375"/>
      <c r="GM130" s="375"/>
      <c r="GN130" s="375"/>
      <c r="GO130" s="375"/>
      <c r="GP130" s="375"/>
      <c r="GQ130" s="375"/>
      <c r="GR130" s="375"/>
      <c r="GS130" s="375"/>
      <c r="GT130" s="375"/>
      <c r="GU130" s="375"/>
      <c r="GV130" s="375"/>
      <c r="GW130" s="375"/>
      <c r="GX130" s="375"/>
      <c r="GY130" s="375"/>
      <c r="GZ130" s="375"/>
      <c r="HA130" s="375"/>
      <c r="HB130" s="375"/>
      <c r="HC130" s="375"/>
      <c r="HD130" s="375"/>
      <c r="HE130" s="375"/>
      <c r="HF130" s="375"/>
      <c r="HG130" s="375"/>
      <c r="HH130" s="375"/>
      <c r="HI130" s="375"/>
      <c r="HJ130" s="375"/>
      <c r="HK130" s="375"/>
      <c r="HL130" s="375"/>
      <c r="HM130" s="375"/>
      <c r="HN130" s="375"/>
      <c r="HO130" s="375"/>
      <c r="HP130" s="375"/>
      <c r="HQ130" s="375"/>
      <c r="HR130" s="375"/>
      <c r="HS130" s="375"/>
      <c r="HT130" s="375"/>
      <c r="HU130" s="375"/>
      <c r="HV130" s="375"/>
      <c r="HW130" s="375"/>
      <c r="HX130" s="375"/>
      <c r="HY130" s="375"/>
      <c r="HZ130" s="375"/>
      <c r="IA130" s="375"/>
      <c r="IB130" s="375"/>
      <c r="IC130" s="375"/>
      <c r="ID130" s="375"/>
      <c r="IE130" s="375"/>
      <c r="IF130" s="375"/>
      <c r="IG130" s="375"/>
      <c r="IH130" s="375"/>
      <c r="II130" s="375"/>
      <c r="IJ130" s="375"/>
      <c r="IK130" s="375"/>
      <c r="IL130" s="375"/>
      <c r="IM130" s="375"/>
      <c r="IN130" s="375"/>
      <c r="IO130" s="375"/>
      <c r="IP130" s="375"/>
      <c r="IQ130" s="375"/>
      <c r="IR130" s="375"/>
      <c r="IS130" s="375"/>
      <c r="IT130" s="375"/>
      <c r="IU130" s="375"/>
      <c r="IV130" s="375"/>
    </row>
    <row r="131" spans="1:256" ht="15" x14ac:dyDescent="0.25">
      <c r="A131" s="403"/>
      <c r="B131" s="403"/>
      <c r="C131" s="403"/>
      <c r="D131" s="257" t="s">
        <v>198</v>
      </c>
      <c r="E131" s="255"/>
      <c r="F131" s="255"/>
      <c r="G131" s="255"/>
      <c r="H131" s="255"/>
      <c r="I131" s="255"/>
      <c r="J131" s="260">
        <f>(J122-J125)*0.925+J125</f>
        <v>13644.94</v>
      </c>
      <c r="K131" s="260"/>
      <c r="L131" s="260">
        <f>L122*0.925</f>
        <v>97971.88</v>
      </c>
      <c r="M131" s="287"/>
      <c r="N131" s="275"/>
      <c r="O131" s="275"/>
      <c r="P131" s="275"/>
      <c r="Q131" s="275"/>
      <c r="R131" s="275"/>
      <c r="S131" s="275"/>
      <c r="T131" s="275"/>
      <c r="U131" s="275"/>
      <c r="V131" s="275"/>
      <c r="W131" s="275"/>
      <c r="X131" s="275"/>
      <c r="Y131" s="275"/>
      <c r="Z131" s="275"/>
      <c r="AA131" s="275"/>
      <c r="AB131" s="275"/>
      <c r="AC131" s="275"/>
      <c r="AD131" s="275"/>
      <c r="AE131" s="275"/>
      <c r="AF131" s="275"/>
      <c r="AG131" s="275"/>
      <c r="AH131" s="275"/>
      <c r="AI131" s="275"/>
      <c r="AJ131" s="275"/>
      <c r="AK131" s="275"/>
      <c r="AL131" s="275"/>
      <c r="AM131" s="275"/>
      <c r="AN131" s="275"/>
      <c r="AO131" s="275"/>
      <c r="AP131" s="275"/>
      <c r="AQ131" s="275"/>
      <c r="AR131" s="275"/>
      <c r="AS131" s="275"/>
      <c r="AT131" s="275"/>
      <c r="AU131" s="275"/>
      <c r="AV131" s="275"/>
      <c r="AW131" s="275"/>
      <c r="AX131" s="275"/>
      <c r="AY131" s="275"/>
      <c r="AZ131" s="275"/>
      <c r="BA131" s="275"/>
      <c r="BB131" s="275"/>
      <c r="BC131" s="275"/>
      <c r="BD131" s="275"/>
      <c r="BE131" s="275"/>
      <c r="BF131" s="275"/>
      <c r="BG131" s="275"/>
      <c r="BH131" s="275"/>
      <c r="BI131" s="275"/>
      <c r="BJ131" s="275"/>
      <c r="BK131" s="275"/>
      <c r="BL131" s="275"/>
      <c r="BM131" s="275"/>
      <c r="BN131" s="275"/>
      <c r="BO131" s="275"/>
      <c r="BP131" s="275"/>
      <c r="BQ131" s="275"/>
      <c r="BR131" s="275"/>
      <c r="BS131" s="275"/>
      <c r="BT131" s="275"/>
      <c r="BU131" s="275"/>
      <c r="BV131" s="275"/>
      <c r="BW131" s="275"/>
      <c r="BX131" s="275"/>
      <c r="BY131" s="275"/>
      <c r="BZ131" s="275"/>
      <c r="CA131" s="275"/>
      <c r="CB131" s="275"/>
      <c r="CC131" s="275"/>
      <c r="CD131" s="275"/>
      <c r="CE131" s="275"/>
      <c r="CF131" s="275"/>
      <c r="CG131" s="275"/>
      <c r="CH131" s="275"/>
      <c r="CI131" s="275"/>
      <c r="CJ131" s="275"/>
      <c r="CK131" s="275"/>
      <c r="CL131" s="275"/>
      <c r="CM131" s="275"/>
      <c r="CN131" s="275"/>
      <c r="CO131" s="275"/>
      <c r="CP131" s="275"/>
      <c r="CQ131" s="275"/>
      <c r="CR131" s="275"/>
      <c r="CS131" s="275"/>
      <c r="CT131" s="275"/>
      <c r="CU131" s="275"/>
      <c r="CV131" s="275"/>
      <c r="CW131" s="275"/>
      <c r="CX131" s="275"/>
      <c r="CY131" s="275"/>
      <c r="CZ131" s="275"/>
      <c r="DA131" s="275"/>
      <c r="DB131" s="275"/>
      <c r="DC131" s="275"/>
      <c r="DD131" s="275"/>
      <c r="DE131" s="275"/>
      <c r="DF131" s="275"/>
      <c r="DG131" s="275"/>
      <c r="DH131" s="275"/>
      <c r="DI131" s="275"/>
      <c r="DJ131" s="275"/>
      <c r="DK131" s="275"/>
      <c r="DL131" s="275"/>
      <c r="DM131" s="275"/>
      <c r="DN131" s="275"/>
      <c r="DO131" s="275"/>
      <c r="DP131" s="275"/>
      <c r="DQ131" s="275"/>
      <c r="DR131" s="275"/>
      <c r="DS131" s="275"/>
      <c r="DT131" s="275"/>
      <c r="DU131" s="275"/>
      <c r="DV131" s="275"/>
      <c r="DW131" s="275"/>
      <c r="DX131" s="275"/>
      <c r="DY131" s="275"/>
      <c r="DZ131" s="275"/>
      <c r="EA131" s="275"/>
      <c r="EB131" s="275"/>
      <c r="EC131" s="275"/>
      <c r="ED131" s="275"/>
      <c r="EE131" s="275"/>
      <c r="EF131" s="275"/>
      <c r="EG131" s="275"/>
      <c r="EH131" s="275"/>
      <c r="EI131" s="275"/>
      <c r="EJ131" s="275"/>
      <c r="EK131" s="275"/>
      <c r="EL131" s="275"/>
      <c r="EM131" s="275"/>
      <c r="EN131" s="275"/>
      <c r="EO131" s="275"/>
      <c r="EP131" s="275"/>
      <c r="EQ131" s="275"/>
      <c r="ER131" s="275"/>
      <c r="ES131" s="275"/>
      <c r="ET131" s="275"/>
      <c r="EU131" s="275"/>
      <c r="EV131" s="275"/>
      <c r="EW131" s="275"/>
      <c r="EX131" s="275"/>
      <c r="EY131" s="275"/>
      <c r="EZ131" s="275"/>
      <c r="FA131" s="275"/>
      <c r="FB131" s="275"/>
      <c r="FC131" s="275"/>
      <c r="FD131" s="275"/>
      <c r="FE131" s="275"/>
      <c r="FF131" s="275"/>
      <c r="FG131" s="275"/>
      <c r="FH131" s="275"/>
      <c r="FI131" s="275"/>
      <c r="FJ131" s="275"/>
      <c r="FK131" s="275"/>
      <c r="FL131" s="275"/>
      <c r="FM131" s="275"/>
      <c r="FN131" s="275"/>
      <c r="FO131" s="275"/>
      <c r="FP131" s="275"/>
      <c r="FQ131" s="275"/>
      <c r="FR131" s="275"/>
      <c r="FS131" s="275"/>
      <c r="FT131" s="275"/>
      <c r="FU131" s="275"/>
      <c r="FV131" s="275"/>
      <c r="FW131" s="275"/>
      <c r="FX131" s="275"/>
      <c r="FY131" s="275"/>
      <c r="FZ131" s="275"/>
      <c r="GA131" s="275"/>
      <c r="GB131" s="275"/>
      <c r="GC131" s="275"/>
      <c r="GD131" s="275"/>
      <c r="GE131" s="275"/>
      <c r="GF131" s="275"/>
      <c r="GG131" s="275"/>
      <c r="GH131" s="275"/>
      <c r="GI131" s="275"/>
      <c r="GJ131" s="275"/>
      <c r="GK131" s="275"/>
      <c r="GL131" s="275"/>
      <c r="GM131" s="275"/>
      <c r="GN131" s="275"/>
      <c r="GO131" s="275"/>
      <c r="GP131" s="275"/>
      <c r="GQ131" s="275"/>
      <c r="GR131" s="275"/>
      <c r="GS131" s="275"/>
      <c r="GT131" s="275"/>
      <c r="GU131" s="275"/>
      <c r="GV131" s="275"/>
      <c r="GW131" s="275"/>
      <c r="GX131" s="275"/>
      <c r="GY131" s="275"/>
      <c r="GZ131" s="275"/>
      <c r="HA131" s="275"/>
      <c r="HB131" s="275"/>
      <c r="HC131" s="275"/>
      <c r="HD131" s="275"/>
      <c r="HE131" s="275"/>
      <c r="HF131" s="275"/>
      <c r="HG131" s="275"/>
      <c r="HH131" s="275"/>
      <c r="HI131" s="275"/>
      <c r="HJ131" s="275"/>
      <c r="HK131" s="275"/>
      <c r="HL131" s="275"/>
      <c r="HM131" s="275"/>
      <c r="HN131" s="275"/>
      <c r="HO131" s="275"/>
      <c r="HP131" s="275"/>
      <c r="HQ131" s="275"/>
      <c r="HR131" s="275"/>
      <c r="HS131" s="275"/>
      <c r="HT131" s="275"/>
      <c r="HU131" s="275"/>
      <c r="HV131" s="275"/>
      <c r="HW131" s="275"/>
      <c r="HX131" s="275"/>
      <c r="HY131" s="275"/>
      <c r="HZ131" s="275"/>
      <c r="IA131" s="275"/>
      <c r="IB131" s="275"/>
      <c r="IC131" s="275"/>
      <c r="ID131" s="275"/>
      <c r="IE131" s="275"/>
      <c r="IF131" s="275"/>
      <c r="IG131" s="275"/>
      <c r="IH131" s="275"/>
      <c r="II131" s="275"/>
      <c r="IJ131" s="275"/>
      <c r="IK131" s="275"/>
      <c r="IL131" s="275"/>
      <c r="IM131" s="275"/>
      <c r="IN131" s="275"/>
      <c r="IO131" s="275"/>
      <c r="IP131" s="275"/>
      <c r="IQ131" s="275"/>
      <c r="IR131" s="275"/>
      <c r="IS131" s="275"/>
      <c r="IT131" s="275"/>
      <c r="IU131" s="275"/>
      <c r="IV131" s="275"/>
    </row>
    <row r="132" spans="1:256" ht="14.25" x14ac:dyDescent="0.2">
      <c r="A132" s="403"/>
      <c r="B132" s="403"/>
      <c r="C132" s="403"/>
      <c r="D132" s="255" t="s">
        <v>69</v>
      </c>
      <c r="E132" s="255"/>
      <c r="F132" s="255"/>
      <c r="G132" s="255"/>
      <c r="H132" s="255"/>
      <c r="I132" s="255"/>
      <c r="J132" s="256">
        <f>J131</f>
        <v>13644.94</v>
      </c>
      <c r="K132" s="256"/>
      <c r="L132" s="256">
        <f>L131</f>
        <v>97971.88</v>
      </c>
      <c r="M132" s="287"/>
      <c r="N132" s="275"/>
      <c r="O132" s="275"/>
      <c r="P132" s="275"/>
      <c r="Q132" s="275"/>
      <c r="R132" s="275"/>
      <c r="S132" s="275"/>
      <c r="T132" s="275"/>
      <c r="U132" s="275"/>
      <c r="V132" s="275"/>
      <c r="W132" s="275"/>
      <c r="X132" s="275"/>
      <c r="Y132" s="275"/>
      <c r="Z132" s="275"/>
      <c r="AA132" s="275"/>
      <c r="AB132" s="275"/>
      <c r="AC132" s="275"/>
      <c r="AD132" s="275"/>
      <c r="AE132" s="275"/>
      <c r="AF132" s="275"/>
      <c r="AG132" s="275"/>
      <c r="AH132" s="275"/>
      <c r="AI132" s="275"/>
      <c r="AJ132" s="275"/>
      <c r="AK132" s="275"/>
      <c r="AL132" s="275"/>
      <c r="AM132" s="275"/>
      <c r="AN132" s="275"/>
      <c r="AO132" s="275"/>
      <c r="AP132" s="275"/>
      <c r="AQ132" s="275"/>
      <c r="AR132" s="275"/>
      <c r="AS132" s="275"/>
      <c r="AT132" s="275"/>
      <c r="AU132" s="275"/>
      <c r="AV132" s="275"/>
      <c r="AW132" s="275"/>
      <c r="AX132" s="275"/>
      <c r="AY132" s="275"/>
      <c r="AZ132" s="275"/>
      <c r="BA132" s="275"/>
      <c r="BB132" s="275"/>
      <c r="BC132" s="275"/>
      <c r="BD132" s="275"/>
      <c r="BE132" s="275"/>
      <c r="BF132" s="275"/>
      <c r="BG132" s="275"/>
      <c r="BH132" s="275"/>
      <c r="BI132" s="275"/>
      <c r="BJ132" s="275"/>
      <c r="BK132" s="275"/>
      <c r="BL132" s="275"/>
      <c r="BM132" s="275"/>
      <c r="BN132" s="275"/>
      <c r="BO132" s="275"/>
      <c r="BP132" s="275"/>
      <c r="BQ132" s="275"/>
      <c r="BR132" s="275"/>
      <c r="BS132" s="275"/>
      <c r="BT132" s="275"/>
      <c r="BU132" s="275"/>
      <c r="BV132" s="275"/>
      <c r="BW132" s="275"/>
      <c r="BX132" s="275"/>
      <c r="BY132" s="275"/>
      <c r="BZ132" s="275"/>
      <c r="CA132" s="275"/>
      <c r="CB132" s="275"/>
      <c r="CC132" s="275"/>
      <c r="CD132" s="275"/>
      <c r="CE132" s="275"/>
      <c r="CF132" s="275"/>
      <c r="CG132" s="275"/>
      <c r="CH132" s="275"/>
      <c r="CI132" s="275"/>
      <c r="CJ132" s="275"/>
      <c r="CK132" s="275"/>
      <c r="CL132" s="275"/>
      <c r="CM132" s="275"/>
      <c r="CN132" s="275"/>
      <c r="CO132" s="275"/>
      <c r="CP132" s="275"/>
      <c r="CQ132" s="275"/>
      <c r="CR132" s="275"/>
      <c r="CS132" s="275"/>
      <c r="CT132" s="275"/>
      <c r="CU132" s="275"/>
      <c r="CV132" s="275"/>
      <c r="CW132" s="275"/>
      <c r="CX132" s="275"/>
      <c r="CY132" s="275"/>
      <c r="CZ132" s="275"/>
      <c r="DA132" s="275"/>
      <c r="DB132" s="275"/>
      <c r="DC132" s="275"/>
      <c r="DD132" s="275"/>
      <c r="DE132" s="275"/>
      <c r="DF132" s="275"/>
      <c r="DG132" s="275"/>
      <c r="DH132" s="275"/>
      <c r="DI132" s="275"/>
      <c r="DJ132" s="275"/>
      <c r="DK132" s="275"/>
      <c r="DL132" s="275"/>
      <c r="DM132" s="275"/>
      <c r="DN132" s="275"/>
      <c r="DO132" s="275"/>
      <c r="DP132" s="275"/>
      <c r="DQ132" s="275"/>
      <c r="DR132" s="275"/>
      <c r="DS132" s="275"/>
      <c r="DT132" s="275"/>
      <c r="DU132" s="275"/>
      <c r="DV132" s="275"/>
      <c r="DW132" s="275"/>
      <c r="DX132" s="275"/>
      <c r="DY132" s="275"/>
      <c r="DZ132" s="275"/>
      <c r="EA132" s="275"/>
      <c r="EB132" s="275"/>
      <c r="EC132" s="275"/>
      <c r="ED132" s="275"/>
      <c r="EE132" s="275"/>
      <c r="EF132" s="275"/>
      <c r="EG132" s="275"/>
      <c r="EH132" s="275"/>
      <c r="EI132" s="275"/>
      <c r="EJ132" s="275"/>
      <c r="EK132" s="275"/>
      <c r="EL132" s="275"/>
      <c r="EM132" s="275"/>
      <c r="EN132" s="275"/>
      <c r="EO132" s="275"/>
      <c r="EP132" s="275"/>
      <c r="EQ132" s="275"/>
      <c r="ER132" s="275"/>
      <c r="ES132" s="275"/>
      <c r="ET132" s="275"/>
      <c r="EU132" s="275"/>
      <c r="EV132" s="275"/>
      <c r="EW132" s="275"/>
      <c r="EX132" s="275"/>
      <c r="EY132" s="275"/>
      <c r="EZ132" s="275"/>
      <c r="FA132" s="275"/>
      <c r="FB132" s="275"/>
      <c r="FC132" s="275"/>
      <c r="FD132" s="275"/>
      <c r="FE132" s="275"/>
      <c r="FF132" s="275"/>
      <c r="FG132" s="275"/>
      <c r="FH132" s="275"/>
      <c r="FI132" s="275"/>
      <c r="FJ132" s="275"/>
      <c r="FK132" s="275"/>
      <c r="FL132" s="275"/>
      <c r="FM132" s="275"/>
      <c r="FN132" s="275"/>
      <c r="FO132" s="275"/>
      <c r="FP132" s="275"/>
      <c r="FQ132" s="275"/>
      <c r="FR132" s="275"/>
      <c r="FS132" s="275"/>
      <c r="FT132" s="275"/>
      <c r="FU132" s="275"/>
      <c r="FV132" s="275"/>
      <c r="FW132" s="275"/>
      <c r="FX132" s="275"/>
      <c r="FY132" s="275"/>
      <c r="FZ132" s="275"/>
      <c r="GA132" s="275"/>
      <c r="GB132" s="275"/>
      <c r="GC132" s="275"/>
      <c r="GD132" s="275"/>
      <c r="GE132" s="275"/>
      <c r="GF132" s="275"/>
      <c r="GG132" s="275"/>
      <c r="GH132" s="275"/>
      <c r="GI132" s="275"/>
      <c r="GJ132" s="275"/>
      <c r="GK132" s="275"/>
      <c r="GL132" s="275"/>
      <c r="GM132" s="275"/>
      <c r="GN132" s="275"/>
      <c r="GO132" s="275"/>
      <c r="GP132" s="275"/>
      <c r="GQ132" s="275"/>
      <c r="GR132" s="275"/>
      <c r="GS132" s="275"/>
      <c r="GT132" s="275"/>
      <c r="GU132" s="275"/>
      <c r="GV132" s="275"/>
      <c r="GW132" s="275"/>
      <c r="GX132" s="275"/>
      <c r="GY132" s="275"/>
      <c r="GZ132" s="275"/>
      <c r="HA132" s="275"/>
      <c r="HB132" s="275"/>
      <c r="HC132" s="275"/>
      <c r="HD132" s="275"/>
      <c r="HE132" s="275"/>
      <c r="HF132" s="275"/>
      <c r="HG132" s="275"/>
      <c r="HH132" s="275"/>
      <c r="HI132" s="275"/>
      <c r="HJ132" s="275"/>
      <c r="HK132" s="275"/>
      <c r="HL132" s="275"/>
      <c r="HM132" s="275"/>
      <c r="HN132" s="275"/>
      <c r="HO132" s="275"/>
      <c r="HP132" s="275"/>
      <c r="HQ132" s="275"/>
      <c r="HR132" s="275"/>
      <c r="HS132" s="275"/>
      <c r="HT132" s="275"/>
      <c r="HU132" s="275"/>
      <c r="HV132" s="275"/>
      <c r="HW132" s="275"/>
      <c r="HX132" s="275"/>
      <c r="HY132" s="275"/>
      <c r="HZ132" s="275"/>
      <c r="IA132" s="275"/>
      <c r="IB132" s="275"/>
      <c r="IC132" s="275"/>
      <c r="ID132" s="275"/>
      <c r="IE132" s="275"/>
      <c r="IF132" s="275"/>
      <c r="IG132" s="275"/>
      <c r="IH132" s="275"/>
      <c r="II132" s="275"/>
      <c r="IJ132" s="275"/>
      <c r="IK132" s="275"/>
      <c r="IL132" s="275"/>
      <c r="IM132" s="275"/>
      <c r="IN132" s="275"/>
      <c r="IO132" s="275"/>
      <c r="IP132" s="275"/>
      <c r="IQ132" s="275"/>
      <c r="IR132" s="275"/>
      <c r="IS132" s="275"/>
      <c r="IT132" s="275"/>
      <c r="IU132" s="275"/>
      <c r="IV132" s="275"/>
    </row>
    <row r="133" spans="1:256" ht="14.25" x14ac:dyDescent="0.2">
      <c r="A133" s="403"/>
      <c r="B133" s="403"/>
      <c r="C133" s="403"/>
      <c r="D133" s="255" t="s">
        <v>70</v>
      </c>
      <c r="E133" s="255"/>
      <c r="F133" s="255"/>
      <c r="G133" s="255"/>
      <c r="H133" s="255"/>
      <c r="I133" s="255"/>
      <c r="J133" s="256">
        <f>J124*0.925</f>
        <v>1139.28</v>
      </c>
      <c r="K133" s="256"/>
      <c r="L133" s="256">
        <f>L124*0.925</f>
        <v>27604.67</v>
      </c>
      <c r="M133" s="287"/>
      <c r="N133" s="275"/>
      <c r="O133" s="275"/>
      <c r="P133" s="275"/>
      <c r="Q133" s="275"/>
      <c r="R133" s="275"/>
      <c r="S133" s="275"/>
      <c r="T133" s="275"/>
      <c r="U133" s="275"/>
      <c r="V133" s="275"/>
      <c r="W133" s="275"/>
      <c r="X133" s="275"/>
      <c r="Y133" s="275"/>
      <c r="Z133" s="275"/>
      <c r="AA133" s="275"/>
      <c r="AB133" s="275"/>
      <c r="AC133" s="275"/>
      <c r="AD133" s="275"/>
      <c r="AE133" s="275"/>
      <c r="AF133" s="275"/>
      <c r="AG133" s="275"/>
      <c r="AH133" s="275"/>
      <c r="AI133" s="275"/>
      <c r="AJ133" s="275"/>
      <c r="AK133" s="275"/>
      <c r="AL133" s="275"/>
      <c r="AM133" s="275"/>
      <c r="AN133" s="275"/>
      <c r="AO133" s="275"/>
      <c r="AP133" s="275"/>
      <c r="AQ133" s="275"/>
      <c r="AR133" s="275"/>
      <c r="AS133" s="275"/>
      <c r="AT133" s="275"/>
      <c r="AU133" s="275"/>
      <c r="AV133" s="275"/>
      <c r="AW133" s="275"/>
      <c r="AX133" s="275"/>
      <c r="AY133" s="275"/>
      <c r="AZ133" s="275"/>
      <c r="BA133" s="275"/>
      <c r="BB133" s="275"/>
      <c r="BC133" s="275"/>
      <c r="BD133" s="275"/>
      <c r="BE133" s="275"/>
      <c r="BF133" s="275"/>
      <c r="BG133" s="275"/>
      <c r="BH133" s="275"/>
      <c r="BI133" s="275"/>
      <c r="BJ133" s="275"/>
      <c r="BK133" s="275"/>
      <c r="BL133" s="275"/>
      <c r="BM133" s="275"/>
      <c r="BN133" s="275"/>
      <c r="BO133" s="275"/>
      <c r="BP133" s="275"/>
      <c r="BQ133" s="275"/>
      <c r="BR133" s="275"/>
      <c r="BS133" s="275"/>
      <c r="BT133" s="275"/>
      <c r="BU133" s="275"/>
      <c r="BV133" s="275"/>
      <c r="BW133" s="275"/>
      <c r="BX133" s="275"/>
      <c r="BY133" s="275"/>
      <c r="BZ133" s="275"/>
      <c r="CA133" s="275"/>
      <c r="CB133" s="275"/>
      <c r="CC133" s="275"/>
      <c r="CD133" s="275"/>
      <c r="CE133" s="275"/>
      <c r="CF133" s="275"/>
      <c r="CG133" s="275"/>
      <c r="CH133" s="275"/>
      <c r="CI133" s="275"/>
      <c r="CJ133" s="275"/>
      <c r="CK133" s="275"/>
      <c r="CL133" s="275"/>
      <c r="CM133" s="275"/>
      <c r="CN133" s="275"/>
      <c r="CO133" s="275"/>
      <c r="CP133" s="275"/>
      <c r="CQ133" s="275"/>
      <c r="CR133" s="275"/>
      <c r="CS133" s="275"/>
      <c r="CT133" s="275"/>
      <c r="CU133" s="275"/>
      <c r="CV133" s="275"/>
      <c r="CW133" s="275"/>
      <c r="CX133" s="275"/>
      <c r="CY133" s="275"/>
      <c r="CZ133" s="275"/>
      <c r="DA133" s="275"/>
      <c r="DB133" s="275"/>
      <c r="DC133" s="275"/>
      <c r="DD133" s="275"/>
      <c r="DE133" s="275"/>
      <c r="DF133" s="275"/>
      <c r="DG133" s="275"/>
      <c r="DH133" s="275"/>
      <c r="DI133" s="275"/>
      <c r="DJ133" s="275"/>
      <c r="DK133" s="275"/>
      <c r="DL133" s="275"/>
      <c r="DM133" s="275"/>
      <c r="DN133" s="275"/>
      <c r="DO133" s="275"/>
      <c r="DP133" s="275"/>
      <c r="DQ133" s="275"/>
      <c r="DR133" s="275"/>
      <c r="DS133" s="275"/>
      <c r="DT133" s="275"/>
      <c r="DU133" s="275"/>
      <c r="DV133" s="275"/>
      <c r="DW133" s="275"/>
      <c r="DX133" s="275"/>
      <c r="DY133" s="275"/>
      <c r="DZ133" s="275"/>
      <c r="EA133" s="275"/>
      <c r="EB133" s="275"/>
      <c r="EC133" s="275"/>
      <c r="ED133" s="275"/>
      <c r="EE133" s="275"/>
      <c r="EF133" s="275"/>
      <c r="EG133" s="275"/>
      <c r="EH133" s="275"/>
      <c r="EI133" s="275"/>
      <c r="EJ133" s="275"/>
      <c r="EK133" s="275"/>
      <c r="EL133" s="275"/>
      <c r="EM133" s="275"/>
      <c r="EN133" s="275"/>
      <c r="EO133" s="275"/>
      <c r="EP133" s="275"/>
      <c r="EQ133" s="275"/>
      <c r="ER133" s="275"/>
      <c r="ES133" s="275"/>
      <c r="ET133" s="275"/>
      <c r="EU133" s="275"/>
      <c r="EV133" s="275"/>
      <c r="EW133" s="275"/>
      <c r="EX133" s="275"/>
      <c r="EY133" s="275"/>
      <c r="EZ133" s="275"/>
      <c r="FA133" s="275"/>
      <c r="FB133" s="275"/>
      <c r="FC133" s="275"/>
      <c r="FD133" s="275"/>
      <c r="FE133" s="275"/>
      <c r="FF133" s="275"/>
      <c r="FG133" s="275"/>
      <c r="FH133" s="275"/>
      <c r="FI133" s="275"/>
      <c r="FJ133" s="275"/>
      <c r="FK133" s="275"/>
      <c r="FL133" s="275"/>
      <c r="FM133" s="275"/>
      <c r="FN133" s="275"/>
      <c r="FO133" s="275"/>
      <c r="FP133" s="275"/>
      <c r="FQ133" s="275"/>
      <c r="FR133" s="275"/>
      <c r="FS133" s="275"/>
      <c r="FT133" s="275"/>
      <c r="FU133" s="275"/>
      <c r="FV133" s="275"/>
      <c r="FW133" s="275"/>
      <c r="FX133" s="275"/>
      <c r="FY133" s="275"/>
      <c r="FZ133" s="275"/>
      <c r="GA133" s="275"/>
      <c r="GB133" s="275"/>
      <c r="GC133" s="275"/>
      <c r="GD133" s="275"/>
      <c r="GE133" s="275"/>
      <c r="GF133" s="275"/>
      <c r="GG133" s="275"/>
      <c r="GH133" s="275"/>
      <c r="GI133" s="275"/>
      <c r="GJ133" s="275"/>
      <c r="GK133" s="275"/>
      <c r="GL133" s="275"/>
      <c r="GM133" s="275"/>
      <c r="GN133" s="275"/>
      <c r="GO133" s="275"/>
      <c r="GP133" s="275"/>
      <c r="GQ133" s="275"/>
      <c r="GR133" s="275"/>
      <c r="GS133" s="275"/>
      <c r="GT133" s="275"/>
      <c r="GU133" s="275"/>
      <c r="GV133" s="275"/>
      <c r="GW133" s="275"/>
      <c r="GX133" s="275"/>
      <c r="GY133" s="275"/>
      <c r="GZ133" s="275"/>
      <c r="HA133" s="275"/>
      <c r="HB133" s="275"/>
      <c r="HC133" s="275"/>
      <c r="HD133" s="275"/>
      <c r="HE133" s="275"/>
      <c r="HF133" s="275"/>
      <c r="HG133" s="275"/>
      <c r="HH133" s="275"/>
      <c r="HI133" s="275"/>
      <c r="HJ133" s="275"/>
      <c r="HK133" s="275"/>
      <c r="HL133" s="275"/>
      <c r="HM133" s="275"/>
      <c r="HN133" s="275"/>
      <c r="HO133" s="275"/>
      <c r="HP133" s="275"/>
      <c r="HQ133" s="275"/>
      <c r="HR133" s="275"/>
      <c r="HS133" s="275"/>
      <c r="HT133" s="275"/>
      <c r="HU133" s="275"/>
      <c r="HV133" s="275"/>
      <c r="HW133" s="275"/>
      <c r="HX133" s="275"/>
      <c r="HY133" s="275"/>
      <c r="HZ133" s="275"/>
      <c r="IA133" s="275"/>
      <c r="IB133" s="275"/>
      <c r="IC133" s="275"/>
      <c r="ID133" s="275"/>
      <c r="IE133" s="275"/>
      <c r="IF133" s="275"/>
      <c r="IG133" s="275"/>
      <c r="IH133" s="275"/>
      <c r="II133" s="275"/>
      <c r="IJ133" s="275"/>
      <c r="IK133" s="275"/>
      <c r="IL133" s="275"/>
      <c r="IM133" s="275"/>
      <c r="IN133" s="275"/>
      <c r="IO133" s="275"/>
      <c r="IP133" s="275"/>
      <c r="IQ133" s="275"/>
      <c r="IR133" s="275"/>
      <c r="IS133" s="275"/>
      <c r="IT133" s="275"/>
      <c r="IU133" s="275"/>
      <c r="IV133" s="275"/>
    </row>
    <row r="134" spans="1:256" ht="14.25" x14ac:dyDescent="0.2">
      <c r="A134" s="403"/>
      <c r="B134" s="403"/>
      <c r="C134" s="403"/>
      <c r="D134" s="255" t="s">
        <v>195</v>
      </c>
      <c r="E134" s="255"/>
      <c r="F134" s="255"/>
      <c r="G134" s="255"/>
      <c r="H134" s="255"/>
      <c r="I134" s="255"/>
      <c r="J134" s="256">
        <f>J125</f>
        <v>10208.93</v>
      </c>
      <c r="K134" s="256"/>
      <c r="L134" s="256">
        <f>L125*0.925</f>
        <v>33050.730000000003</v>
      </c>
      <c r="M134" s="287"/>
    </row>
    <row r="135" spans="1:256" ht="14.25" x14ac:dyDescent="0.2">
      <c r="A135" s="403"/>
      <c r="B135" s="403"/>
      <c r="C135" s="403"/>
      <c r="D135" s="246" t="s">
        <v>157</v>
      </c>
      <c r="E135" s="255"/>
      <c r="F135" s="255"/>
      <c r="G135" s="255"/>
      <c r="H135" s="255"/>
      <c r="I135" s="255"/>
      <c r="J135" s="261">
        <v>0</v>
      </c>
      <c r="K135" s="256"/>
      <c r="L135" s="261">
        <v>0</v>
      </c>
      <c r="M135" s="287"/>
    </row>
    <row r="136" spans="1:256" ht="14.25" x14ac:dyDescent="0.2">
      <c r="A136" s="403"/>
      <c r="B136" s="403"/>
      <c r="C136" s="403"/>
      <c r="D136" s="255" t="s">
        <v>196</v>
      </c>
      <c r="E136" s="255"/>
      <c r="F136" s="255"/>
      <c r="G136" s="255"/>
      <c r="H136" s="255"/>
      <c r="I136" s="255"/>
      <c r="J136" s="256">
        <f>J133*0.15</f>
        <v>170.89</v>
      </c>
      <c r="K136" s="256"/>
      <c r="L136" s="256">
        <f>L133*0.15</f>
        <v>4140.7</v>
      </c>
      <c r="M136" s="287"/>
    </row>
    <row r="137" spans="1:256" ht="15" x14ac:dyDescent="0.25">
      <c r="A137" s="403"/>
      <c r="B137" s="403"/>
      <c r="C137" s="403"/>
      <c r="D137" s="257" t="s">
        <v>199</v>
      </c>
      <c r="E137" s="258"/>
      <c r="F137" s="258"/>
      <c r="G137" s="258"/>
      <c r="H137" s="258"/>
      <c r="I137" s="258"/>
      <c r="J137" s="260">
        <f>J136+J131</f>
        <v>13815.83</v>
      </c>
      <c r="K137" s="258"/>
      <c r="L137" s="260">
        <f>L136+L131</f>
        <v>102112.58</v>
      </c>
      <c r="M137" s="287"/>
    </row>
    <row r="138" spans="1:256" ht="14.25" x14ac:dyDescent="0.2">
      <c r="A138" s="403"/>
      <c r="B138" s="403"/>
      <c r="C138" s="403"/>
      <c r="D138" s="262"/>
      <c r="E138" s="262"/>
      <c r="F138" s="262"/>
      <c r="G138" s="262"/>
      <c r="H138" s="262"/>
      <c r="I138" s="262"/>
      <c r="J138" s="262"/>
      <c r="K138" s="262"/>
      <c r="L138" s="262"/>
      <c r="M138" s="287"/>
    </row>
    <row r="139" spans="1:256" ht="14.25" x14ac:dyDescent="0.2">
      <c r="A139" s="403"/>
      <c r="B139" s="403"/>
      <c r="C139" s="403"/>
      <c r="D139" s="262"/>
      <c r="E139" s="262"/>
      <c r="F139" s="262"/>
      <c r="G139" s="262"/>
      <c r="H139" s="262"/>
      <c r="I139" s="262"/>
      <c r="J139" s="262"/>
      <c r="K139" s="262"/>
      <c r="L139" s="262"/>
      <c r="M139" s="287"/>
    </row>
    <row r="140" spans="1:256" ht="15" x14ac:dyDescent="0.25">
      <c r="A140" s="403"/>
      <c r="B140" s="403"/>
      <c r="C140" s="403"/>
      <c r="D140" s="263" t="s">
        <v>200</v>
      </c>
      <c r="E140" s="264"/>
      <c r="F140" s="264"/>
      <c r="G140" s="264"/>
      <c r="H140" s="264"/>
      <c r="I140" s="265"/>
      <c r="J140" s="266">
        <f>J137</f>
        <v>13815.83</v>
      </c>
      <c r="K140" s="267"/>
      <c r="L140" s="266">
        <f>L137</f>
        <v>102112.58</v>
      </c>
      <c r="M140" s="287"/>
    </row>
    <row r="141" spans="1:256" ht="14.25" x14ac:dyDescent="0.2">
      <c r="A141" s="403"/>
      <c r="B141" s="403"/>
      <c r="C141" s="403"/>
      <c r="D141" s="268" t="s">
        <v>201</v>
      </c>
      <c r="E141" s="269"/>
      <c r="F141" s="269"/>
      <c r="G141" s="269"/>
      <c r="H141" s="269"/>
      <c r="I141" s="270"/>
      <c r="J141" s="271">
        <f>J132</f>
        <v>13644.94</v>
      </c>
      <c r="K141" s="272"/>
      <c r="L141" s="271">
        <f>L132</f>
        <v>97971.88</v>
      </c>
      <c r="M141" s="287"/>
    </row>
    <row r="142" spans="1:256" ht="14.25" x14ac:dyDescent="0.2">
      <c r="A142" s="403"/>
      <c r="B142" s="403"/>
      <c r="C142" s="403"/>
      <c r="D142" s="268" t="s">
        <v>202</v>
      </c>
      <c r="E142" s="269"/>
      <c r="F142" s="269"/>
      <c r="G142" s="269"/>
      <c r="H142" s="269"/>
      <c r="I142" s="270"/>
      <c r="J142" s="271">
        <f>J136</f>
        <v>170.89</v>
      </c>
      <c r="K142" s="273"/>
      <c r="L142" s="271">
        <f>L136</f>
        <v>4140.7</v>
      </c>
      <c r="M142" s="287"/>
    </row>
    <row r="143" spans="1:256" ht="14.25" x14ac:dyDescent="0.2">
      <c r="A143" s="403"/>
      <c r="B143" s="403"/>
      <c r="C143" s="403"/>
      <c r="D143" s="268" t="s">
        <v>203</v>
      </c>
      <c r="E143" s="269"/>
      <c r="F143" s="269"/>
      <c r="G143" s="269"/>
      <c r="H143" s="269"/>
      <c r="I143" s="270"/>
      <c r="J143" s="271">
        <v>0</v>
      </c>
      <c r="K143" s="271"/>
      <c r="L143" s="271">
        <v>0</v>
      </c>
      <c r="M143" s="287"/>
    </row>
    <row r="144" spans="1:256" ht="14.25" x14ac:dyDescent="0.2">
      <c r="A144" s="403"/>
      <c r="B144" s="403"/>
      <c r="C144" s="403"/>
      <c r="D144" s="268" t="s">
        <v>204</v>
      </c>
      <c r="E144" s="269"/>
      <c r="F144" s="269"/>
      <c r="G144" s="269"/>
      <c r="H144" s="269"/>
      <c r="I144" s="270"/>
      <c r="J144" s="274">
        <v>0</v>
      </c>
      <c r="K144" s="274"/>
      <c r="L144" s="274">
        <v>0</v>
      </c>
      <c r="M144" s="287"/>
    </row>
    <row r="147" spans="1:14" ht="14.25" x14ac:dyDescent="0.2">
      <c r="A147" s="327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N147" s="408"/>
    </row>
  </sheetData>
  <mergeCells count="107">
    <mergeCell ref="A9:B9"/>
    <mergeCell ref="C9:H9"/>
    <mergeCell ref="C10:H10"/>
    <mergeCell ref="J10:L11"/>
    <mergeCell ref="A11:B11"/>
    <mergeCell ref="C11:H11"/>
    <mergeCell ref="I2:L2"/>
    <mergeCell ref="I3:L3"/>
    <mergeCell ref="I4:L4"/>
    <mergeCell ref="J6:L6"/>
    <mergeCell ref="J7:L7"/>
    <mergeCell ref="J8:L9"/>
    <mergeCell ref="C16:H16"/>
    <mergeCell ref="J16:L17"/>
    <mergeCell ref="C17:H17"/>
    <mergeCell ref="C18:H18"/>
    <mergeCell ref="J18:L19"/>
    <mergeCell ref="C19:H19"/>
    <mergeCell ref="C12:H12"/>
    <mergeCell ref="J12:L13"/>
    <mergeCell ref="C13:H13"/>
    <mergeCell ref="C14:H14"/>
    <mergeCell ref="J14:L15"/>
    <mergeCell ref="C15:H15"/>
    <mergeCell ref="J24:L24"/>
    <mergeCell ref="I26:I27"/>
    <mergeCell ref="J26:J27"/>
    <mergeCell ref="K26:L26"/>
    <mergeCell ref="A30:L30"/>
    <mergeCell ref="A31:L31"/>
    <mergeCell ref="C20:H20"/>
    <mergeCell ref="G21:I21"/>
    <mergeCell ref="J21:L21"/>
    <mergeCell ref="G22:H22"/>
    <mergeCell ref="J22:L22"/>
    <mergeCell ref="J23:L23"/>
    <mergeCell ref="A46:L46"/>
    <mergeCell ref="A47:L47"/>
    <mergeCell ref="I35:I39"/>
    <mergeCell ref="J35:J39"/>
    <mergeCell ref="K35:K39"/>
    <mergeCell ref="L35:L39"/>
    <mergeCell ref="A36:A39"/>
    <mergeCell ref="B36:B39"/>
    <mergeCell ref="A34:L34"/>
    <mergeCell ref="A35:B35"/>
    <mergeCell ref="C35:C39"/>
    <mergeCell ref="D35:D39"/>
    <mergeCell ref="E35:E39"/>
    <mergeCell ref="F35:F39"/>
    <mergeCell ref="G35:G39"/>
    <mergeCell ref="H35:H39"/>
    <mergeCell ref="I69:J69"/>
    <mergeCell ref="K69:L69"/>
    <mergeCell ref="I71:J71"/>
    <mergeCell ref="K71:L71"/>
    <mergeCell ref="I82:J82"/>
    <mergeCell ref="K82:L82"/>
    <mergeCell ref="A50:L50"/>
    <mergeCell ref="A52:L52"/>
    <mergeCell ref="I64:J64"/>
    <mergeCell ref="K64:L64"/>
    <mergeCell ref="I115:J115"/>
    <mergeCell ref="K115:L115"/>
    <mergeCell ref="I116:J116"/>
    <mergeCell ref="K116:L116"/>
    <mergeCell ref="D118:H118"/>
    <mergeCell ref="D119:H119"/>
    <mergeCell ref="I112:J112"/>
    <mergeCell ref="K112:L112"/>
    <mergeCell ref="I113:J113"/>
    <mergeCell ref="K113:L113"/>
    <mergeCell ref="I114:J114"/>
    <mergeCell ref="K114:L114"/>
    <mergeCell ref="A32:L32"/>
    <mergeCell ref="A33:L33"/>
    <mergeCell ref="A42:L42"/>
    <mergeCell ref="A43:L43"/>
    <mergeCell ref="A44:L44"/>
    <mergeCell ref="A45:L45"/>
    <mergeCell ref="D103:J103"/>
    <mergeCell ref="K103:L103"/>
    <mergeCell ref="A105:H105"/>
    <mergeCell ref="I105:J105"/>
    <mergeCell ref="K105:L105"/>
    <mergeCell ref="I94:J94"/>
    <mergeCell ref="K94:L94"/>
    <mergeCell ref="A96:H96"/>
    <mergeCell ref="I96:J96"/>
    <mergeCell ref="K96:L96"/>
    <mergeCell ref="D99:J99"/>
    <mergeCell ref="K99:L99"/>
    <mergeCell ref="I87:J87"/>
    <mergeCell ref="K87:L87"/>
    <mergeCell ref="I89:J89"/>
    <mergeCell ref="K89:L89"/>
    <mergeCell ref="I92:J92"/>
    <mergeCell ref="K92:L92"/>
    <mergeCell ref="A109:H109"/>
    <mergeCell ref="I109:J109"/>
    <mergeCell ref="K109:L109"/>
    <mergeCell ref="D100:J100"/>
    <mergeCell ref="K100:L100"/>
    <mergeCell ref="D101:J101"/>
    <mergeCell ref="K101:L101"/>
    <mergeCell ref="D102:J102"/>
    <mergeCell ref="K102:L102"/>
  </mergeCells>
  <pageMargins left="0.4" right="0.2" top="0.2" bottom="0.4" header="0.2" footer="0.2"/>
  <pageSetup paperSize="9" scale="57" fitToHeight="0" orientation="portrait" r:id="rId1"/>
  <headerFooter>
    <oddHeader>&amp;L&amp;8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22</vt:i4>
      </vt:variant>
    </vt:vector>
  </HeadingPairs>
  <TitlesOfParts>
    <vt:vector size="34" baseType="lpstr">
      <vt:lpstr>КС-3</vt:lpstr>
      <vt:lpstr>Реестр</vt:lpstr>
      <vt:lpstr>1_11.1</vt:lpstr>
      <vt:lpstr>2_11.3</vt:lpstr>
      <vt:lpstr>3_11.4</vt:lpstr>
      <vt:lpstr>4_11.5</vt:lpstr>
      <vt:lpstr>5_11.21</vt:lpstr>
      <vt:lpstr>6_11.22</vt:lpstr>
      <vt:lpstr>7_11.23</vt:lpstr>
      <vt:lpstr>8_11.24</vt:lpstr>
      <vt:lpstr>9_11.25 </vt:lpstr>
      <vt:lpstr>10_11.26</vt:lpstr>
      <vt:lpstr>'1_11.1'!Заголовки_для_печати</vt:lpstr>
      <vt:lpstr>'10_11.26'!Заголовки_для_печати</vt:lpstr>
      <vt:lpstr>'2_11.3'!Заголовки_для_печати</vt:lpstr>
      <vt:lpstr>'3_11.4'!Заголовки_для_печати</vt:lpstr>
      <vt:lpstr>'4_11.5'!Заголовки_для_печати</vt:lpstr>
      <vt:lpstr>'5_11.21'!Заголовки_для_печати</vt:lpstr>
      <vt:lpstr>'6_11.22'!Заголовки_для_печати</vt:lpstr>
      <vt:lpstr>'7_11.23'!Заголовки_для_печати</vt:lpstr>
      <vt:lpstr>'8_11.24'!Заголовки_для_печати</vt:lpstr>
      <vt:lpstr>'9_11.25 '!Заголовки_для_печати</vt:lpstr>
      <vt:lpstr>'1_11.1'!Область_печати</vt:lpstr>
      <vt:lpstr>'10_11.26'!Область_печати</vt:lpstr>
      <vt:lpstr>'2_11.3'!Область_печати</vt:lpstr>
      <vt:lpstr>'3_11.4'!Область_печати</vt:lpstr>
      <vt:lpstr>'4_11.5'!Область_печати</vt:lpstr>
      <vt:lpstr>'5_11.21'!Область_печати</vt:lpstr>
      <vt:lpstr>'6_11.22'!Область_печати</vt:lpstr>
      <vt:lpstr>'7_11.23'!Область_печати</vt:lpstr>
      <vt:lpstr>'8_11.24'!Область_печати</vt:lpstr>
      <vt:lpstr>'9_11.25 '!Область_печати</vt:lpstr>
      <vt:lpstr>'КС-3'!Область_печати</vt:lpstr>
      <vt:lpstr>Реестр!Область_печати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Чечнева Оксана Викторовна</dc:creator>
  <cp:lastModifiedBy>Хаярова Екатерина Рауфовна</cp:lastModifiedBy>
  <cp:lastPrinted>2020-10-23T16:38:44Z</cp:lastPrinted>
  <dcterms:created xsi:type="dcterms:W3CDTF">2020-09-17T07:03:06Z</dcterms:created>
  <dcterms:modified xsi:type="dcterms:W3CDTF">2021-01-20T09:20:54Z</dcterms:modified>
</cp:coreProperties>
</file>