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ПЭО\СМЕТНЫЙ ОТДЕЛ\ВЫПОЛНЕНИЕ СМР\4-  2020 год\40 Июнь 2020 г\5-5 СМ2002-МИП1\779\"/>
    </mc:Choice>
  </mc:AlternateContent>
  <bookViews>
    <workbookView xWindow="0" yWindow="0" windowWidth="28800" windowHeight="11940" tabRatio="855"/>
  </bookViews>
  <sheets>
    <sheet name="Реестр (2)" sheetId="15" r:id="rId1"/>
    <sheet name="Реестр" sheetId="14" state="hidden" r:id="rId2"/>
    <sheet name="КС-3" sheetId="13" r:id="rId3"/>
    <sheet name="1_6.1" sheetId="4" r:id="rId4"/>
    <sheet name="2_6.2" sheetId="1" r:id="rId5"/>
    <sheet name="3_6.4" sheetId="6" r:id="rId6"/>
    <sheet name="4_6.5" sheetId="8" r:id="rId7"/>
    <sheet name="5_6.6" sheetId="9" r:id="rId8"/>
    <sheet name="6_6.7" sheetId="10" r:id="rId9"/>
    <sheet name="7_6.8" sheetId="11" r:id="rId10"/>
    <sheet name="8_6.9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definedNames>
    <definedName name="_" localSheetId="0">#REF!</definedName>
    <definedName name="_">#REF!</definedName>
    <definedName name="__" localSheetId="0">#REF!</definedName>
    <definedName name="__">#REF!</definedName>
    <definedName name="______________________________________________________________________________T17" localSheetId="0">#REF!</definedName>
    <definedName name="______________________________________________________________________________T17">#REF!</definedName>
    <definedName name="_____________________________________________________________________________T17" localSheetId="0">#REF!</definedName>
    <definedName name="_____________________________________________________________________________T17">#REF!</definedName>
    <definedName name="____________________________________________________________________________T17" localSheetId="0">#REF!</definedName>
    <definedName name="____________________________________________________________________________T17">#REF!</definedName>
    <definedName name="_________________________________________________________________T17" localSheetId="0">#REF!</definedName>
    <definedName name="_________________________________________________________________T17">#REF!</definedName>
    <definedName name="________________________________________________________________T17" localSheetId="0">#REF!</definedName>
    <definedName name="________________________________________________________________T17">#REF!</definedName>
    <definedName name="_______________________________________________________________T17" localSheetId="0">#REF!</definedName>
    <definedName name="_______________________________________________________________T17">#REF!</definedName>
    <definedName name="______________________________________________________________T17" localSheetId="0">#REF!</definedName>
    <definedName name="______________________________________________________________T17">#REF!</definedName>
    <definedName name="_____________________________________________________________T17" localSheetId="0">#REF!</definedName>
    <definedName name="_____________________________________________________________T17">#REF!</definedName>
    <definedName name="____________________________________________________________T17" localSheetId="0">#REF!</definedName>
    <definedName name="____________________________________________________________T17">#REF!</definedName>
    <definedName name="___________________________________________________________T17" localSheetId="0">#REF!</definedName>
    <definedName name="___________________________________________________________T17">#REF!</definedName>
    <definedName name="__________________________________________________________T17" localSheetId="0">#REF!</definedName>
    <definedName name="__________________________________________________________T17">#REF!</definedName>
    <definedName name="_________________________________________________________T17" localSheetId="0">#REF!</definedName>
    <definedName name="_________________________________________________________T17">#REF!</definedName>
    <definedName name="________________________________________________________T17" localSheetId="0">#REF!</definedName>
    <definedName name="________________________________________________________T17">#REF!</definedName>
    <definedName name="_______________________________________________________T17" localSheetId="0">#REF!</definedName>
    <definedName name="_______________________________________________________T17">#REF!</definedName>
    <definedName name="______________________________________________________T17" localSheetId="0">#REF!</definedName>
    <definedName name="______________________________________________________T17">#REF!</definedName>
    <definedName name="_____________________________________________________T17" localSheetId="0">#REF!</definedName>
    <definedName name="_____________________________________________________T17">#REF!</definedName>
    <definedName name="____________________________________________________T17" localSheetId="0">#REF!</definedName>
    <definedName name="____________________________________________________T17">#REF!</definedName>
    <definedName name="____________________________________________________TT17" localSheetId="0">#REF!</definedName>
    <definedName name="____________________________________________________TT17">#REF!</definedName>
    <definedName name="___________________________________________________T17" localSheetId="0">#REF!</definedName>
    <definedName name="___________________________________________________T17">#REF!</definedName>
    <definedName name="__________________________________________________T17" localSheetId="0">#REF!</definedName>
    <definedName name="__________________________________________________T17">#REF!</definedName>
    <definedName name="_________________________________________________T17" localSheetId="0">#REF!</definedName>
    <definedName name="_________________________________________________T17">#REF!</definedName>
    <definedName name="________________________________________________T17" localSheetId="0">#REF!</definedName>
    <definedName name="________________________________________________T17">#REF!</definedName>
    <definedName name="_______________________________________________T17" localSheetId="0">#REF!</definedName>
    <definedName name="_______________________________________________T17">#REF!</definedName>
    <definedName name="______________________________________________T17" localSheetId="0">#REF!</definedName>
    <definedName name="______________________________________________T17">#REF!</definedName>
    <definedName name="_____________________________________________T17" localSheetId="0">#REF!</definedName>
    <definedName name="_____________________________________________T17">#REF!</definedName>
    <definedName name="____________________________________________T17" localSheetId="0">#REF!</definedName>
    <definedName name="____________________________________________T17">#REF!</definedName>
    <definedName name="___________________________________________T17" localSheetId="0">#REF!</definedName>
    <definedName name="___________________________________________T17">#REF!</definedName>
    <definedName name="__________________________________________T17" localSheetId="0">#REF!</definedName>
    <definedName name="__________________________________________T17">#REF!</definedName>
    <definedName name="_________________________________________T17" localSheetId="0">#REF!</definedName>
    <definedName name="_________________________________________T17">#REF!</definedName>
    <definedName name="________________________________________T17" localSheetId="0">#REF!</definedName>
    <definedName name="________________________________________T17">#REF!</definedName>
    <definedName name="_______________________________________T17" localSheetId="0">#REF!</definedName>
    <definedName name="_______________________________________T17">#REF!</definedName>
    <definedName name="______________________________________T17" localSheetId="0">#REF!</definedName>
    <definedName name="______________________________________T17">#REF!</definedName>
    <definedName name="_____________________________________T17" localSheetId="0">#REF!</definedName>
    <definedName name="_____________________________________T17">#REF!</definedName>
    <definedName name="____________________________________T17" localSheetId="0">#REF!</definedName>
    <definedName name="____________________________________T17">#REF!</definedName>
    <definedName name="___________________________________T17" localSheetId="0">#REF!</definedName>
    <definedName name="___________________________________T17">#REF!</definedName>
    <definedName name="__________________________________T17" localSheetId="0">#REF!</definedName>
    <definedName name="__________________________________T17">#REF!</definedName>
    <definedName name="_________________________________T17" localSheetId="0">#REF!</definedName>
    <definedName name="_________________________________T17">#REF!</definedName>
    <definedName name="________________________________T17" localSheetId="0">#REF!</definedName>
    <definedName name="________________________________T17">#REF!</definedName>
    <definedName name="_______________________________T17" localSheetId="0">#REF!</definedName>
    <definedName name="_______________________________T17">#REF!</definedName>
    <definedName name="______________________________T17" localSheetId="0">#REF!</definedName>
    <definedName name="______________________________T17">#REF!</definedName>
    <definedName name="_____________________________T17" localSheetId="0">#REF!</definedName>
    <definedName name="_____________________________T17">#REF!</definedName>
    <definedName name="____________________________T17" localSheetId="0">#REF!</definedName>
    <definedName name="____________________________T17">#REF!</definedName>
    <definedName name="___________________________T17" localSheetId="0">#REF!</definedName>
    <definedName name="___________________________T17">#REF!</definedName>
    <definedName name="__________________________T17" localSheetId="0">#REF!</definedName>
    <definedName name="__________________________T17">#REF!</definedName>
    <definedName name="_________________________T17" localSheetId="0">#REF!</definedName>
    <definedName name="_________________________T17">#REF!</definedName>
    <definedName name="________________________T17" localSheetId="0">#REF!</definedName>
    <definedName name="________________________T17">#REF!</definedName>
    <definedName name="_______________________T17" localSheetId="0">#REF!</definedName>
    <definedName name="_______________________T17">#REF!</definedName>
    <definedName name="______________________T17" localSheetId="0">#REF!</definedName>
    <definedName name="______________________T17">#REF!</definedName>
    <definedName name="_____________________T17" localSheetId="0">#REF!</definedName>
    <definedName name="_____________________T17">#REF!</definedName>
    <definedName name="____________________T17" localSheetId="0">#REF!</definedName>
    <definedName name="____________________T17">#REF!</definedName>
    <definedName name="___________________T17" localSheetId="0">#REF!</definedName>
    <definedName name="___________________T17">#REF!</definedName>
    <definedName name="__________________T17" localSheetId="0">#REF!</definedName>
    <definedName name="__________________T17">#REF!</definedName>
    <definedName name="_________________T17" localSheetId="0">#REF!</definedName>
    <definedName name="_________________T17">#REF!</definedName>
    <definedName name="________________T17" localSheetId="0">#REF!</definedName>
    <definedName name="________________T17">#REF!</definedName>
    <definedName name="_______________T17" localSheetId="0">#REF!</definedName>
    <definedName name="_______________T17">#REF!</definedName>
    <definedName name="______________T17" localSheetId="0">#REF!</definedName>
    <definedName name="______________T17">#REF!</definedName>
    <definedName name="_____________T17" localSheetId="0">#REF!</definedName>
    <definedName name="_____________T17">#REF!</definedName>
    <definedName name="____________T17" localSheetId="0">#REF!</definedName>
    <definedName name="____________T17">#REF!</definedName>
    <definedName name="___________T17" localSheetId="0">#REF!</definedName>
    <definedName name="___________T17">#REF!</definedName>
    <definedName name="___________о" localSheetId="0">#REF!</definedName>
    <definedName name="___________о">#REF!</definedName>
    <definedName name="__________T17" localSheetId="0">#REF!</definedName>
    <definedName name="__________T17">#REF!</definedName>
    <definedName name="_________T17" localSheetId="0">#REF!</definedName>
    <definedName name="_________T17">#REF!</definedName>
    <definedName name="________T17" localSheetId="0">#REF!</definedName>
    <definedName name="________T17">#REF!</definedName>
    <definedName name="_______T17" localSheetId="0">#REF!</definedName>
    <definedName name="_______T17">#REF!</definedName>
    <definedName name="______T17" localSheetId="0">#REF!</definedName>
    <definedName name="______T17">#REF!</definedName>
    <definedName name="______о45" localSheetId="0">#REF!</definedName>
    <definedName name="______о45">#REF!</definedName>
    <definedName name="_____T17" localSheetId="0">#REF!</definedName>
    <definedName name="_____T17">#REF!</definedName>
    <definedName name="____T17" localSheetId="0">#REF!</definedName>
    <definedName name="____T17">#REF!</definedName>
    <definedName name="___H" localSheetId="0">#REF!</definedName>
    <definedName name="___H">#REF!</definedName>
    <definedName name="___T17" localSheetId="0">#REF!</definedName>
    <definedName name="___T17">#REF!</definedName>
    <definedName name="__1" localSheetId="0">#REF!</definedName>
    <definedName name="__1">#REF!</definedName>
    <definedName name="__1__" localSheetId="0">#REF!</definedName>
    <definedName name="__1__">#REF!</definedName>
    <definedName name="__T17" localSheetId="0">#REF!</definedName>
    <definedName name="__T17">#REF!</definedName>
    <definedName name="__xlnm.Print_Titles_1">#N/A</definedName>
    <definedName name="__а" localSheetId="0">#REF!</definedName>
    <definedName name="__а">#REF!</definedName>
    <definedName name="_1" localSheetId="0">#REF!</definedName>
    <definedName name="_1">#REF!</definedName>
    <definedName name="_125" localSheetId="0">#REF!</definedName>
    <definedName name="_125">#REF!</definedName>
    <definedName name="_K" localSheetId="0">#REF!</definedName>
    <definedName name="_K">#REF!</definedName>
    <definedName name="_T17" localSheetId="0">#REF!</definedName>
    <definedName name="_T17">#REF!</definedName>
    <definedName name="_ааа" localSheetId="0">#REF!</definedName>
    <definedName name="_ааа">#REF!</definedName>
    <definedName name="_ж1" localSheetId="0">#REF!</definedName>
    <definedName name="_ж1">#REF!</definedName>
    <definedName name="_у1" localSheetId="0">#REF!</definedName>
    <definedName name="_у1">#REF!</definedName>
    <definedName name="_Э" localSheetId="0">#REF!</definedName>
    <definedName name="_Э">#REF!</definedName>
    <definedName name="a" localSheetId="0">#REF!</definedName>
    <definedName name="a">#REF!</definedName>
    <definedName name="A_l_attention_de" localSheetId="0">#REF!</definedName>
    <definedName name="A_l_attention_de">#REF!</definedName>
    <definedName name="a01_СС_Титул_pre_rep" localSheetId="0">#REF!</definedName>
    <definedName name="a01_СС_Титул_pre_rep">#REF!</definedName>
    <definedName name="a02_СС_Шапка_pre_rep" localSheetId="0">#REF!</definedName>
    <definedName name="a02_СС_Шапка_pre_rep">#REF!</definedName>
    <definedName name="a06_СС_Лимитированные_pre_rep" localSheetId="0">'[1]КС-2'!#REF!</definedName>
    <definedName name="a06_СС_Лимитированные_pre_rep">'[1]КС-2'!#REF!</definedName>
    <definedName name="a08_СС_ЗаголовокЛимит_pre_rep" localSheetId="0">#REF!</definedName>
    <definedName name="a08_СС_ЗаголовокЛимит_pre_rep">#REF!</definedName>
    <definedName name="a16_О_Лимитированные_pre_rep" localSheetId="0">#REF!</definedName>
    <definedName name="a16_О_Лимитированные_pre_rep">#REF!</definedName>
    <definedName name="a17_О_Концовка_pre_rep" localSheetId="0">#REF!</definedName>
    <definedName name="a17_О_Концовка_pre_rep">#REF!</definedName>
    <definedName name="a23_С_Заголовок_pre_rep" localSheetId="0">'[1]КС-2'!#REF!</definedName>
    <definedName name="a23_С_Заголовок_pre_rep">'[1]КС-2'!#REF!</definedName>
    <definedName name="a24_С_ИтогГрафы_pre_rep" localSheetId="0">'[1]КС-2'!#REF!</definedName>
    <definedName name="a24_С_ИтогГрафы_pre_rep">'[1]КС-2'!#REF!</definedName>
    <definedName name="a27_С_Концовка_pre_rep" localSheetId="0">#REF!</definedName>
    <definedName name="a27_С_Концовка_pre_rep">#REF!</definedName>
    <definedName name="a33_Р_Заголовок_pre_rep" localSheetId="0">#REF!</definedName>
    <definedName name="a33_Р_Заголовок_pre_rep">#REF!</definedName>
    <definedName name="a34_Р_ИтогГрафы_pre_rep" localSheetId="0">#REF!</definedName>
    <definedName name="a34_Р_ИтогГрафы_pre_rep">#REF!</definedName>
    <definedName name="a43_ПР_Заголовок_pre_rep" localSheetId="0">#REF!</definedName>
    <definedName name="a43_ПР_Заголовок_pre_rep">#REF!</definedName>
    <definedName name="a44_ПР_ИтогГрафы_pre_rep" localSheetId="0">#REF!</definedName>
    <definedName name="a44_ПР_ИтогГрафы_pre_rep">#REF!</definedName>
    <definedName name="a51_Ст_Строка_pre_rep" localSheetId="0">#REF!</definedName>
    <definedName name="a51_Ст_Строка_pre_rep">#REF!</definedName>
    <definedName name="a54_Ст_НРиСП_pre_rep" localSheetId="0">#REF!</definedName>
    <definedName name="a54_Ст_НРиСП_pre_rep">#REF!</definedName>
    <definedName name="a61_ПСт_Подстрока_pre_rep" localSheetId="0">#REF!</definedName>
    <definedName name="a61_ПСт_Подстрока_pre_rep">#REF!</definedName>
    <definedName name="a64_ПСт_НРиСП_pre_rep" localSheetId="0">#REF!</definedName>
    <definedName name="a64_ПСт_НРиСП_pre_rep">#REF!</definedName>
    <definedName name="AA" localSheetId="0">#REF!</definedName>
    <definedName name="AA">#REF!</definedName>
    <definedName name="Adresse1_affaire" localSheetId="0">#REF!</definedName>
    <definedName name="Adresse1_affaire">#REF!</definedName>
    <definedName name="Adresse2_affaire" localSheetId="0">#REF!</definedName>
    <definedName name="Adresse2_affaire">#REF!</definedName>
    <definedName name="al" hidden="1">{#N/A,#N/A,TRUE,"Сводка балансов"}</definedName>
    <definedName name="aqaa" localSheetId="0">#REF!</definedName>
    <definedName name="aqaa">#REF!</definedName>
    <definedName name="ata4ew4tgretw" localSheetId="0">[2]Эл.энергия!#REF!</definedName>
    <definedName name="ata4ew4tgretw">[2]Эл.энергия!#REF!</definedName>
    <definedName name="B_1" localSheetId="0">#REF!</definedName>
    <definedName name="B_1">#REF!</definedName>
    <definedName name="Catégories">[3]Catégories!$B$5:$B$986</definedName>
    <definedName name="Code_affaire" localSheetId="0">#REF!</definedName>
    <definedName name="Code_affaire">#REF!</definedName>
    <definedName name="Code_client" localSheetId="0">#REF!</definedName>
    <definedName name="Code_client">#REF!</definedName>
    <definedName name="Code_Dossier" localSheetId="0">#REF!</definedName>
    <definedName name="Code_Dossier">#REF!</definedName>
    <definedName name="Code_post_ville_pays_Affaire" localSheetId="0">#REF!</definedName>
    <definedName name="Code_post_ville_pays_Affaire">#REF!</definedName>
    <definedName name="Code_post_ville_pays_Dossier" localSheetId="0">#REF!</definedName>
    <definedName name="Code_post_ville_pays_Dossier">#REF!</definedName>
    <definedName name="Const_1_1" localSheetId="0">#REF!</definedName>
    <definedName name="Const_1_1">#REF!</definedName>
    <definedName name="Constr_1" localSheetId="0">[4]ЭН1_БНС!#REF!</definedName>
    <definedName name="Constr_1">[4]ЭН1_БНС!#REF!</definedName>
    <definedName name="Constr_1_1" localSheetId="0">[2]Эл.энергия!#REF!</definedName>
    <definedName name="Constr_1_1">[2]Эл.энергия!#REF!</definedName>
    <definedName name="Constr_1_25" localSheetId="0">[2]Эл.энергия!#REF!</definedName>
    <definedName name="Constr_1_25">[2]Эл.энергия!#REF!</definedName>
    <definedName name="Constr_11" localSheetId="0">[4]М2_БНС!#REF!</definedName>
    <definedName name="Constr_11">[4]М2_БНС!#REF!</definedName>
    <definedName name="Constr_11_1" localSheetId="0">[5]М2_БНС!#REF!</definedName>
    <definedName name="Constr_11_1">[5]М2_БНС!#REF!</definedName>
    <definedName name="Constr_12" localSheetId="0">[4]ЭН14_Ростверк!#REF!</definedName>
    <definedName name="Constr_12">[4]ЭН14_Ростверк!#REF!</definedName>
    <definedName name="Constr_12_1" localSheetId="0">[5]ЭН14_Ростверк!#REF!</definedName>
    <definedName name="Constr_12_1">[5]ЭН14_Ростверк!#REF!</definedName>
    <definedName name="Constr_13" localSheetId="0">[4]ЭН14_СВСиУ!#REF!</definedName>
    <definedName name="Constr_13">[4]ЭН14_СВСиУ!#REF!</definedName>
    <definedName name="Constr_14" localSheetId="0">[4]ЭН15_БНС!#REF!</definedName>
    <definedName name="Constr_14">[4]ЭН15_БНС!#REF!</definedName>
    <definedName name="Constr_15" localSheetId="0">[4]ЭН13_БНС!#REF!</definedName>
    <definedName name="Constr_15">[4]ЭН13_БНС!#REF!</definedName>
    <definedName name="Constr_16" localSheetId="0">[4]ЭН13_СВСиУ!#REF!</definedName>
    <definedName name="Constr_16">[4]ЭН13_СВСиУ!#REF!</definedName>
    <definedName name="Constr_17" localSheetId="0">[4]ЭН3_БНС!#REF!</definedName>
    <definedName name="Constr_17">[4]ЭН3_БНС!#REF!</definedName>
    <definedName name="Constr_18" localSheetId="0">[4]ЭН16_БНС!#REF!</definedName>
    <definedName name="Constr_18">[4]ЭН16_БНС!#REF!</definedName>
    <definedName name="Constr_2" localSheetId="0">[4]ЭН2_БНС!#REF!</definedName>
    <definedName name="Constr_2">[4]ЭН2_БНС!#REF!</definedName>
    <definedName name="Constr_2_1" localSheetId="0">'[2]аренда флота'!#REF!</definedName>
    <definedName name="Constr_2_1">'[2]аренда флота'!#REF!</definedName>
    <definedName name="Constr_2_25" localSheetId="0">'[2]аренда флота'!#REF!</definedName>
    <definedName name="Constr_2_25">'[2]аренда флота'!#REF!</definedName>
    <definedName name="Constr_22" localSheetId="0">'[4]Аренда флота'!#REF!</definedName>
    <definedName name="Constr_22">'[4]Аренда флота'!#REF!</definedName>
    <definedName name="Constr_3" localSheetId="0">[4]ЭН14_БНС!#REF!</definedName>
    <definedName name="Constr_3">[4]ЭН14_БНС!#REF!</definedName>
    <definedName name="Constr_4" localSheetId="0">'[4]1-1-4'!#REF!</definedName>
    <definedName name="Constr_4">'[4]1-1-4'!#REF!</definedName>
    <definedName name="Constr_5" localSheetId="0">'[4]8-4_времен.дорога А-В'!#REF!</definedName>
    <definedName name="Constr_5">'[4]8-4_времен.дорога А-В'!#REF!</definedName>
    <definedName name="Constr_6" localSheetId="0">'[4]2-4-9_дорога 3'!#REF!</definedName>
    <definedName name="Constr_6">'[4]2-4-9_дорога 3'!#REF!</definedName>
    <definedName name="Constr_7" localSheetId="0">'[4]1-1-11_Зем.работы площадки'!#REF!</definedName>
    <definedName name="Constr_7">'[4]1-1-11_Зем.работы площадки'!#REF!</definedName>
    <definedName name="Constr_8" localSheetId="0">'[4]1-1-8_островки'!#REF!</definedName>
    <definedName name="Constr_8">'[4]1-1-8_островки'!#REF!</definedName>
    <definedName name="Constr_9" localSheetId="0">'[4]9 навМОСТОВИК'!#REF!</definedName>
    <definedName name="Constr_9">'[4]9 навМОСТОВИК'!#REF!</definedName>
    <definedName name="d_0" localSheetId="0">#REF!</definedName>
    <definedName name="d_0">#REF!</definedName>
    <definedName name="d_01" localSheetId="0">#REF!</definedName>
    <definedName name="d_01">#REF!</definedName>
    <definedName name="d_02" localSheetId="0">#REF!</definedName>
    <definedName name="d_02">#REF!</definedName>
    <definedName name="Date_alpha" localSheetId="0">#REF!</definedName>
    <definedName name="Date_alpha">#REF!</definedName>
    <definedName name="Date_base_de_prix" localSheetId="0">#REF!</definedName>
    <definedName name="Date_base_de_prix">#REF!</definedName>
    <definedName name="Date_d_envoi" localSheetId="0">#REF!</definedName>
    <definedName name="Date_d_envoi">#REF!</definedName>
    <definedName name="Date_de_l_offre" localSheetId="0">#REF!</definedName>
    <definedName name="Date_de_l_offre">#REF!</definedName>
    <definedName name="Date_de_valeur_des_prix" localSheetId="0">#REF!</definedName>
    <definedName name="Date_de_valeur_des_prix">#REF!</definedName>
    <definedName name="Date_du_jour" localSheetId="0">#REF!</definedName>
    <definedName name="Date_du_jour">#REF!</definedName>
    <definedName name="Desi_Dossier" localSheetId="0">#REF!</definedName>
    <definedName name="Desi_Dossier">#REF!</definedName>
    <definedName name="Designation_1_pour_agence" localSheetId="0">#REF!</definedName>
    <definedName name="Designation_1_pour_agence">#REF!</definedName>
    <definedName name="Designation_2_pour_agence" localSheetId="0">#REF!</definedName>
    <definedName name="Designation_2_pour_agence">#REF!</definedName>
    <definedName name="Designation_affaire" localSheetId="0">#REF!</definedName>
    <definedName name="Designation_affaire">#REF!</definedName>
    <definedName name="Designation_client" localSheetId="0">#REF!</definedName>
    <definedName name="Designation_client">#REF!</definedName>
    <definedName name="Designation_devis" localSheetId="0">#REF!</definedName>
    <definedName name="Designation_devis">#REF!</definedName>
    <definedName name="Ds_2" localSheetId="0">#REF!</definedName>
    <definedName name="Ds_2">#REF!</definedName>
    <definedName name="EL_0" localSheetId="0">#REF!</definedName>
    <definedName name="EL_0">#REF!</definedName>
    <definedName name="Excel_BuiltIn_Print_Area" localSheetId="0">#REF!</definedName>
    <definedName name="Excel_BuiltIn_Print_Area">#REF!</definedName>
    <definedName name="Excel_BuiltIn_Print_Area_1">#N/A</definedName>
    <definedName name="Excel_BuiltIn_Print_Area_1_1">NA()</definedName>
    <definedName name="Excel_BuiltIn_Print_Area_4" localSheetId="0">#REF!</definedName>
    <definedName name="Excel_BuiltIn_Print_Area_4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f" localSheetId="0">#REF!</definedName>
    <definedName name="f">#REF!</definedName>
    <definedName name="Fax" localSheetId="0">#REF!</definedName>
    <definedName name="Fax">#REF!</definedName>
    <definedName name="Fax_affaire" localSheetId="0">#REF!</definedName>
    <definedName name="Fax_affaire">#REF!</definedName>
    <definedName name="Fax_dossier" localSheetId="0">#REF!</definedName>
    <definedName name="Fax_dossier">#REF!</definedName>
    <definedName name="FOT_1" localSheetId="0">[4]ЭН1_БНС!#REF!</definedName>
    <definedName name="FOT_1">[4]ЭН1_БНС!#REF!</definedName>
    <definedName name="FOT_1_1" localSheetId="0">[2]Эл.энергия!#REF!</definedName>
    <definedName name="FOT_1_1">[2]Эл.энергия!#REF!</definedName>
    <definedName name="FOT_1_25" localSheetId="0">[2]Эл.энергия!#REF!</definedName>
    <definedName name="FOT_1_25">[2]Эл.энергия!#REF!</definedName>
    <definedName name="FOT_11" localSheetId="0">[4]М2_БНС!#REF!</definedName>
    <definedName name="FOT_11">[4]М2_БНС!#REF!</definedName>
    <definedName name="FOT_12" localSheetId="0">[4]ЭН14_Ростверк!#REF!</definedName>
    <definedName name="FOT_12">[4]ЭН14_Ростверк!#REF!</definedName>
    <definedName name="FOT_13" localSheetId="0">[4]ЭН14_СВСиУ!#REF!</definedName>
    <definedName name="FOT_13">[4]ЭН14_СВСиУ!#REF!</definedName>
    <definedName name="FOT_14" localSheetId="0">[4]ЭН15_БНС!#REF!</definedName>
    <definedName name="FOT_14">[4]ЭН15_БНС!#REF!</definedName>
    <definedName name="FOT_15" localSheetId="0">[4]ЭН13_БНС!#REF!</definedName>
    <definedName name="FOT_15">[4]ЭН13_БНС!#REF!</definedName>
    <definedName name="FOT_16" localSheetId="0">[4]ЭН13_СВСиУ!#REF!</definedName>
    <definedName name="FOT_16">[4]ЭН13_СВСиУ!#REF!</definedName>
    <definedName name="FOT_17" localSheetId="0">[4]ЭН3_БНС!#REF!</definedName>
    <definedName name="FOT_17">[4]ЭН3_БНС!#REF!</definedName>
    <definedName name="FOT_18" localSheetId="0">[4]ЭН16_БНС!#REF!</definedName>
    <definedName name="FOT_18">[4]ЭН16_БНС!#REF!</definedName>
    <definedName name="FOT_2" localSheetId="0">[4]ЭН2_БНС!#REF!</definedName>
    <definedName name="FOT_2">[4]ЭН2_БНС!#REF!</definedName>
    <definedName name="FOT_2_1" localSheetId="0">'[2]аренда флота'!#REF!</definedName>
    <definedName name="FOT_2_1">'[2]аренда флота'!#REF!</definedName>
    <definedName name="FOT_2_25" localSheetId="0">'[2]аренда флота'!#REF!</definedName>
    <definedName name="FOT_2_25">'[2]аренда флота'!#REF!</definedName>
    <definedName name="FOT_22" localSheetId="0">'[4]Аренда флота'!#REF!</definedName>
    <definedName name="FOT_22">'[4]Аренда флота'!#REF!</definedName>
    <definedName name="FOT_3" localSheetId="0">[4]ЭН14_БНС!#REF!</definedName>
    <definedName name="FOT_3">[4]ЭН14_БНС!#REF!</definedName>
    <definedName name="FOT_4" localSheetId="0">'[4]1-1-4'!#REF!</definedName>
    <definedName name="FOT_4">'[4]1-1-4'!#REF!</definedName>
    <definedName name="FOT_5" localSheetId="0">'[4]8-4_времен.дорога А-В'!#REF!</definedName>
    <definedName name="FOT_5">'[4]8-4_времен.дорога А-В'!#REF!</definedName>
    <definedName name="FOT_6" localSheetId="0">'[4]2-4-9_дорога 3'!#REF!</definedName>
    <definedName name="FOT_6">'[4]2-4-9_дорога 3'!#REF!</definedName>
    <definedName name="FOT_7" localSheetId="0">'[4]1-1-11_Зем.работы площадки'!#REF!</definedName>
    <definedName name="FOT_7">'[4]1-1-11_Зем.работы площадки'!#REF!</definedName>
    <definedName name="FOT_8" localSheetId="0">'[4]1-1-8_островки'!#REF!</definedName>
    <definedName name="FOT_8">'[4]1-1-8_островки'!#REF!</definedName>
    <definedName name="FOT_9" localSheetId="0">'[4]9 навМОСТОВИК'!#REF!</definedName>
    <definedName name="FOT_9">'[4]9 навМОСТОВИК'!#REF!</definedName>
    <definedName name="gjjj" localSheetId="0">#REF!</definedName>
    <definedName name="gjjj">#REF!</definedName>
    <definedName name="Ind_1" localSheetId="0">[4]ЭН1_БНС!#REF!</definedName>
    <definedName name="Ind_1">[4]ЭН1_БНС!#REF!</definedName>
    <definedName name="Ind_1_1" localSheetId="0">[2]Эл.энергия!#REF!</definedName>
    <definedName name="Ind_1_1">[2]Эл.энергия!#REF!</definedName>
    <definedName name="Ind_1_25" localSheetId="0">[2]Эл.энергия!#REF!</definedName>
    <definedName name="Ind_1_25">[2]Эл.энергия!#REF!</definedName>
    <definedName name="Ind_11" localSheetId="0">[4]М2_БНС!#REF!</definedName>
    <definedName name="Ind_11">[4]М2_БНС!#REF!</definedName>
    <definedName name="Ind_12" localSheetId="0">[4]ЭН14_Ростверк!#REF!</definedName>
    <definedName name="Ind_12">[4]ЭН14_Ростверк!#REF!</definedName>
    <definedName name="Ind_13" localSheetId="0">[4]ЭН14_СВСиУ!#REF!</definedName>
    <definedName name="Ind_13">[4]ЭН14_СВСиУ!#REF!</definedName>
    <definedName name="Ind_14" localSheetId="0">[4]ЭН15_БНС!#REF!</definedName>
    <definedName name="Ind_14">[4]ЭН15_БНС!#REF!</definedName>
    <definedName name="Ind_15" localSheetId="0">[4]ЭН13_БНС!#REF!</definedName>
    <definedName name="Ind_15">[4]ЭН13_БНС!#REF!</definedName>
    <definedName name="Ind_16" localSheetId="0">[4]ЭН13_СВСиУ!#REF!</definedName>
    <definedName name="Ind_16">[4]ЭН13_СВСиУ!#REF!</definedName>
    <definedName name="Ind_17" localSheetId="0">[4]ЭН3_БНС!#REF!</definedName>
    <definedName name="Ind_17">[4]ЭН3_БНС!#REF!</definedName>
    <definedName name="Ind_18" localSheetId="0">[4]ЭН16_БНС!#REF!</definedName>
    <definedName name="Ind_18">[4]ЭН16_БНС!#REF!</definedName>
    <definedName name="Ind_2" localSheetId="0">[4]ЭН2_БНС!#REF!</definedName>
    <definedName name="Ind_2">[4]ЭН2_БНС!#REF!</definedName>
    <definedName name="Ind_2_1" localSheetId="0">'[2]аренда флота'!#REF!</definedName>
    <definedName name="Ind_2_1">'[2]аренда флота'!#REF!</definedName>
    <definedName name="Ind_2_25" localSheetId="0">'[2]аренда флота'!#REF!</definedName>
    <definedName name="Ind_2_25">'[2]аренда флота'!#REF!</definedName>
    <definedName name="Ind_22" localSheetId="0">'[4]Аренда флота'!#REF!</definedName>
    <definedName name="Ind_22">'[4]Аренда флота'!#REF!</definedName>
    <definedName name="Ind_3" localSheetId="0">[4]ЭН14_БНС!#REF!</definedName>
    <definedName name="Ind_3">[4]ЭН14_БНС!#REF!</definedName>
    <definedName name="Ind_4" localSheetId="0">'[4]1-1-4'!#REF!</definedName>
    <definedName name="Ind_4">'[4]1-1-4'!#REF!</definedName>
    <definedName name="Ind_5" localSheetId="0">'[4]8-4_времен.дорога А-В'!#REF!</definedName>
    <definedName name="Ind_5">'[4]8-4_времен.дорога А-В'!#REF!</definedName>
    <definedName name="Ind_6" localSheetId="0">'[4]2-4-9_дорога 3'!#REF!</definedName>
    <definedName name="Ind_6">'[4]2-4-9_дорога 3'!#REF!</definedName>
    <definedName name="Ind_7" localSheetId="0">'[4]1-1-11_Зем.работы площадки'!#REF!</definedName>
    <definedName name="Ind_7">'[4]1-1-11_Зем.работы площадки'!#REF!</definedName>
    <definedName name="Ind_8" localSheetId="0">'[4]1-1-8_островки'!#REF!</definedName>
    <definedName name="Ind_8">'[4]1-1-8_островки'!#REF!</definedName>
    <definedName name="Ind_9" localSheetId="0">'[4]9 навМОСТОВИК'!#REF!</definedName>
    <definedName name="Ind_9">'[4]9 навМОСТОВИК'!#REF!</definedName>
    <definedName name="j" localSheetId="0">#REF!</definedName>
    <definedName name="j">#REF!</definedName>
    <definedName name="jj" localSheetId="0">#REF!</definedName>
    <definedName name="jj">#REF!</definedName>
    <definedName name="K_012" localSheetId="0">#REF!</definedName>
    <definedName name="K_012">#REF!</definedName>
    <definedName name="K_1" localSheetId="0">#REF!</definedName>
    <definedName name="K_1">#REF!</definedName>
    <definedName name="K_10" localSheetId="0">#REF!</definedName>
    <definedName name="K_10">#REF!</definedName>
    <definedName name="K_101">'[6]Тр.(пут)'!$P$20</definedName>
    <definedName name="K_102">'[6]Тр.(пут)'!$P$23</definedName>
    <definedName name="K_103">'[6]Тр.(пут)'!$P$26</definedName>
    <definedName name="K_104">'[6]Тр.(пут)'!$P$29</definedName>
    <definedName name="K_105">'[7]Тр.(пут)'!$P$32</definedName>
    <definedName name="K_106">'[6]Тр.(пут)'!$P$35</definedName>
    <definedName name="K_107">'[6]Тр.(пут)'!$P$38</definedName>
    <definedName name="K_108">'[6]Тр.(пут)'!$P$17</definedName>
    <definedName name="K_109">'[6]Тр.(пут)'!$P$41</definedName>
    <definedName name="K_11" localSheetId="0">#REF!</definedName>
    <definedName name="K_11">#REF!</definedName>
    <definedName name="K_12" localSheetId="0">#REF!</definedName>
    <definedName name="K_12">#REF!</definedName>
    <definedName name="K_122" localSheetId="0">#REF!</definedName>
    <definedName name="K_122">#REF!</definedName>
    <definedName name="K_13" localSheetId="0">#REF!</definedName>
    <definedName name="K_13">#REF!</definedName>
    <definedName name="K_14" localSheetId="0">#REF!</definedName>
    <definedName name="K_14">#REF!</definedName>
    <definedName name="K_15" localSheetId="0">#REF!</definedName>
    <definedName name="K_15">#REF!</definedName>
    <definedName name="K_16" localSheetId="0">#REF!</definedName>
    <definedName name="K_16">#REF!</definedName>
    <definedName name="K_2" localSheetId="0">#REF!</definedName>
    <definedName name="K_2">#REF!</definedName>
    <definedName name="K_20" localSheetId="0">#REF!</definedName>
    <definedName name="K_20">#REF!</definedName>
    <definedName name="K_3" localSheetId="0">#REF!</definedName>
    <definedName name="K_3">#REF!</definedName>
    <definedName name="K_31" localSheetId="0">'[8]ТрМ. '!#REF!</definedName>
    <definedName name="K_31">'[8]ТрМ. '!#REF!</definedName>
    <definedName name="K_4" localSheetId="0">#REF!</definedName>
    <definedName name="K_4">#REF!</definedName>
    <definedName name="K_400" localSheetId="0">#REF!</definedName>
    <definedName name="K_400">#REF!</definedName>
    <definedName name="K_44" localSheetId="0">#REF!</definedName>
    <definedName name="K_44">#REF!</definedName>
    <definedName name="K_48">'[9]Тр.(ж.д.)'!$F$43</definedName>
    <definedName name="K_49" localSheetId="0">#REF!</definedName>
    <definedName name="K_49">#REF!</definedName>
    <definedName name="K_5">[10]Тр.!$H$36</definedName>
    <definedName name="K_55" localSheetId="0">#REF!</definedName>
    <definedName name="K_55">#REF!</definedName>
    <definedName name="K_58">'[11]Тр.  (мост)'!$P$30</definedName>
    <definedName name="K_6" localSheetId="0">#REF!</definedName>
    <definedName name="K_6">#REF!</definedName>
    <definedName name="K_6а" localSheetId="0">#REF!</definedName>
    <definedName name="K_6а">#REF!</definedName>
    <definedName name="K_7" localSheetId="0">#REF!</definedName>
    <definedName name="K_7">#REF!</definedName>
    <definedName name="K_7а" localSheetId="0">'[8]ТрМ. '!#REF!</definedName>
    <definedName name="K_7а">'[8]ТрМ. '!#REF!</definedName>
    <definedName name="K_8" localSheetId="0">#REF!</definedName>
    <definedName name="K_8">#REF!</definedName>
    <definedName name="K_80" localSheetId="0">#REF!</definedName>
    <definedName name="K_80">#REF!</definedName>
    <definedName name="K_81" localSheetId="0">#REF!</definedName>
    <definedName name="K_81">#REF!</definedName>
    <definedName name="K_85" localSheetId="0">'[12]тр '!#REF!</definedName>
    <definedName name="K_85">'[12]тр '!#REF!</definedName>
    <definedName name="K_9" localSheetId="0">#REF!</definedName>
    <definedName name="K_9">#REF!</definedName>
    <definedName name="K_91" localSheetId="0">#REF!</definedName>
    <definedName name="K_91">#REF!</definedName>
    <definedName name="L_1" localSheetId="0">#REF!</definedName>
    <definedName name="L_1">#REF!</definedName>
    <definedName name="L_2" localSheetId="0">#REF!</definedName>
    <definedName name="L_2">#REF!</definedName>
    <definedName name="lh" hidden="1">{#N/A,#N/A,TRUE,"Сводка балансов"}</definedName>
    <definedName name="Ligne_1_commentaire_entete" localSheetId="0">#REF!</definedName>
    <definedName name="Ligne_1_commentaire_entete">#REF!</definedName>
    <definedName name="Ligne_1_desi_client" localSheetId="0">#REF!</definedName>
    <definedName name="Ligne_1_desi_client">#REF!</definedName>
    <definedName name="Ligne_1_reference" localSheetId="0">#REF!</definedName>
    <definedName name="Ligne_1_reference">#REF!</definedName>
    <definedName name="Ligne_2_commentaire_entete" localSheetId="0">#REF!</definedName>
    <definedName name="Ligne_2_commentaire_entete">#REF!</definedName>
    <definedName name="Ligne_2_desi_client" localSheetId="0">#REF!</definedName>
    <definedName name="Ligne_2_desi_client">#REF!</definedName>
    <definedName name="Ligne_2_reference" localSheetId="0">#REF!</definedName>
    <definedName name="Ligne_2_reference">#REF!</definedName>
    <definedName name="Ligne_3_desi_client" localSheetId="0">#REF!</definedName>
    <definedName name="Ligne_3_desi_client">#REF!</definedName>
    <definedName name="Ligne_3_reference" localSheetId="0">#REF!</definedName>
    <definedName name="Ligne_3_reference">#REF!</definedName>
    <definedName name="M__1" localSheetId="0">#REF!</definedName>
    <definedName name="M__1">#REF!</definedName>
    <definedName name="M__66" localSheetId="0">#REF!</definedName>
    <definedName name="M__66">#REF!</definedName>
    <definedName name="M__92" localSheetId="0">#REF!</definedName>
    <definedName name="M__92">#REF!</definedName>
    <definedName name="M_1" localSheetId="0">#REF!</definedName>
    <definedName name="M_1">#REF!</definedName>
    <definedName name="M_10" localSheetId="0">#REF!</definedName>
    <definedName name="M_10">#REF!</definedName>
    <definedName name="M_100" localSheetId="0">[13]К.С.М.!#REF!</definedName>
    <definedName name="M_100">[13]К.С.М.!#REF!</definedName>
    <definedName name="M_101" localSheetId="0">#REF!</definedName>
    <definedName name="M_101">#REF!</definedName>
    <definedName name="M_107" localSheetId="0">#REF!</definedName>
    <definedName name="M_107">#REF!</definedName>
    <definedName name="M_11" localSheetId="0">#REF!</definedName>
    <definedName name="M_11">#REF!</definedName>
    <definedName name="M_119" localSheetId="0">[14]К.С.М.!#REF!</definedName>
    <definedName name="M_119">[14]К.С.М.!#REF!</definedName>
    <definedName name="M_12" localSheetId="0">#REF!</definedName>
    <definedName name="M_12">#REF!</definedName>
    <definedName name="M_122">'[15]К.С.М. (2)'!$P$49</definedName>
    <definedName name="M_12а" localSheetId="0">#REF!</definedName>
    <definedName name="M_12а">#REF!</definedName>
    <definedName name="M_12б" localSheetId="0">#REF!</definedName>
    <definedName name="M_12б">#REF!</definedName>
    <definedName name="M_13" localSheetId="0">#REF!</definedName>
    <definedName name="M_13">#REF!</definedName>
    <definedName name="M_13а" localSheetId="0">#REF!</definedName>
    <definedName name="M_13а">#REF!</definedName>
    <definedName name="M_14" localSheetId="0">#REF!</definedName>
    <definedName name="M_14">#REF!</definedName>
    <definedName name="M_15" localSheetId="0">#REF!</definedName>
    <definedName name="M_15">#REF!</definedName>
    <definedName name="M_152" localSheetId="0">[16]К.С.М.!#REF!</definedName>
    <definedName name="M_152">[16]К.С.М.!#REF!</definedName>
    <definedName name="M_16" localSheetId="0">#REF!</definedName>
    <definedName name="M_16">#REF!</definedName>
    <definedName name="M_17" localSheetId="0">#REF!</definedName>
    <definedName name="M_17">#REF!</definedName>
    <definedName name="M_17a" localSheetId="0">#REF!</definedName>
    <definedName name="M_17a">#REF!</definedName>
    <definedName name="M_17б" localSheetId="0">#REF!</definedName>
    <definedName name="M_17б">#REF!</definedName>
    <definedName name="M_18">[17]К.С.М.!$P$42</definedName>
    <definedName name="M_188" localSheetId="0">#REF!</definedName>
    <definedName name="M_188">#REF!</definedName>
    <definedName name="M_19" localSheetId="0">#REF!</definedName>
    <definedName name="M_19">#REF!</definedName>
    <definedName name="M_1д" localSheetId="0">#REF!</definedName>
    <definedName name="M_1д">#REF!</definedName>
    <definedName name="M_2" localSheetId="0">#REF!</definedName>
    <definedName name="M_2">#REF!</definedName>
    <definedName name="M_20" localSheetId="0">#REF!</definedName>
    <definedName name="M_20">#REF!</definedName>
    <definedName name="M_20a" localSheetId="0">#REF!</definedName>
    <definedName name="M_20a">#REF!</definedName>
    <definedName name="M_21" localSheetId="0">#REF!</definedName>
    <definedName name="M_21">#REF!</definedName>
    <definedName name="M_22" localSheetId="0">#REF!</definedName>
    <definedName name="M_22">#REF!</definedName>
    <definedName name="M_222" localSheetId="0">#REF!</definedName>
    <definedName name="M_222">#REF!</definedName>
    <definedName name="M_23" localSheetId="0">#REF!</definedName>
    <definedName name="M_23">#REF!</definedName>
    <definedName name="M_24" localSheetId="0">#REF!</definedName>
    <definedName name="M_24">#REF!</definedName>
    <definedName name="M_25" localSheetId="0">#REF!</definedName>
    <definedName name="M_25">#REF!</definedName>
    <definedName name="M_25а" localSheetId="0">[18]К.С.М.!#REF!</definedName>
    <definedName name="M_25а">[18]К.С.М.!#REF!</definedName>
    <definedName name="M_25Х" localSheetId="0">[13]К.С.М.!#REF!</definedName>
    <definedName name="M_25Х">[13]К.С.М.!#REF!</definedName>
    <definedName name="M_26" localSheetId="0">#REF!</definedName>
    <definedName name="M_26">#REF!</definedName>
    <definedName name="M_27" localSheetId="0">#REF!</definedName>
    <definedName name="M_27">#REF!</definedName>
    <definedName name="M_27а" localSheetId="0">#REF!</definedName>
    <definedName name="M_27а">#REF!</definedName>
    <definedName name="M_27б" localSheetId="0">'[8]К.С.М. м'!#REF!</definedName>
    <definedName name="M_27б">'[8]К.С.М. м'!#REF!</definedName>
    <definedName name="M_28" localSheetId="0">#REF!</definedName>
    <definedName name="M_28">#REF!</definedName>
    <definedName name="M_29" localSheetId="0">#REF!</definedName>
    <definedName name="M_29">#REF!</definedName>
    <definedName name="M_2а" localSheetId="0">#REF!</definedName>
    <definedName name="M_2а">#REF!</definedName>
    <definedName name="M_2б" localSheetId="0">#REF!</definedName>
    <definedName name="M_2б">#REF!</definedName>
    <definedName name="M_2в" localSheetId="0">#REF!</definedName>
    <definedName name="M_2в">#REF!</definedName>
    <definedName name="M_2д" localSheetId="0">#REF!</definedName>
    <definedName name="M_2д">#REF!</definedName>
    <definedName name="M_3" localSheetId="0">#REF!</definedName>
    <definedName name="M_3">#REF!</definedName>
    <definedName name="M_30" localSheetId="0">#REF!</definedName>
    <definedName name="M_30">#REF!</definedName>
    <definedName name="M_308" localSheetId="0">#REF!</definedName>
    <definedName name="M_308">#REF!</definedName>
    <definedName name="M_31" localSheetId="0">#REF!</definedName>
    <definedName name="M_31">#REF!</definedName>
    <definedName name="M_37" localSheetId="0">[18]К.С.М.!#REF!</definedName>
    <definedName name="M_37">[18]К.С.М.!#REF!</definedName>
    <definedName name="M_37а" localSheetId="0">#REF!</definedName>
    <definedName name="M_37а">#REF!</definedName>
    <definedName name="M_3д" localSheetId="0">#REF!</definedName>
    <definedName name="M_3д">#REF!</definedName>
    <definedName name="M_4" localSheetId="0">#REF!</definedName>
    <definedName name="M_4">#REF!</definedName>
    <definedName name="M_42" localSheetId="0">#REF!</definedName>
    <definedName name="M_42">#REF!</definedName>
    <definedName name="M_421">[19]К.С.М.!$P$18</definedName>
    <definedName name="M_4а" localSheetId="0">#REF!</definedName>
    <definedName name="M_4а">#REF!</definedName>
    <definedName name="M_4д" localSheetId="0">#REF!</definedName>
    <definedName name="M_4д">#REF!</definedName>
    <definedName name="M_5" localSheetId="0">#REF!</definedName>
    <definedName name="M_5">#REF!</definedName>
    <definedName name="M_50" localSheetId="0">[16]К.С.М.!#REF!</definedName>
    <definedName name="M_50">[16]К.С.М.!#REF!</definedName>
    <definedName name="M_6" localSheetId="0">#REF!</definedName>
    <definedName name="M_6">#REF!</definedName>
    <definedName name="M_61" localSheetId="0">#REF!</definedName>
    <definedName name="M_61">#REF!</definedName>
    <definedName name="M_62" localSheetId="0">#REF!</definedName>
    <definedName name="M_62">#REF!</definedName>
    <definedName name="M_63" localSheetId="0">#REF!</definedName>
    <definedName name="M_63">#REF!</definedName>
    <definedName name="M_633" localSheetId="0">#REF!</definedName>
    <definedName name="M_633">#REF!</definedName>
    <definedName name="M_634" localSheetId="0">#REF!</definedName>
    <definedName name="M_634">#REF!</definedName>
    <definedName name="M_64" localSheetId="0">#REF!</definedName>
    <definedName name="M_64">#REF!</definedName>
    <definedName name="M_66" localSheetId="0">#REF!</definedName>
    <definedName name="M_66">#REF!</definedName>
    <definedName name="M_666" localSheetId="0">'[8]К.С.М. м'!#REF!</definedName>
    <definedName name="M_666">'[8]К.С.М. м'!#REF!</definedName>
    <definedName name="M_66б" localSheetId="0">[20]К.С.М.!#REF!</definedName>
    <definedName name="M_66б">[20]К.С.М.!#REF!</definedName>
    <definedName name="M_67" localSheetId="0">[18]К.С.М.!#REF!</definedName>
    <definedName name="M_67">[18]К.С.М.!#REF!</definedName>
    <definedName name="M_69" localSheetId="0">#REF!</definedName>
    <definedName name="M_69">#REF!</definedName>
    <definedName name="M_6a" localSheetId="0">#REF!</definedName>
    <definedName name="M_6a">#REF!</definedName>
    <definedName name="M_6а">[21]К.С.М.!$P$113</definedName>
    <definedName name="M_6б">[22]К.С.М.!$P$192</definedName>
    <definedName name="M_6бс" localSheetId="0">#REF!</definedName>
    <definedName name="M_6бс">#REF!</definedName>
    <definedName name="M_7" localSheetId="0">#REF!</definedName>
    <definedName name="M_7">#REF!</definedName>
    <definedName name="M_76a" localSheetId="0">[18]К.С.М.!#REF!</definedName>
    <definedName name="M_76a">[18]К.С.М.!#REF!</definedName>
    <definedName name="M_77" localSheetId="0">#REF!</definedName>
    <definedName name="M_77">#REF!</definedName>
    <definedName name="M_78" localSheetId="0">#REF!</definedName>
    <definedName name="M_78">#REF!</definedName>
    <definedName name="M_7а" localSheetId="0">#REF!</definedName>
    <definedName name="M_7а">#REF!</definedName>
    <definedName name="M_7б" localSheetId="0">[18]К.С.М.!#REF!</definedName>
    <definedName name="M_7б">[18]К.С.М.!#REF!</definedName>
    <definedName name="M_7к" localSheetId="0">[23]К.С.М.!#REF!</definedName>
    <definedName name="M_7к">[23]К.С.М.!#REF!</definedName>
    <definedName name="M_8" localSheetId="0">#REF!</definedName>
    <definedName name="M_8">#REF!</definedName>
    <definedName name="M_81" localSheetId="0">#REF!</definedName>
    <definedName name="M_81">#REF!</definedName>
    <definedName name="M_87" localSheetId="0">#REF!</definedName>
    <definedName name="M_87">#REF!</definedName>
    <definedName name="M_88" localSheetId="0">#REF!</definedName>
    <definedName name="M_88">#REF!</definedName>
    <definedName name="M_89" localSheetId="0">#REF!</definedName>
    <definedName name="M_89">#REF!</definedName>
    <definedName name="M_8а" localSheetId="0">[12]К.С.М.!#REF!</definedName>
    <definedName name="M_8а">[12]К.С.М.!#REF!</definedName>
    <definedName name="M_8б" localSheetId="0">#REF!</definedName>
    <definedName name="M_8б">#REF!</definedName>
    <definedName name="M_8в" localSheetId="0">[12]К.С.М.!#REF!</definedName>
    <definedName name="M_8в">[12]К.С.М.!#REF!</definedName>
    <definedName name="M_8г" localSheetId="0">[12]К.С.М.!#REF!</definedName>
    <definedName name="M_8г">[12]К.С.М.!#REF!</definedName>
    <definedName name="M_9" localSheetId="0">#REF!</definedName>
    <definedName name="M_9">#REF!</definedName>
    <definedName name="M_90" localSheetId="0">[12]К.С.М.!#REF!</definedName>
    <definedName name="M_90">[12]К.С.М.!#REF!</definedName>
    <definedName name="M_91" localSheetId="0">#REF!</definedName>
    <definedName name="M_91">#REF!</definedName>
    <definedName name="M_92" localSheetId="0">#REF!</definedName>
    <definedName name="M_92">#REF!</definedName>
    <definedName name="M_9a" localSheetId="0">#REF!</definedName>
    <definedName name="M_9a">#REF!</definedName>
    <definedName name="Monnaie" localSheetId="0">#REF!</definedName>
    <definedName name="Monnaie">#REF!</definedName>
    <definedName name="Montant_en_EURO_ligne_1" localSheetId="0">#REF!</definedName>
    <definedName name="Montant_en_EURO_ligne_1">#REF!</definedName>
    <definedName name="Montant_en_EURO_ligne_2" localSheetId="0">#REF!</definedName>
    <definedName name="Montant_en_EURO_ligne_2">#REF!</definedName>
    <definedName name="Montant_en_lettre_ligne_1" localSheetId="0">#REF!</definedName>
    <definedName name="Montant_en_lettre_ligne_1">#REF!</definedName>
    <definedName name="Montant_en_lettre_ligne_2" localSheetId="0">#REF!</definedName>
    <definedName name="Montant_en_lettre_ligne_2">#REF!</definedName>
    <definedName name="Montant_EURO_chiffres" localSheetId="0">#REF!</definedName>
    <definedName name="Montant_EURO_chiffres">#REF!</definedName>
    <definedName name="N_5">'[24]3'!$K$155</definedName>
    <definedName name="nnn" localSheetId="0">#REF!</definedName>
    <definedName name="nnn">#REF!</definedName>
    <definedName name="Nom_du_responsable" localSheetId="0">#REF!</definedName>
    <definedName name="Nom_du_responsable">#REF!</definedName>
    <definedName name="Nt_0" localSheetId="0">#REF!</definedName>
    <definedName name="Nt_0">#REF!</definedName>
    <definedName name="Obj_1" localSheetId="0">[4]ЭН1_БНС!#REF!</definedName>
    <definedName name="Obj_1">[4]ЭН1_БНС!#REF!</definedName>
    <definedName name="Obj_1_1" localSheetId="0">[2]Эл.энергия!#REF!</definedName>
    <definedName name="Obj_1_1">[2]Эл.энергия!#REF!</definedName>
    <definedName name="Obj_1_25" localSheetId="0">[2]Эл.энергия!#REF!</definedName>
    <definedName name="Obj_1_25">[2]Эл.энергия!#REF!</definedName>
    <definedName name="Obj_11" localSheetId="0">[4]М2_БНС!#REF!</definedName>
    <definedName name="Obj_11">[4]М2_БНС!#REF!</definedName>
    <definedName name="Obj_12" localSheetId="0">[4]ЭН14_Ростверк!#REF!</definedName>
    <definedName name="Obj_12">[4]ЭН14_Ростверк!#REF!</definedName>
    <definedName name="Obj_13" localSheetId="0">[4]ЭН14_СВСиУ!#REF!</definedName>
    <definedName name="Obj_13">[4]ЭН14_СВСиУ!#REF!</definedName>
    <definedName name="Obj_14" localSheetId="0">[4]ЭН15_БНС!#REF!</definedName>
    <definedName name="Obj_14">[4]ЭН15_БНС!#REF!</definedName>
    <definedName name="Obj_15" localSheetId="0">[4]ЭН13_БНС!#REF!</definedName>
    <definedName name="Obj_15">[4]ЭН13_БНС!#REF!</definedName>
    <definedName name="Obj_16" localSheetId="0">[4]ЭН13_СВСиУ!#REF!</definedName>
    <definedName name="Obj_16">[4]ЭН13_СВСиУ!#REF!</definedName>
    <definedName name="Obj_17" localSheetId="0">[4]ЭН3_БНС!#REF!</definedName>
    <definedName name="Obj_17">[4]ЭН3_БНС!#REF!</definedName>
    <definedName name="Obj_18" localSheetId="0">[4]ЭН16_БНС!#REF!</definedName>
    <definedName name="Obj_18">[4]ЭН16_БНС!#REF!</definedName>
    <definedName name="Obj_2" localSheetId="0">[4]ЭН2_БНС!#REF!</definedName>
    <definedName name="Obj_2">[4]ЭН2_БНС!#REF!</definedName>
    <definedName name="Obj_2_1" localSheetId="0">'[2]аренда флота'!#REF!</definedName>
    <definedName name="Obj_2_1">'[2]аренда флота'!#REF!</definedName>
    <definedName name="Obj_2_25" localSheetId="0">'[2]аренда флота'!#REF!</definedName>
    <definedName name="Obj_2_25">'[2]аренда флота'!#REF!</definedName>
    <definedName name="Obj_22" localSheetId="0">'[4]Аренда флота'!#REF!</definedName>
    <definedName name="Obj_22">'[4]Аренда флота'!#REF!</definedName>
    <definedName name="Obj_3" localSheetId="0">[4]ЭН14_БНС!#REF!</definedName>
    <definedName name="Obj_3">[4]ЭН14_БНС!#REF!</definedName>
    <definedName name="Obj_4" localSheetId="0">'[4]1-1-4'!#REF!</definedName>
    <definedName name="Obj_4">'[4]1-1-4'!#REF!</definedName>
    <definedName name="Obj_5" localSheetId="0">'[4]8-4_времен.дорога А-В'!#REF!</definedName>
    <definedName name="Obj_5">'[4]8-4_времен.дорога А-В'!#REF!</definedName>
    <definedName name="Obj_6" localSheetId="0">'[4]2-4-9_дорога 3'!#REF!</definedName>
    <definedName name="Obj_6">'[4]2-4-9_дорога 3'!#REF!</definedName>
    <definedName name="Obj_7" localSheetId="0">'[4]1-1-11_Зем.работы площадки'!#REF!</definedName>
    <definedName name="Obj_7">'[4]1-1-11_Зем.работы площадки'!#REF!</definedName>
    <definedName name="Obj_8" localSheetId="0">'[4]1-1-8_островки'!#REF!</definedName>
    <definedName name="Obj_8">'[4]1-1-8_островки'!#REF!</definedName>
    <definedName name="Obj_9" localSheetId="0">'[4]9 навМОСТОВИК'!#REF!</definedName>
    <definedName name="Obj_9">'[4]9 навМОСТОВИК'!#REF!</definedName>
    <definedName name="Objet_1" localSheetId="0">#REF!</definedName>
    <definedName name="Objet_1">#REF!</definedName>
    <definedName name="Objet_2" localSheetId="0">#REF!</definedName>
    <definedName name="Objet_2">#REF!</definedName>
    <definedName name="Objet_3" localSheetId="0">#REF!</definedName>
    <definedName name="Objet_3">#REF!</definedName>
    <definedName name="Obosn_1" localSheetId="0">[4]ЭН1_БНС!#REF!</definedName>
    <definedName name="Obosn_1">[4]ЭН1_БНС!#REF!</definedName>
    <definedName name="Obosn_1_1" localSheetId="0">[2]Эл.энергия!#REF!</definedName>
    <definedName name="Obosn_1_1">[2]Эл.энергия!#REF!</definedName>
    <definedName name="Obosn_1_25" localSheetId="0">[2]Эл.энергия!#REF!</definedName>
    <definedName name="Obosn_1_25">[2]Эл.энергия!#REF!</definedName>
    <definedName name="Obosn_11" localSheetId="0">[4]М2_БНС!#REF!</definedName>
    <definedName name="Obosn_11">[4]М2_БНС!#REF!</definedName>
    <definedName name="Obosn_12" localSheetId="0">[4]ЭН14_Ростверк!#REF!</definedName>
    <definedName name="Obosn_12">[4]ЭН14_Ростверк!#REF!</definedName>
    <definedName name="Obosn_13" localSheetId="0">[4]ЭН14_СВСиУ!#REF!</definedName>
    <definedName name="Obosn_13">[4]ЭН14_СВСиУ!#REF!</definedName>
    <definedName name="Obosn_14" localSheetId="0">[4]ЭН15_БНС!#REF!</definedName>
    <definedName name="Obosn_14">[4]ЭН15_БНС!#REF!</definedName>
    <definedName name="Obosn_15" localSheetId="0">[4]ЭН13_БНС!#REF!</definedName>
    <definedName name="Obosn_15">[4]ЭН13_БНС!#REF!</definedName>
    <definedName name="Obosn_16" localSheetId="0">[4]ЭН13_СВСиУ!#REF!</definedName>
    <definedName name="Obosn_16">[4]ЭН13_СВСиУ!#REF!</definedName>
    <definedName name="Obosn_17" localSheetId="0">[4]ЭН3_БНС!#REF!</definedName>
    <definedName name="Obosn_17">[4]ЭН3_БНС!#REF!</definedName>
    <definedName name="Obosn_18" localSheetId="0">[4]ЭН16_БНС!#REF!</definedName>
    <definedName name="Obosn_18">[4]ЭН16_БНС!#REF!</definedName>
    <definedName name="Obosn_2" localSheetId="0">[4]ЭН2_БНС!#REF!</definedName>
    <definedName name="Obosn_2">[4]ЭН2_БНС!#REF!</definedName>
    <definedName name="Obosn_2_1" localSheetId="0">'[2]аренда флота'!#REF!</definedName>
    <definedName name="Obosn_2_1">'[2]аренда флота'!#REF!</definedName>
    <definedName name="Obosn_2_25" localSheetId="0">'[2]аренда флота'!#REF!</definedName>
    <definedName name="Obosn_2_25">'[2]аренда флота'!#REF!</definedName>
    <definedName name="Obosn_22" localSheetId="0">'[4]Аренда флота'!#REF!</definedName>
    <definedName name="Obosn_22">'[4]Аренда флота'!#REF!</definedName>
    <definedName name="Obosn_3" localSheetId="0">[4]ЭН14_БНС!#REF!</definedName>
    <definedName name="Obosn_3">[4]ЭН14_БНС!#REF!</definedName>
    <definedName name="Obosn_4" localSheetId="0">'[4]1-1-4'!#REF!</definedName>
    <definedName name="Obosn_4">'[4]1-1-4'!#REF!</definedName>
    <definedName name="Obosn_5" localSheetId="0">'[4]8-4_времен.дорога А-В'!#REF!</definedName>
    <definedName name="Obosn_5">'[4]8-4_времен.дорога А-В'!#REF!</definedName>
    <definedName name="Obosn_6" localSheetId="0">'[4]2-4-9_дорога 3'!#REF!</definedName>
    <definedName name="Obosn_6">'[4]2-4-9_дорога 3'!#REF!</definedName>
    <definedName name="Obosn_7" localSheetId="0">'[4]1-1-11_Зем.работы площадки'!#REF!</definedName>
    <definedName name="Obosn_7">'[4]1-1-11_Зем.работы площадки'!#REF!</definedName>
    <definedName name="Obosn_8" localSheetId="0">'[4]1-1-8_островки'!#REF!</definedName>
    <definedName name="Obosn_8">'[4]1-1-8_островки'!#REF!</definedName>
    <definedName name="Obosn_9" localSheetId="0">'[4]9 навМОСТОВИК'!#REF!</definedName>
    <definedName name="Obosn_9">'[4]9 навМОСТОВИК'!#REF!</definedName>
    <definedName name="OnProcMacro">"UFW_Convertion"</definedName>
    <definedName name="P_03">[6]Фм!$H$24</definedName>
    <definedName name="P_04">[6]Фм!$H$26</definedName>
    <definedName name="P_05">[6]Фм!$H$28</definedName>
    <definedName name="P_06">[6]Фм!$H$30</definedName>
    <definedName name="P_07">[6]Фм!$H$32</definedName>
    <definedName name="P_08">[6]Фм!$H$34</definedName>
    <definedName name="P_09">[6]Фм!$H$36</definedName>
    <definedName name="P_091">[6]Фм!$H$38</definedName>
    <definedName name="P_092">[6]Фм!$H$40</definedName>
    <definedName name="P_093">[6]Фм!$H$42</definedName>
    <definedName name="P_1" localSheetId="0">#REF!</definedName>
    <definedName name="P_1">#REF!</definedName>
    <definedName name="P_10" localSheetId="0">#REF!</definedName>
    <definedName name="P_10">#REF!</definedName>
    <definedName name="P_100" localSheetId="0">#REF!</definedName>
    <definedName name="P_100">#REF!</definedName>
    <definedName name="P_1000" localSheetId="0">#REF!</definedName>
    <definedName name="P_1000">#REF!</definedName>
    <definedName name="P_1001" localSheetId="0">#REF!</definedName>
    <definedName name="P_1001">#REF!</definedName>
    <definedName name="P_1002" localSheetId="0">#REF!</definedName>
    <definedName name="P_1002">#REF!</definedName>
    <definedName name="P_101" localSheetId="0">#REF!</definedName>
    <definedName name="P_101">#REF!</definedName>
    <definedName name="P_103" localSheetId="0">[23]Ф!#REF!</definedName>
    <definedName name="P_103">[23]Ф!#REF!</definedName>
    <definedName name="P_104" localSheetId="0">[23]Ф!#REF!</definedName>
    <definedName name="P_104">[23]Ф!#REF!</definedName>
    <definedName name="P_10а" localSheetId="0">#REF!</definedName>
    <definedName name="P_10а">#REF!</definedName>
    <definedName name="P_10б" localSheetId="0">#REF!</definedName>
    <definedName name="P_10б">#REF!</definedName>
    <definedName name="P_10в" localSheetId="0">#REF!</definedName>
    <definedName name="P_10в">#REF!</definedName>
    <definedName name="P_10г" localSheetId="0">#REF!</definedName>
    <definedName name="P_10г">#REF!</definedName>
    <definedName name="P_11" localSheetId="0">#REF!</definedName>
    <definedName name="P_11">#REF!</definedName>
    <definedName name="P_111" localSheetId="0">#REF!</definedName>
    <definedName name="P_111">#REF!</definedName>
    <definedName name="P_112" localSheetId="0">#REF!</definedName>
    <definedName name="P_112">#REF!</definedName>
    <definedName name="P_113" localSheetId="0">#REF!</definedName>
    <definedName name="P_113">#REF!</definedName>
    <definedName name="P_113а" localSheetId="0">#REF!</definedName>
    <definedName name="P_113а">#REF!</definedName>
    <definedName name="P_114" localSheetId="0">#REF!</definedName>
    <definedName name="P_114">#REF!</definedName>
    <definedName name="P_11а" localSheetId="0">#REF!</definedName>
    <definedName name="P_11а">#REF!</definedName>
    <definedName name="P_12" localSheetId="0">#REF!</definedName>
    <definedName name="P_12">#REF!</definedName>
    <definedName name="P_122" localSheetId="0">[25]Ф!#REF!</definedName>
    <definedName name="P_122">[25]Ф!#REF!</definedName>
    <definedName name="P_129" localSheetId="0">#REF!</definedName>
    <definedName name="P_129">#REF!</definedName>
    <definedName name="P_129а" localSheetId="0">#REF!</definedName>
    <definedName name="P_129а">#REF!</definedName>
    <definedName name="P_129б" localSheetId="0">#REF!</definedName>
    <definedName name="P_129б">#REF!</definedName>
    <definedName name="P_129в" localSheetId="0">#REF!</definedName>
    <definedName name="P_129в">#REF!</definedName>
    <definedName name="P_12а" localSheetId="0">#REF!</definedName>
    <definedName name="P_12а">#REF!</definedName>
    <definedName name="P_13" localSheetId="0">#REF!</definedName>
    <definedName name="P_13">#REF!</definedName>
    <definedName name="P_133" localSheetId="0">#REF!</definedName>
    <definedName name="P_133">#REF!</definedName>
    <definedName name="P_133а" localSheetId="0">#REF!</definedName>
    <definedName name="P_133а">#REF!</definedName>
    <definedName name="P_137" localSheetId="0">[13]Ф!#REF!</definedName>
    <definedName name="P_137">[13]Ф!#REF!</definedName>
    <definedName name="P_13a" localSheetId="0">#REF!</definedName>
    <definedName name="P_13a">#REF!</definedName>
    <definedName name="P_14" localSheetId="0">#REF!</definedName>
    <definedName name="P_14">#REF!</definedName>
    <definedName name="P_140" localSheetId="0">[20]Ф!#REF!</definedName>
    <definedName name="P_140">[20]Ф!#REF!</definedName>
    <definedName name="P_141" localSheetId="0">#REF!</definedName>
    <definedName name="P_141">#REF!</definedName>
    <definedName name="P_144" localSheetId="0">#REF!</definedName>
    <definedName name="P_144">#REF!</definedName>
    <definedName name="P_14а" localSheetId="0">#REF!</definedName>
    <definedName name="P_14а">#REF!</definedName>
    <definedName name="P_14б" localSheetId="0">#REF!</definedName>
    <definedName name="P_14б">#REF!</definedName>
    <definedName name="P_15" localSheetId="0">#REF!</definedName>
    <definedName name="P_15">#REF!</definedName>
    <definedName name="P_150" localSheetId="0">[23]Ф!#REF!</definedName>
    <definedName name="P_150">[23]Ф!#REF!</definedName>
    <definedName name="P_155" localSheetId="0">#REF!</definedName>
    <definedName name="P_155">#REF!</definedName>
    <definedName name="P_157" localSheetId="0">[13]Ф!#REF!</definedName>
    <definedName name="P_157">[13]Ф!#REF!</definedName>
    <definedName name="P_159" localSheetId="0">#REF!</definedName>
    <definedName name="P_159">#REF!</definedName>
    <definedName name="P_16" localSheetId="0">#REF!</definedName>
    <definedName name="P_16">#REF!</definedName>
    <definedName name="P_17" localSheetId="0">#REF!</definedName>
    <definedName name="P_17">#REF!</definedName>
    <definedName name="P_18" localSheetId="0">#REF!</definedName>
    <definedName name="P_18">#REF!</definedName>
    <definedName name="P_19" localSheetId="0">#REF!</definedName>
    <definedName name="P_19">#REF!</definedName>
    <definedName name="P_190" localSheetId="0">#REF!</definedName>
    <definedName name="P_190">#REF!</definedName>
    <definedName name="P_1а" localSheetId="0">#REF!</definedName>
    <definedName name="P_1а">#REF!</definedName>
    <definedName name="P_2" localSheetId="0">#REF!</definedName>
    <definedName name="P_2">#REF!</definedName>
    <definedName name="P_20" localSheetId="0">#REF!</definedName>
    <definedName name="P_20">#REF!</definedName>
    <definedName name="P_21" localSheetId="0">#REF!</definedName>
    <definedName name="P_21">#REF!</definedName>
    <definedName name="P_22" localSheetId="0">#REF!</definedName>
    <definedName name="P_22">#REF!</definedName>
    <definedName name="P_22а" localSheetId="0">[8]Ф!#REF!</definedName>
    <definedName name="P_22а">[8]Ф!#REF!</definedName>
    <definedName name="P_23" localSheetId="0">#REF!</definedName>
    <definedName name="P_23">#REF!</definedName>
    <definedName name="P_23а" localSheetId="0">[8]Ф!#REF!</definedName>
    <definedName name="P_23а">[8]Ф!#REF!</definedName>
    <definedName name="P_24" localSheetId="0">#REF!</definedName>
    <definedName name="P_24">#REF!</definedName>
    <definedName name="P_24а" localSheetId="0">#REF!</definedName>
    <definedName name="P_24а">#REF!</definedName>
    <definedName name="P_25" localSheetId="0">[23]Ф!#REF!</definedName>
    <definedName name="P_25">[23]Ф!#REF!</definedName>
    <definedName name="P_26" localSheetId="0">#REF!</definedName>
    <definedName name="P_26">#REF!</definedName>
    <definedName name="P_27" localSheetId="0">#REF!</definedName>
    <definedName name="P_27">#REF!</definedName>
    <definedName name="P_28" localSheetId="0">#REF!</definedName>
    <definedName name="P_28">#REF!</definedName>
    <definedName name="P_289" localSheetId="0">#REF!</definedName>
    <definedName name="P_289">#REF!</definedName>
    <definedName name="P_28а" localSheetId="0">#REF!</definedName>
    <definedName name="P_28а">#REF!</definedName>
    <definedName name="P_29" localSheetId="0">#REF!</definedName>
    <definedName name="P_29">#REF!</definedName>
    <definedName name="P_2a" localSheetId="0">#REF!</definedName>
    <definedName name="P_2a">#REF!</definedName>
    <definedName name="P_2ab">[26]Ф!$H$48</definedName>
    <definedName name="P_2aб" localSheetId="0">#REF!</definedName>
    <definedName name="P_2aб">#REF!</definedName>
    <definedName name="P_2б" localSheetId="0">#REF!</definedName>
    <definedName name="P_2б">#REF!</definedName>
    <definedName name="P_3" localSheetId="0">#REF!</definedName>
    <definedName name="P_3">#REF!</definedName>
    <definedName name="P_30" localSheetId="0">#REF!</definedName>
    <definedName name="P_30">#REF!</definedName>
    <definedName name="P_302" localSheetId="0">#REF!</definedName>
    <definedName name="P_302">#REF!</definedName>
    <definedName name="P_303" localSheetId="0">#REF!</definedName>
    <definedName name="P_303">#REF!</definedName>
    <definedName name="P_304" localSheetId="0">#REF!</definedName>
    <definedName name="P_304">#REF!</definedName>
    <definedName name="P_305" localSheetId="0">#REF!</definedName>
    <definedName name="P_305">#REF!</definedName>
    <definedName name="P_306" localSheetId="0">#REF!</definedName>
    <definedName name="P_306">#REF!</definedName>
    <definedName name="P_307" localSheetId="0">#REF!</definedName>
    <definedName name="P_307">#REF!</definedName>
    <definedName name="P_308" localSheetId="0">#REF!</definedName>
    <definedName name="P_308">#REF!</definedName>
    <definedName name="P_31" localSheetId="0">#REF!</definedName>
    <definedName name="P_31">#REF!</definedName>
    <definedName name="P_310" localSheetId="0">#REF!</definedName>
    <definedName name="P_310">#REF!</definedName>
    <definedName name="P_311" localSheetId="0">#REF!</definedName>
    <definedName name="P_311">#REF!</definedName>
    <definedName name="P_313" localSheetId="0">#REF!</definedName>
    <definedName name="P_313">#REF!</definedName>
    <definedName name="P_318" localSheetId="0">#REF!</definedName>
    <definedName name="P_318">#REF!</definedName>
    <definedName name="P_32" localSheetId="0">#REF!</definedName>
    <definedName name="P_32">#REF!</definedName>
    <definedName name="P_33" localSheetId="0">#REF!</definedName>
    <definedName name="P_33">#REF!</definedName>
    <definedName name="P_330" localSheetId="0">[27]Ф!#REF!</definedName>
    <definedName name="P_330">[27]Ф!#REF!</definedName>
    <definedName name="P_334" localSheetId="0">[28]Ф!#REF!</definedName>
    <definedName name="P_334">[28]Ф!#REF!</definedName>
    <definedName name="P_337" localSheetId="0">[29]Ф!#REF!</definedName>
    <definedName name="P_337">[29]Ф!#REF!</definedName>
    <definedName name="P_339" localSheetId="0">[29]Ф!#REF!</definedName>
    <definedName name="P_339">[29]Ф!#REF!</definedName>
    <definedName name="P_34" localSheetId="0">#REF!</definedName>
    <definedName name="P_34">#REF!</definedName>
    <definedName name="P_342" localSheetId="0">[29]Ф!#REF!</definedName>
    <definedName name="P_342">[29]Ф!#REF!</definedName>
    <definedName name="P_344" localSheetId="0">[28]Ф!#REF!</definedName>
    <definedName name="P_344">[28]Ф!#REF!</definedName>
    <definedName name="P_346">[30]Ф!$H$97</definedName>
    <definedName name="P_347" localSheetId="0">[29]Ф!#REF!</definedName>
    <definedName name="P_347">[29]Ф!#REF!</definedName>
    <definedName name="P_35" localSheetId="0">#REF!</definedName>
    <definedName name="P_35">#REF!</definedName>
    <definedName name="P_36" localSheetId="0">#REF!</definedName>
    <definedName name="P_36">#REF!</definedName>
    <definedName name="P_366" localSheetId="0">[13]Ф!#REF!</definedName>
    <definedName name="P_366">[13]Ф!#REF!</definedName>
    <definedName name="P_3666" localSheetId="0">[20]Ф!#REF!</definedName>
    <definedName name="P_3666">[20]Ф!#REF!</definedName>
    <definedName name="P_36а" localSheetId="0">#REF!</definedName>
    <definedName name="P_36а">#REF!</definedName>
    <definedName name="P_37" localSheetId="0">#REF!</definedName>
    <definedName name="P_37">#REF!</definedName>
    <definedName name="P_37а" localSheetId="0">#REF!</definedName>
    <definedName name="P_37а">#REF!</definedName>
    <definedName name="P_37б" localSheetId="0">#REF!</definedName>
    <definedName name="P_37б">#REF!</definedName>
    <definedName name="P_38" localSheetId="0">#REF!</definedName>
    <definedName name="P_38">#REF!</definedName>
    <definedName name="P_39" localSheetId="0">#REF!</definedName>
    <definedName name="P_39">#REF!</definedName>
    <definedName name="P_4" localSheetId="0">#REF!</definedName>
    <definedName name="P_4">#REF!</definedName>
    <definedName name="P_40" localSheetId="0">#REF!</definedName>
    <definedName name="P_40">#REF!</definedName>
    <definedName name="P_40а" localSheetId="0">#REF!</definedName>
    <definedName name="P_40а">#REF!</definedName>
    <definedName name="P_41" localSheetId="0">#REF!</definedName>
    <definedName name="P_41">#REF!</definedName>
    <definedName name="P_418" localSheetId="0">[13]Ф!#REF!</definedName>
    <definedName name="P_418">[13]Ф!#REF!</definedName>
    <definedName name="P_419" localSheetId="0">[13]Ф!#REF!</definedName>
    <definedName name="P_419">[13]Ф!#REF!</definedName>
    <definedName name="P_42" localSheetId="0">#REF!</definedName>
    <definedName name="P_42">#REF!</definedName>
    <definedName name="P_44" localSheetId="0">[23]Ф!#REF!</definedName>
    <definedName name="P_44">[23]Ф!#REF!</definedName>
    <definedName name="P_44а" localSheetId="0">[8]Ф!#REF!</definedName>
    <definedName name="P_44а">[8]Ф!#REF!</definedName>
    <definedName name="P_46" localSheetId="0">#REF!</definedName>
    <definedName name="P_46">#REF!</definedName>
    <definedName name="P_460" localSheetId="0">[20]Ф!#REF!</definedName>
    <definedName name="P_460">[20]Ф!#REF!</definedName>
    <definedName name="P_461" localSheetId="0">[20]Ф!#REF!</definedName>
    <definedName name="P_461">[20]Ф!#REF!</definedName>
    <definedName name="P_462" localSheetId="0">[20]Ф!#REF!</definedName>
    <definedName name="P_462">[20]Ф!#REF!</definedName>
    <definedName name="P_463" localSheetId="0">[20]Ф!#REF!</definedName>
    <definedName name="P_463">[20]Ф!#REF!</definedName>
    <definedName name="P_466" localSheetId="0">#REF!</definedName>
    <definedName name="P_466">#REF!</definedName>
    <definedName name="P_467" localSheetId="0">[20]Ф!#REF!</definedName>
    <definedName name="P_467">[20]Ф!#REF!</definedName>
    <definedName name="P_468" localSheetId="0">[20]Ф!#REF!</definedName>
    <definedName name="P_468">[20]Ф!#REF!</definedName>
    <definedName name="P_469" localSheetId="0">[13]Ф!#REF!</definedName>
    <definedName name="P_469">[13]Ф!#REF!</definedName>
    <definedName name="P_49" localSheetId="0">[13]Ф!#REF!</definedName>
    <definedName name="P_49">[13]Ф!#REF!</definedName>
    <definedName name="P_4a" localSheetId="0">#REF!</definedName>
    <definedName name="P_4a">#REF!</definedName>
    <definedName name="P_4b" localSheetId="0">#REF!</definedName>
    <definedName name="P_4b">#REF!</definedName>
    <definedName name="P_4а">[31]Ф!$H$28</definedName>
    <definedName name="P_4б" localSheetId="0">[8]Ф!#REF!</definedName>
    <definedName name="P_4б">[8]Ф!#REF!</definedName>
    <definedName name="P_4к" localSheetId="0">[13]Ф!#REF!</definedName>
    <definedName name="P_4к">[13]Ф!#REF!</definedName>
    <definedName name="P_5" localSheetId="0">#REF!</definedName>
    <definedName name="P_5">#REF!</definedName>
    <definedName name="P_50" localSheetId="0">[13]Ф!#REF!</definedName>
    <definedName name="P_50">[13]Ф!#REF!</definedName>
    <definedName name="P_51" localSheetId="0">#REF!</definedName>
    <definedName name="P_51">#REF!</definedName>
    <definedName name="P_533" localSheetId="0">[16]Ф!#REF!</definedName>
    <definedName name="P_533">[16]Ф!#REF!</definedName>
    <definedName name="P_55" localSheetId="0">[23]Ф!#REF!</definedName>
    <definedName name="P_55">[23]Ф!#REF!</definedName>
    <definedName name="P_55a" localSheetId="0">[13]Ф!#REF!</definedName>
    <definedName name="P_55a">[13]Ф!#REF!</definedName>
    <definedName name="P_55а" localSheetId="0">[13]Ф!#REF!</definedName>
    <definedName name="P_55а">[13]Ф!#REF!</definedName>
    <definedName name="P_56" localSheetId="0">[13]Ф!#REF!</definedName>
    <definedName name="P_56">[13]Ф!#REF!</definedName>
    <definedName name="P_569" localSheetId="0">[13]Ф!#REF!</definedName>
    <definedName name="P_569">[13]Ф!#REF!</definedName>
    <definedName name="P_57" localSheetId="0">[13]Ф!#REF!</definedName>
    <definedName name="P_57">[13]Ф!#REF!</definedName>
    <definedName name="P_57а" localSheetId="0">#REF!</definedName>
    <definedName name="P_57а">#REF!</definedName>
    <definedName name="P_5а" localSheetId="0">#REF!</definedName>
    <definedName name="P_5а">#REF!</definedName>
    <definedName name="P_6" localSheetId="0">#REF!</definedName>
    <definedName name="P_6">#REF!</definedName>
    <definedName name="P_600" localSheetId="0">#REF!</definedName>
    <definedName name="P_600">#REF!</definedName>
    <definedName name="P_62" localSheetId="0">[13]Ф!#REF!</definedName>
    <definedName name="P_62">[13]Ф!#REF!</definedName>
    <definedName name="P_63" localSheetId="0">[13]Ф!#REF!</definedName>
    <definedName name="P_63">[13]Ф!#REF!</definedName>
    <definedName name="P_66" localSheetId="0">#REF!</definedName>
    <definedName name="P_66">#REF!</definedName>
    <definedName name="P_6а" localSheetId="0">#REF!</definedName>
    <definedName name="P_6а">#REF!</definedName>
    <definedName name="P_7" localSheetId="0">#REF!</definedName>
    <definedName name="P_7">#REF!</definedName>
    <definedName name="P_71" localSheetId="0">[13]Ф!#REF!</definedName>
    <definedName name="P_71">[13]Ф!#REF!</definedName>
    <definedName name="P_72" localSheetId="0">[14]Ф!#REF!</definedName>
    <definedName name="P_72">[14]Ф!#REF!</definedName>
    <definedName name="P_73" localSheetId="0">[14]Ф!#REF!</definedName>
    <definedName name="P_73">[14]Ф!#REF!</definedName>
    <definedName name="P_73а" localSheetId="0">[14]Ф!#REF!</definedName>
    <definedName name="P_73а">[14]Ф!#REF!</definedName>
    <definedName name="P_74" localSheetId="0">[16]Ф!#REF!</definedName>
    <definedName name="P_74">[16]Ф!#REF!</definedName>
    <definedName name="P_76" localSheetId="0">#REF!</definedName>
    <definedName name="P_76">#REF!</definedName>
    <definedName name="P_78" localSheetId="0">#REF!</definedName>
    <definedName name="P_78">#REF!</definedName>
    <definedName name="P_8" localSheetId="0">#REF!</definedName>
    <definedName name="P_8">#REF!</definedName>
    <definedName name="P_82" localSheetId="0">#REF!</definedName>
    <definedName name="P_82">#REF!</definedName>
    <definedName name="P_88" localSheetId="0">#REF!</definedName>
    <definedName name="P_88">#REF!</definedName>
    <definedName name="P_9" localSheetId="0">#REF!</definedName>
    <definedName name="P_9">#REF!</definedName>
    <definedName name="P_91" localSheetId="0">[13]Ф!#REF!</definedName>
    <definedName name="P_91">[13]Ф!#REF!</definedName>
    <definedName name="P_910" localSheetId="0">[13]Ф!#REF!</definedName>
    <definedName name="P_910">[13]Ф!#REF!</definedName>
    <definedName name="P_911" localSheetId="0">#REF!</definedName>
    <definedName name="P_911">#REF!</definedName>
    <definedName name="P_91а" localSheetId="0">[12]Ф!#REF!</definedName>
    <definedName name="P_91а">[12]Ф!#REF!</definedName>
    <definedName name="P_92" localSheetId="0">[13]Ф!#REF!</definedName>
    <definedName name="P_92">[13]Ф!#REF!</definedName>
    <definedName name="P_93">[32]Ф!$H$77</definedName>
    <definedName name="P_98" localSheetId="0">#REF!</definedName>
    <definedName name="P_98">#REF!</definedName>
    <definedName name="P_98а" localSheetId="0">#REF!</definedName>
    <definedName name="P_98а">#REF!</definedName>
    <definedName name="P_9a" localSheetId="0">#REF!</definedName>
    <definedName name="P_9a">#REF!</definedName>
    <definedName name="Pasp" hidden="1">{#N/A,#N/A,TRUE,"Сводка балансов"}</definedName>
    <definedName name="qwert" hidden="1">{#N/A,#N/A,TRUE,"Сводка балансов"}</definedName>
    <definedName name="R_1" localSheetId="0">#REF!</definedName>
    <definedName name="R_1">#REF!</definedName>
    <definedName name="R_1a" localSheetId="0">#REF!</definedName>
    <definedName name="R_1a">#REF!</definedName>
    <definedName name="R_1b" localSheetId="0">#REF!</definedName>
    <definedName name="R_1b">#REF!</definedName>
    <definedName name="R_2" localSheetId="0">#REF!</definedName>
    <definedName name="R_2">#REF!</definedName>
    <definedName name="S_0" localSheetId="0">#REF!</definedName>
    <definedName name="S_0">#REF!</definedName>
    <definedName name="S_01" localSheetId="0">#REF!</definedName>
    <definedName name="S_01">#REF!</definedName>
    <definedName name="S_02" localSheetId="0">#REF!</definedName>
    <definedName name="S_02">#REF!</definedName>
    <definedName name="SDFGHJJ" localSheetId="0">#REF!</definedName>
    <definedName name="SDFGHJJ">#REF!</definedName>
    <definedName name="SmPr_1" localSheetId="0">[4]ЭН1_БНС!#REF!</definedName>
    <definedName name="SmPr_1">[4]ЭН1_БНС!#REF!</definedName>
    <definedName name="SmPr_1_1" localSheetId="0">[2]Эл.энергия!#REF!</definedName>
    <definedName name="SmPr_1_1">[2]Эл.энергия!#REF!</definedName>
    <definedName name="SmPr_1_25" localSheetId="0">[2]Эл.энергия!#REF!</definedName>
    <definedName name="SmPr_1_25">[2]Эл.энергия!#REF!</definedName>
    <definedName name="SmPr_11" localSheetId="0">[4]М2_БНС!#REF!</definedName>
    <definedName name="SmPr_11">[4]М2_БНС!#REF!</definedName>
    <definedName name="SmPr_12" localSheetId="0">[4]ЭН14_Ростверк!#REF!</definedName>
    <definedName name="SmPr_12">[4]ЭН14_Ростверк!#REF!</definedName>
    <definedName name="SmPr_13" localSheetId="0">[4]ЭН14_СВСиУ!#REF!</definedName>
    <definedName name="SmPr_13">[4]ЭН14_СВСиУ!#REF!</definedName>
    <definedName name="SmPr_14" localSheetId="0">[4]ЭН15_БНС!#REF!</definedName>
    <definedName name="SmPr_14">[4]ЭН15_БНС!#REF!</definedName>
    <definedName name="SmPr_15" localSheetId="0">[4]ЭН13_БНС!#REF!</definedName>
    <definedName name="SmPr_15">[4]ЭН13_БНС!#REF!</definedName>
    <definedName name="SmPr_16" localSheetId="0">[4]ЭН13_СВСиУ!#REF!</definedName>
    <definedName name="SmPr_16">[4]ЭН13_СВСиУ!#REF!</definedName>
    <definedName name="SmPr_17" localSheetId="0">[4]ЭН3_БНС!#REF!</definedName>
    <definedName name="SmPr_17">[4]ЭН3_БНС!#REF!</definedName>
    <definedName name="SmPr_18" localSheetId="0">[4]ЭН16_БНС!#REF!</definedName>
    <definedName name="SmPr_18">[4]ЭН16_БНС!#REF!</definedName>
    <definedName name="SmPr_2" localSheetId="0">[4]ЭН2_БНС!#REF!</definedName>
    <definedName name="SmPr_2">[4]ЭН2_БНС!#REF!</definedName>
    <definedName name="SmPr_2_1" localSheetId="0">'[2]аренда флота'!#REF!</definedName>
    <definedName name="SmPr_2_1">'[2]аренда флота'!#REF!</definedName>
    <definedName name="SmPr_2_25" localSheetId="0">'[2]аренда флота'!#REF!</definedName>
    <definedName name="SmPr_2_25">'[2]аренда флота'!#REF!</definedName>
    <definedName name="SmPr_22" localSheetId="0">'[4]Аренда флота'!#REF!</definedName>
    <definedName name="SmPr_22">'[4]Аренда флота'!#REF!</definedName>
    <definedName name="SmPr_3" localSheetId="0">[4]ЭН14_БНС!#REF!</definedName>
    <definedName name="SmPr_3">[4]ЭН14_БНС!#REF!</definedName>
    <definedName name="SmPr_4" localSheetId="0">'[4]1-1-4'!#REF!</definedName>
    <definedName name="SmPr_4">'[4]1-1-4'!#REF!</definedName>
    <definedName name="SmPr_5" localSheetId="0">'[4]8-4_времен.дорога А-В'!#REF!</definedName>
    <definedName name="SmPr_5">'[4]8-4_времен.дорога А-В'!#REF!</definedName>
    <definedName name="SmPr_6" localSheetId="0">'[4]2-4-9_дорога 3'!#REF!</definedName>
    <definedName name="SmPr_6">'[4]2-4-9_дорога 3'!#REF!</definedName>
    <definedName name="SmPr_7" localSheetId="0">'[4]1-1-11_Зем.работы площадки'!#REF!</definedName>
    <definedName name="SmPr_7">'[4]1-1-11_Зем.работы площадки'!#REF!</definedName>
    <definedName name="SmPr_8" localSheetId="0">'[4]1-1-8_островки'!#REF!</definedName>
    <definedName name="SmPr_8">'[4]1-1-8_островки'!#REF!</definedName>
    <definedName name="SmPr_9" localSheetId="0">'[4]9 навМОСТОВИК'!#REF!</definedName>
    <definedName name="SmPr_9">'[4]9 навМОСТОВИК'!#REF!</definedName>
    <definedName name="Sp_0" localSheetId="0">#REF!</definedName>
    <definedName name="Sp_0">#REF!</definedName>
    <definedName name="Sp_01" localSheetId="0">#REF!</definedName>
    <definedName name="Sp_01">#REF!</definedName>
    <definedName name="Sp_1" localSheetId="0">#REF!</definedName>
    <definedName name="Sp_1">#REF!</definedName>
    <definedName name="Ss_0" localSheetId="0">#REF!</definedName>
    <definedName name="Ss_0">#REF!</definedName>
    <definedName name="st_0" localSheetId="0">#REF!</definedName>
    <definedName name="st_0">#REF!</definedName>
    <definedName name="st_01" localSheetId="0">#REF!</definedName>
    <definedName name="st_01">#REF!</definedName>
    <definedName name="st_02" localSheetId="0">#REF!</definedName>
    <definedName name="st_02">#REF!</definedName>
    <definedName name="t_0" localSheetId="0">#REF!</definedName>
    <definedName name="t_0">#REF!</definedName>
    <definedName name="T17_1" localSheetId="0">#REF!</definedName>
    <definedName name="T17_1">#REF!</definedName>
    <definedName name="Tel" localSheetId="0">#REF!</definedName>
    <definedName name="Tel">#REF!</definedName>
    <definedName name="Tel_affaire" localSheetId="0">#REF!</definedName>
    <definedName name="Tel_affaire">#REF!</definedName>
    <definedName name="Tel_Dossier" localSheetId="0">#REF!</definedName>
    <definedName name="Tel_Dossier">#REF!</definedName>
    <definedName name="Titre" localSheetId="0">#REF!</definedName>
    <definedName name="Titre">#REF!</definedName>
    <definedName name="TVA" localSheetId="0">#REF!</definedName>
    <definedName name="TVA">#REF!</definedName>
    <definedName name="v" localSheetId="0">#REF!</definedName>
    <definedName name="v">#REF!</definedName>
    <definedName name="v_0" localSheetId="0">#REF!</definedName>
    <definedName name="v_0">#REF!</definedName>
    <definedName name="Vers" localSheetId="0">#REF!</definedName>
    <definedName name="Vers">#REF!</definedName>
    <definedName name="Ville_d_envoi" localSheetId="0">#REF!</definedName>
    <definedName name="Ville_d_envoi">#REF!</definedName>
    <definedName name="Volgina" hidden="1">{#N/A,#N/A,TRUE,"Сводка балансов"}</definedName>
    <definedName name="VR_0" localSheetId="0">'[33]зим '!#REF!</definedName>
    <definedName name="VR_0">'[33]зим '!#REF!</definedName>
    <definedName name="Vr_1" localSheetId="0">#REF!</definedName>
    <definedName name="Vr_1">#REF!</definedName>
    <definedName name="Vrt_1" localSheetId="0">#REF!</definedName>
    <definedName name="Vrt_1">#REF!</definedName>
    <definedName name="w_0" localSheetId="0">#REF!</definedName>
    <definedName name="w_0">#REF!</definedName>
    <definedName name="wrn.Сводка." hidden="1">{#N/A,#N/A,TRUE,"Сводка балансов"}</definedName>
    <definedName name="www" localSheetId="0">#REF!</definedName>
    <definedName name="www">#REF!</definedName>
    <definedName name="x" localSheetId="0">#REF!</definedName>
    <definedName name="x">#REF!</definedName>
    <definedName name="Xcgg" localSheetId="0">#REF!</definedName>
    <definedName name="Xcgg">#REF!</definedName>
    <definedName name="xx" localSheetId="0">#REF!</definedName>
    <definedName name="xx">#REF!</definedName>
    <definedName name="yty" hidden="1">{#N/A,#N/A,TRUE,"Сводка балансов"}</definedName>
    <definedName name="z_0" localSheetId="0">#REF!</definedName>
    <definedName name="z_0">#REF!</definedName>
    <definedName name="z_01" localSheetId="0">#REF!</definedName>
    <definedName name="z_01">#REF!</definedName>
    <definedName name="Z_1" localSheetId="0">#REF!</definedName>
    <definedName name="Z_1">#REF!</definedName>
    <definedName name="Z_3" localSheetId="0">#REF!</definedName>
    <definedName name="Z_3">#REF!</definedName>
    <definedName name="Z_4" localSheetId="0">#REF!</definedName>
    <definedName name="Z_4">#REF!</definedName>
    <definedName name="ZIM_0">'[34]зим '!$F$31</definedName>
    <definedName name="ZIM_03">'[34]зим '!$F$31</definedName>
    <definedName name="ZIM_1" localSheetId="0">#REF!</definedName>
    <definedName name="ZIM_1">#REF!</definedName>
    <definedName name="Zm_1" localSheetId="0">[35]Зима!#REF!</definedName>
    <definedName name="Zm_1">[35]Зима!#REF!</definedName>
    <definedName name="Zmt_1" localSheetId="0">#REF!</definedName>
    <definedName name="Zmt_1">#REF!</definedName>
    <definedName name="А" localSheetId="0">#REF!</definedName>
    <definedName name="А">#REF!</definedName>
    <definedName name="А_1" localSheetId="0">#REF!</definedName>
    <definedName name="А_1">#REF!</definedName>
    <definedName name="а1" localSheetId="0">#REF!</definedName>
    <definedName name="а1">#REF!</definedName>
    <definedName name="а111" localSheetId="0">#REF!</definedName>
    <definedName name="а111">#REF!</definedName>
    <definedName name="а123" localSheetId="0">#REF!</definedName>
    <definedName name="а123">#REF!</definedName>
    <definedName name="а24_С_Заголовок_pre_rep" localSheetId="0">[36]Лист1!#REF!</definedName>
    <definedName name="а24_С_Заголовок_pre_rep">[36]Лист1!#REF!</definedName>
    <definedName name="а45" localSheetId="0">[37]Лист1!#REF!</definedName>
    <definedName name="а45">[37]Лист1!#REF!</definedName>
    <definedName name="а54_и" localSheetId="0">#REF!</definedName>
    <definedName name="а54_и">#REF!</definedName>
    <definedName name="аа" localSheetId="0">#REF!</definedName>
    <definedName name="аа">#REF!</definedName>
    <definedName name="ааа" localSheetId="0">#REF!</definedName>
    <definedName name="ааа">#REF!</definedName>
    <definedName name="аааа" localSheetId="0">#REF!</definedName>
    <definedName name="аааа">#REF!</definedName>
    <definedName name="аааааа" localSheetId="0">#REF!</definedName>
    <definedName name="аааааа">#REF!</definedName>
    <definedName name="ааааааа" localSheetId="0">#REF!</definedName>
    <definedName name="ааааааа">#REF!</definedName>
    <definedName name="ааааааааааа" localSheetId="0">#REF!</definedName>
    <definedName name="ааааааааааа">#REF!</definedName>
    <definedName name="ааааааааааааа" localSheetId="0">#REF!</definedName>
    <definedName name="ааааааааааааа">#REF!</definedName>
    <definedName name="аааааааааааааааа" localSheetId="0">#REF!</definedName>
    <definedName name="аааааааааааааааа">#REF!</definedName>
    <definedName name="аб">'[38]C.с '!$D$52</definedName>
    <definedName name="абв" localSheetId="0">#REF!</definedName>
    <definedName name="абв">#REF!</definedName>
    <definedName name="абс">'[39]C.с  (2)'!$H$44</definedName>
    <definedName name="ав" localSheetId="0">#REF!</definedName>
    <definedName name="ав">#REF!</definedName>
    <definedName name="Автоб.ост.">'[40]Обстановка дороги'!$AJ$103</definedName>
    <definedName name="Автопав.">[40]Автопавильон!$AJ$133</definedName>
    <definedName name="авторск" localSheetId="0">#REF!</definedName>
    <definedName name="авторск">#REF!</definedName>
    <definedName name="аепапапа" localSheetId="0">#REF!</definedName>
    <definedName name="аепапапа">#REF!</definedName>
    <definedName name="аммммммммммм" localSheetId="0">#REF!</definedName>
    <definedName name="аммммммммммм">#REF!</definedName>
    <definedName name="анна_крА" localSheetId="0">#REF!</definedName>
    <definedName name="анна_крА">#REF!</definedName>
    <definedName name="анна_крБ" localSheetId="0">#REF!</definedName>
    <definedName name="анна_крБ">#REF!</definedName>
    <definedName name="анна_крВ" localSheetId="0">#REF!</definedName>
    <definedName name="анна_крВ">#REF!</definedName>
    <definedName name="анна_крГ" localSheetId="0">#REF!</definedName>
    <definedName name="анна_крГ">#REF!</definedName>
    <definedName name="анна_крД" localSheetId="0">#REF!</definedName>
    <definedName name="анна_крД">#REF!</definedName>
    <definedName name="анна_крЕ" localSheetId="0">#REF!</definedName>
    <definedName name="анна_крЕ">#REF!</definedName>
    <definedName name="анна_крЖ" localSheetId="0">#REF!</definedName>
    <definedName name="анна_крЖ">#REF!</definedName>
    <definedName name="ап" localSheetId="0">#REF!</definedName>
    <definedName name="ап">#REF!</definedName>
    <definedName name="апапаап" localSheetId="0">#REF!</definedName>
    <definedName name="апапаап">#REF!</definedName>
    <definedName name="АПАПАПА" localSheetId="0">#REF!</definedName>
    <definedName name="АПАПАПА">#REF!</definedName>
    <definedName name="апапапп" localSheetId="0">'[8]К.С.М. м'!#REF!</definedName>
    <definedName name="апапапп">'[8]К.С.М. м'!#REF!</definedName>
    <definedName name="АПАПВАПАПВ" localSheetId="0">#REF!</definedName>
    <definedName name="АПАПВАПАПВ">#REF!</definedName>
    <definedName name="апапп" localSheetId="0">#REF!</definedName>
    <definedName name="апапп">#REF!</definedName>
    <definedName name="апаппрп" localSheetId="0">#REF!</definedName>
    <definedName name="апаппрп">#REF!</definedName>
    <definedName name="апекеаорпр" localSheetId="0">#REF!</definedName>
    <definedName name="апекеаорпр">#REF!</definedName>
    <definedName name="апоапоапдол" localSheetId="0">#REF!</definedName>
    <definedName name="апоапоапдол">#REF!</definedName>
    <definedName name="апорп" localSheetId="0">#REF!</definedName>
    <definedName name="апорп">#REF!</definedName>
    <definedName name="АПППППППППППП" localSheetId="0">#REF!</definedName>
    <definedName name="АПППППППППППП">#REF!</definedName>
    <definedName name="АППППППППППППППППППП" localSheetId="0">#REF!</definedName>
    <definedName name="АППППППППППППППППППП">#REF!</definedName>
    <definedName name="аппппппппппппппппппппп" localSheetId="0">#REF!</definedName>
    <definedName name="аппппппппппппппппппппп">#REF!</definedName>
    <definedName name="апр" localSheetId="0">#REF!</definedName>
    <definedName name="апр">#REF!</definedName>
    <definedName name="апрель">[41]Лист1!$C$418:$H$704</definedName>
    <definedName name="апро" localSheetId="0">#REF!</definedName>
    <definedName name="апро">#REF!</definedName>
    <definedName name="ара" localSheetId="0">#REF!</definedName>
    <definedName name="ара">#REF!</definedName>
    <definedName name="арара" localSheetId="0">#REF!</definedName>
    <definedName name="арара">#REF!</definedName>
    <definedName name="аренд" localSheetId="0">#REF!</definedName>
    <definedName name="аренд">#REF!</definedName>
    <definedName name="Асф.покр.">'[40]Дорожная одежда'!$AJ$30</definedName>
    <definedName name="б" localSheetId="0">#REF!</definedName>
    <definedName name="б">#REF!</definedName>
    <definedName name="Б_1" localSheetId="0">#REF!</definedName>
    <definedName name="Б_1">#REF!</definedName>
    <definedName name="_xlnm.Database" localSheetId="0">#REF!</definedName>
    <definedName name="_xlnm.Database">#REF!</definedName>
    <definedName name="бб" localSheetId="0">#REF!</definedName>
    <definedName name="бб">#REF!</definedName>
    <definedName name="ббб" localSheetId="0">#REF!</definedName>
    <definedName name="ббб">#REF!</definedName>
    <definedName name="Блаблабла" localSheetId="0">#REF!</definedName>
    <definedName name="Блаблабла">#REF!</definedName>
    <definedName name="бласть_печати1" localSheetId="0">#REF!</definedName>
    <definedName name="бласть_печати1">#REF!</definedName>
    <definedName name="бобров_крА" localSheetId="0">#REF!</definedName>
    <definedName name="бобров_крА">#REF!</definedName>
    <definedName name="бобров_крБ" localSheetId="0">#REF!</definedName>
    <definedName name="бобров_крБ">#REF!</definedName>
    <definedName name="бобров_крВ" localSheetId="0">#REF!</definedName>
    <definedName name="бобров_крВ">#REF!</definedName>
    <definedName name="бобров_крГ" localSheetId="0">#REF!</definedName>
    <definedName name="бобров_крГ">#REF!</definedName>
    <definedName name="бобров_крД" localSheetId="0">#REF!</definedName>
    <definedName name="бобров_крД">#REF!</definedName>
    <definedName name="бобров_крЕ" localSheetId="0">#REF!</definedName>
    <definedName name="бобров_крЕ">#REF!</definedName>
    <definedName name="бобров_крЖ" localSheetId="0">#REF!</definedName>
    <definedName name="бобров_крЖ">#REF!</definedName>
    <definedName name="богучар_крА" localSheetId="0">#REF!</definedName>
    <definedName name="богучар_крА">#REF!</definedName>
    <definedName name="богучар_крБ" localSheetId="0">#REF!</definedName>
    <definedName name="богучар_крБ">#REF!</definedName>
    <definedName name="богучар_крВ" localSheetId="0">#REF!</definedName>
    <definedName name="богучар_крВ">#REF!</definedName>
    <definedName name="богучар_крГ" localSheetId="0">#REF!</definedName>
    <definedName name="богучар_крГ">#REF!</definedName>
    <definedName name="богучар_крД" localSheetId="0">#REF!</definedName>
    <definedName name="богучар_крД">#REF!</definedName>
    <definedName name="богучар_крЕ" localSheetId="0">#REF!</definedName>
    <definedName name="богучар_крЕ">#REF!</definedName>
    <definedName name="богучар_крЖ" localSheetId="0">#REF!</definedName>
    <definedName name="богучар_крЖ">#REF!</definedName>
    <definedName name="борис_крА" localSheetId="0">#REF!</definedName>
    <definedName name="борис_крА">#REF!</definedName>
    <definedName name="борис_крБ" localSheetId="0">#REF!</definedName>
    <definedName name="борис_крБ">#REF!</definedName>
    <definedName name="борис_крВ" localSheetId="0">#REF!</definedName>
    <definedName name="борис_крВ">#REF!</definedName>
    <definedName name="борис_крГ" localSheetId="0">#REF!</definedName>
    <definedName name="борис_крГ">#REF!</definedName>
    <definedName name="борис_крД" localSheetId="0">#REF!</definedName>
    <definedName name="борис_крД">#REF!</definedName>
    <definedName name="борис_крЕ" localSheetId="0">#REF!</definedName>
    <definedName name="борис_крЕ">#REF!</definedName>
    <definedName name="борис_крЖ" localSheetId="0">#REF!</definedName>
    <definedName name="борис_крЖ">#REF!</definedName>
    <definedName name="бутур_крА" localSheetId="0">#REF!</definedName>
    <definedName name="бутур_крА">#REF!</definedName>
    <definedName name="бутур_крБ" localSheetId="0">#REF!</definedName>
    <definedName name="бутур_крБ">#REF!</definedName>
    <definedName name="бутур_крВ" localSheetId="0">#REF!</definedName>
    <definedName name="бутур_крВ">#REF!</definedName>
    <definedName name="бутур_крГ" localSheetId="0">#REF!</definedName>
    <definedName name="бутур_крГ">#REF!</definedName>
    <definedName name="бутур_крД" localSheetId="0">#REF!</definedName>
    <definedName name="бутур_крД">#REF!</definedName>
    <definedName name="бутур_крЕ" localSheetId="0">#REF!</definedName>
    <definedName name="бутур_крЕ">#REF!</definedName>
    <definedName name="бутур_крЖ" localSheetId="0">#REF!</definedName>
    <definedName name="бутур_крЖ">#REF!</definedName>
    <definedName name="в" localSheetId="0">#REF!</definedName>
    <definedName name="в">#REF!</definedName>
    <definedName name="В_1" localSheetId="0">#REF!</definedName>
    <definedName name="В_1">#REF!</definedName>
    <definedName name="ВА" localSheetId="0">#REF!</definedName>
    <definedName name="ВА">#REF!</definedName>
    <definedName name="вааааааааааа" localSheetId="0">[23]К.С.М.!#REF!</definedName>
    <definedName name="вааааааааааа">[23]К.С.М.!#REF!</definedName>
    <definedName name="ваааааааааааааа" localSheetId="0">#REF!</definedName>
    <definedName name="ваааааааааааааа">#REF!</definedName>
    <definedName name="ваапцуу" localSheetId="0">#REF!</definedName>
    <definedName name="ваапцуу">#REF!</definedName>
    <definedName name="вававава" localSheetId="0">#REF!</definedName>
    <definedName name="вававава">#REF!</definedName>
    <definedName name="вавыпаа" hidden="1">{#N/A,#N/A,TRUE,"Сводка балансов"}</definedName>
    <definedName name="ВАПАИИВ" localSheetId="0">#REF!</definedName>
    <definedName name="ВАПАИИВ">#REF!</definedName>
    <definedName name="ВАПВАП" localSheetId="0">#REF!</definedName>
    <definedName name="ВАПВАП">#REF!</definedName>
    <definedName name="ВАППППППППППППППППППППП" localSheetId="0">#REF!</definedName>
    <definedName name="ВАППППППППППППППППППППП">#REF!</definedName>
    <definedName name="ВАППППППППППППППППППППППП" localSheetId="0">#REF!</definedName>
    <definedName name="ВАППППППППППППППППППППППП">#REF!</definedName>
    <definedName name="вапр" localSheetId="0">#REF!</definedName>
    <definedName name="вапр">#REF!</definedName>
    <definedName name="вах">[16]вах!$F$17</definedName>
    <definedName name="вах.т.">'[42]вах(б)'!$E$37</definedName>
    <definedName name="вахт" localSheetId="0">#REF!</definedName>
    <definedName name="вахт">#REF!</definedName>
    <definedName name="ВАЫВАЫАФ" localSheetId="0">#REF!</definedName>
    <definedName name="ВАЫВАЫАФ">#REF!</definedName>
    <definedName name="вв\" localSheetId="0">#REF!</definedName>
    <definedName name="вв\">#REF!</definedName>
    <definedName name="ВВ_1" localSheetId="0">#REF!</definedName>
    <definedName name="ВВ_1">#REF!</definedName>
    <definedName name="вва" localSheetId="0">#REF!</definedName>
    <definedName name="вва">#REF!</definedName>
    <definedName name="ввв" localSheetId="0">#REF!</definedName>
    <definedName name="ввв">#REF!</definedName>
    <definedName name="вввв" hidden="1">{#N/A,#N/A,TRUE,"Сводка балансов"}</definedName>
    <definedName name="ввввв" localSheetId="0">#REF!</definedName>
    <definedName name="ввввв">#REF!</definedName>
    <definedName name="ВВВВВВВВВВВВВВВВВ" localSheetId="0">#REF!</definedName>
    <definedName name="ВВВВВВВВВВВВВВВВВ">#REF!</definedName>
    <definedName name="ВВВВВВВВВВВВВВВВВАААААААААААААААА" localSheetId="0">#REF!</definedName>
    <definedName name="ВВВВВВВВВВВВВВВВВАААААААААААААААА">#REF!</definedName>
    <definedName name="вввввввввввввввввввввв" localSheetId="0">#REF!</definedName>
    <definedName name="вввввввввввввввввввввв">#REF!</definedName>
    <definedName name="ввод" localSheetId="0">#REF!</definedName>
    <definedName name="ввод">#REF!</definedName>
    <definedName name="вентк111" localSheetId="0">#REF!</definedName>
    <definedName name="вентк111">#REF!</definedName>
    <definedName name="Верт.план.">[40]Вертик.планировка!$AJ$32</definedName>
    <definedName name="Вест" localSheetId="0">#REF!</definedName>
    <definedName name="Вест">#REF!</definedName>
    <definedName name="вестибюль" localSheetId="0">#REF!</definedName>
    <definedName name="вестибюль">#REF!</definedName>
    <definedName name="вид_сметы">[43]база!$G$1:$G$65536</definedName>
    <definedName name="ВКПВАПВППЫПЫ" localSheetId="0">#REF!</definedName>
    <definedName name="ВКПВАПВППЫПЫ">#REF!</definedName>
    <definedName name="вкпвв" localSheetId="0">#REF!</definedName>
    <definedName name="вкпвв">#REF!</definedName>
    <definedName name="Вмамон_крА" localSheetId="0">#REF!</definedName>
    <definedName name="Вмамон_крА">#REF!</definedName>
    <definedName name="Вмамон_крБ" localSheetId="0">#REF!</definedName>
    <definedName name="Вмамон_крБ">#REF!</definedName>
    <definedName name="Вмамон_крВ" localSheetId="0">#REF!</definedName>
    <definedName name="Вмамон_крВ">#REF!</definedName>
    <definedName name="Вмамон_крГ" localSheetId="0">#REF!</definedName>
    <definedName name="Вмамон_крГ">#REF!</definedName>
    <definedName name="Вмамон_крД" localSheetId="0">#REF!</definedName>
    <definedName name="Вмамон_крД">#REF!</definedName>
    <definedName name="Вмамон_крЕ" localSheetId="0">#REF!</definedName>
    <definedName name="Вмамон_крЕ">#REF!</definedName>
    <definedName name="Вмамон_крЖ" localSheetId="0">#REF!</definedName>
    <definedName name="Вмамон_крЖ">#REF!</definedName>
    <definedName name="во" localSheetId="0">'[44]C.с '!#REF!</definedName>
    <definedName name="во">'[44]C.с '!#REF!</definedName>
    <definedName name="Водоотвод">'[40]Дорожная одежда'!$AJ$75</definedName>
    <definedName name="Возм.убытков">'[40] Подготовительные работы'!$AJ$26</definedName>
    <definedName name="вороб_крА" localSheetId="0">#REF!</definedName>
    <definedName name="вороб_крА">#REF!</definedName>
    <definedName name="вороб_крБ" localSheetId="0">#REF!</definedName>
    <definedName name="вороб_крБ">#REF!</definedName>
    <definedName name="вороб_крВ" localSheetId="0">#REF!</definedName>
    <definedName name="вороб_крВ">#REF!</definedName>
    <definedName name="вороб_крГ" localSheetId="0">#REF!</definedName>
    <definedName name="вороб_крГ">#REF!</definedName>
    <definedName name="вороб_крД" localSheetId="0">#REF!</definedName>
    <definedName name="вороб_крД">#REF!</definedName>
    <definedName name="вороб_крЕ" localSheetId="0">#REF!</definedName>
    <definedName name="вороб_крЕ">#REF!</definedName>
    <definedName name="вороб_крЖ" localSheetId="0">#REF!</definedName>
    <definedName name="вороб_крЖ">#REF!</definedName>
    <definedName name="Восст.трассы">'[40] Подготовительные работы'!$AJ$15</definedName>
    <definedName name="ВППППППППППППППП" localSheetId="0">#REF!</definedName>
    <definedName name="ВППППППППППППППП">#REF!</definedName>
    <definedName name="впрва" localSheetId="0">'[1]КС-2'!#REF!</definedName>
    <definedName name="впрва">'[1]КС-2'!#REF!</definedName>
    <definedName name="ВПЫВП" localSheetId="0">#REF!</definedName>
    <definedName name="ВПЫВП">#REF!</definedName>
    <definedName name="вр">[45]зим!$H$48</definedName>
    <definedName name="врем" localSheetId="0">#REF!</definedName>
    <definedName name="врем">#REF!</definedName>
    <definedName name="Врем.здан.">[40]Врем.здания!$G$11</definedName>
    <definedName name="времянка2" localSheetId="0">#REF!</definedName>
    <definedName name="времянка2">#REF!</definedName>
    <definedName name="вррр" localSheetId="0">#REF!</definedName>
    <definedName name="вррр">#REF!</definedName>
    <definedName name="вс" localSheetId="0">#REF!</definedName>
    <definedName name="вс">#REF!</definedName>
    <definedName name="Вхава_крА" localSheetId="0">#REF!</definedName>
    <definedName name="Вхава_крА">#REF!</definedName>
    <definedName name="Вхава_крБ" localSheetId="0">#REF!</definedName>
    <definedName name="Вхава_крБ">#REF!</definedName>
    <definedName name="Вхава_крВ" localSheetId="0">#REF!</definedName>
    <definedName name="Вхава_крВ">#REF!</definedName>
    <definedName name="Вхава_крГ" localSheetId="0">#REF!</definedName>
    <definedName name="Вхава_крГ">#REF!</definedName>
    <definedName name="Вхава_крД" localSheetId="0">#REF!</definedName>
    <definedName name="Вхава_крД">#REF!</definedName>
    <definedName name="Вхава_крЕ" localSheetId="0">#REF!</definedName>
    <definedName name="Вхава_крЕ">#REF!</definedName>
    <definedName name="Вхава_крЖ" localSheetId="0">#REF!</definedName>
    <definedName name="Вхава_крЖ">#REF!</definedName>
    <definedName name="выдал">[43]база!$E$1:$E$65536</definedName>
    <definedName name="г" localSheetId="0">#REF!</definedName>
    <definedName name="г">#REF!</definedName>
    <definedName name="ггшгшгшшш" localSheetId="0">#REF!</definedName>
    <definedName name="ггшгшгшшш">#REF!</definedName>
    <definedName name="гнгнгкенкукцуфцуыувыв" localSheetId="0">#REF!</definedName>
    <definedName name="гнгнгкенкукцуфцуыувыв">#REF!</definedName>
    <definedName name="гриб_крА" localSheetId="0">#REF!</definedName>
    <definedName name="гриб_крА">#REF!</definedName>
    <definedName name="гриб_крБ" localSheetId="0">#REF!</definedName>
    <definedName name="гриб_крБ">#REF!</definedName>
    <definedName name="гриб_крВ" localSheetId="0">#REF!</definedName>
    <definedName name="гриб_крВ">#REF!</definedName>
    <definedName name="гриб_крГ" localSheetId="0">#REF!</definedName>
    <definedName name="гриб_крГ">#REF!</definedName>
    <definedName name="гриб_крД" localSheetId="0">#REF!</definedName>
    <definedName name="гриб_крД">#REF!</definedName>
    <definedName name="гриб_крЕ" localSheetId="0">#REF!</definedName>
    <definedName name="гриб_крЕ">#REF!</definedName>
    <definedName name="гриб_крЖ" localSheetId="0">#REF!</definedName>
    <definedName name="гриб_крЖ">#REF!</definedName>
    <definedName name="гшгшгш" localSheetId="0">#REF!</definedName>
    <definedName name="гшгшгш">#REF!</definedName>
    <definedName name="д" localSheetId="0">#REF!</definedName>
    <definedName name="д">#REF!</definedName>
    <definedName name="Д.ДЖ.ЖЭЛДЖЭ" localSheetId="0">#REF!</definedName>
    <definedName name="Д.ДЖ.ЖЭЛДЖЭ">#REF!</definedName>
    <definedName name="Д_1" localSheetId="0">#REF!</definedName>
    <definedName name="Д_1">#REF!</definedName>
    <definedName name="даша" hidden="1">{#N/A,#N/A,TRUE,"Сводка балансов"}</definedName>
    <definedName name="дд" localSheetId="0">#REF!</definedName>
    <definedName name="дд">#REF!</definedName>
    <definedName name="дддд" localSheetId="0">#REF!</definedName>
    <definedName name="дддд">#REF!</definedName>
    <definedName name="ддддд" localSheetId="0">#REF!</definedName>
    <definedName name="ддддд">#REF!</definedName>
    <definedName name="ддддддддддддддддд" localSheetId="0">#REF!</definedName>
    <definedName name="ддддддддддддддддд">#REF!</definedName>
    <definedName name="Дем" localSheetId="0">#REF!</definedName>
    <definedName name="Дем">#REF!</definedName>
    <definedName name="ДЖДЖЛДЖ" localSheetId="0">#REF!</definedName>
    <definedName name="ДЖДЖЛДЖ">#REF!</definedName>
    <definedName name="Диапазон">'[46]КС-3'!$M$3:$M$3</definedName>
    <definedName name="дирекц" localSheetId="0">#REF!</definedName>
    <definedName name="дирекц">#REF!</definedName>
    <definedName name="длдлдддддддд" localSheetId="0">#REF!</definedName>
    <definedName name="длдлдддддддд">#REF!</definedName>
    <definedName name="длдлдл" localSheetId="0">#REF!</definedName>
    <definedName name="длдлдл">#REF!</definedName>
    <definedName name="длш" localSheetId="0">#REF!</definedName>
    <definedName name="длш">#REF!</definedName>
    <definedName name="для" localSheetId="0">#REF!</definedName>
    <definedName name="для">#REF!</definedName>
    <definedName name="до" localSheetId="0">#REF!</definedName>
    <definedName name="до">#REF!</definedName>
    <definedName name="Дор.знаки">'[40]Обстановка дороги'!$AJ$42</definedName>
    <definedName name="дщшл" localSheetId="0">#REF!</definedName>
    <definedName name="дщшл">#REF!</definedName>
    <definedName name="е" localSheetId="0">#REF!</definedName>
    <definedName name="е">#REF!</definedName>
    <definedName name="ё" localSheetId="0">#REF!</definedName>
    <definedName name="ё">#REF!</definedName>
    <definedName name="Е_1" localSheetId="0">#REF!</definedName>
    <definedName name="Е_1">#REF!</definedName>
    <definedName name="Е_2" localSheetId="0">#REF!</definedName>
    <definedName name="Е_2">#REF!</definedName>
    <definedName name="Е_3">[16]вр!$G$33</definedName>
    <definedName name="еанен" localSheetId="0">#REF!</definedName>
    <definedName name="еанен">#REF!</definedName>
    <definedName name="еееееееее" localSheetId="0">#REF!</definedName>
    <definedName name="еееееееее">#REF!</definedName>
    <definedName name="екг" localSheetId="0">#REF!</definedName>
    <definedName name="екг">#REF!</definedName>
    <definedName name="еноооооооооооооооооооооооооооооо" localSheetId="0">#REF!</definedName>
    <definedName name="еноооооооооооооооооооооооооооооо">#REF!</definedName>
    <definedName name="енрррррррррррррр" localSheetId="0">#REF!</definedName>
    <definedName name="енрррррррррррррр">#REF!</definedName>
    <definedName name="енррррррррррррррррррр" localSheetId="0">#REF!</definedName>
    <definedName name="енррррррррррррррррррр">#REF!</definedName>
    <definedName name="енррррррррррррррррррррррр" localSheetId="0">#REF!</definedName>
    <definedName name="енррррррррррррррррррррррр">#REF!</definedName>
    <definedName name="енрррррррррррррррррррррррррррр" localSheetId="0">#REF!</definedName>
    <definedName name="енрррррррррррррррррррррррррррр">#REF!</definedName>
    <definedName name="еп" localSheetId="0">'[1]КС-2'!#REF!</definedName>
    <definedName name="еп">'[1]КС-2'!#REF!</definedName>
    <definedName name="еркгкшдик" localSheetId="0">#REF!</definedName>
    <definedName name="еркгкшдик">#REF!</definedName>
    <definedName name="ерррррррррррррррррррр" localSheetId="0">#REF!</definedName>
    <definedName name="ерррррррррррррррррррр">#REF!</definedName>
    <definedName name="ж" localSheetId="0">#REF!</definedName>
    <definedName name="ж">#REF!</definedName>
    <definedName name="ж1" localSheetId="0">#REF!</definedName>
    <definedName name="ж1">#REF!</definedName>
    <definedName name="ждлэдж" localSheetId="0">#REF!</definedName>
    <definedName name="ждлэдж">#REF!</definedName>
    <definedName name="жж" localSheetId="0">#REF!</definedName>
    <definedName name="жж">#REF!</definedName>
    <definedName name="жжжжж" localSheetId="0">#REF!</definedName>
    <definedName name="жжжжж">#REF!</definedName>
    <definedName name="жжжжжжжж" localSheetId="0">#REF!</definedName>
    <definedName name="жжжжжжжж">#REF!</definedName>
    <definedName name="жжжжжжжжжжжжжж" localSheetId="0">[16]К.С.М.!#REF!</definedName>
    <definedName name="жжжжжжжжжжжжжж">[16]К.С.М.!#REF!</definedName>
    <definedName name="з" localSheetId="0">#REF!</definedName>
    <definedName name="з">#REF!</definedName>
    <definedName name="з_1" localSheetId="0">#REF!</definedName>
    <definedName name="з_1">#REF!</definedName>
    <definedName name="за">'[47]12'!$G$1</definedName>
    <definedName name="_xlnm.Print_Titles" localSheetId="3">'1_6.1'!$39:$39</definedName>
    <definedName name="_xlnm.Print_Titles" localSheetId="4">'2_6.2'!$10:$10</definedName>
    <definedName name="_xlnm.Print_Titles" localSheetId="5">'3_6.4'!$10:$10</definedName>
    <definedName name="_xlnm.Print_Titles" localSheetId="6">'4_6.5'!$10:$10</definedName>
    <definedName name="_xlnm.Print_Titles" localSheetId="7">'5_6.6'!$10:$10</definedName>
    <definedName name="_xlnm.Print_Titles" localSheetId="8">'6_6.7'!$10:$10</definedName>
    <definedName name="_xlnm.Print_Titles" localSheetId="9">'7_6.8'!$10:$10</definedName>
    <definedName name="_xlnm.Print_Titles" localSheetId="10">'8_6.9'!$10:$10</definedName>
    <definedName name="заказчики">[43]база!$A$1:$A$65536</definedName>
    <definedName name="Земработы">'[40]Земляное полотно'!$AJ$49</definedName>
    <definedName name="зим" localSheetId="0">#REF!</definedName>
    <definedName name="зим">#REF!</definedName>
    <definedName name="Зима">[40]Зима!$E$16</definedName>
    <definedName name="и" localSheetId="0">#REF!</definedName>
    <definedName name="и">#REF!</definedName>
    <definedName name="й" localSheetId="0">#REF!</definedName>
    <definedName name="й">#REF!</definedName>
    <definedName name="и1" localSheetId="0">#REF!</definedName>
    <definedName name="и1">#REF!</definedName>
    <definedName name="й1" localSheetId="0">#REF!</definedName>
    <definedName name="й1">#REF!</definedName>
    <definedName name="и123" localSheetId="0">#REF!</definedName>
    <definedName name="и123">#REF!</definedName>
    <definedName name="й2" localSheetId="0">#REF!</definedName>
    <definedName name="й2">#REF!</definedName>
    <definedName name="й3" localSheetId="0">#REF!</definedName>
    <definedName name="й3">#REF!</definedName>
    <definedName name="й4" localSheetId="0">#REF!</definedName>
    <definedName name="й4">#REF!</definedName>
    <definedName name="изыск" localSheetId="0">#REF!</definedName>
    <definedName name="изыск">#REF!</definedName>
    <definedName name="ии" localSheetId="0">#REF!</definedName>
    <definedName name="ии">#REF!</definedName>
    <definedName name="йй" localSheetId="0">#REF!</definedName>
    <definedName name="йй">#REF!</definedName>
    <definedName name="ййй" localSheetId="0">#REF!</definedName>
    <definedName name="ййй">#REF!</definedName>
    <definedName name="йййй" localSheetId="0">#REF!</definedName>
    <definedName name="йййй">#REF!</definedName>
    <definedName name="йййййййййййййййййууууууууууу" localSheetId="0">#REF!</definedName>
    <definedName name="йййййййййййййййййууууууууууу">#REF!</definedName>
    <definedName name="ИНД" localSheetId="0">#REF!</definedName>
    <definedName name="ИНД">#REF!</definedName>
    <definedName name="ИНД_1" localSheetId="0">#REF!</definedName>
    <definedName name="ИНД_1">#REF!</definedName>
    <definedName name="ИНД_4" localSheetId="0">#REF!</definedName>
    <definedName name="ИНД_4">#REF!</definedName>
    <definedName name="инж" localSheetId="0">#REF!</definedName>
    <definedName name="инж">#REF!</definedName>
    <definedName name="иоршпргшршщзщгзъшщхщъх" localSheetId="0">#REF!</definedName>
    <definedName name="иоршпргшршщзщгзъшщхщъх">#REF!</definedName>
    <definedName name="иртрр" localSheetId="0">#REF!</definedName>
    <definedName name="иртрр">#REF!</definedName>
    <definedName name="ис">[48]C.с!$D$92</definedName>
    <definedName name="испрпрапр" localSheetId="0">#REF!</definedName>
    <definedName name="испрпрапр">#REF!</definedName>
    <definedName name="ИТОГИ_РI_ССР">'[49]Расчет стоимости'!$J$910:$O$910</definedName>
    <definedName name="итттттттттт" localSheetId="0">#REF!</definedName>
    <definedName name="итттттттттт">#REF!</definedName>
    <definedName name="ить" localSheetId="0">#REF!</definedName>
    <definedName name="ить">#REF!</definedName>
    <definedName name="ЙУВ" localSheetId="0">#REF!</definedName>
    <definedName name="ЙУВ">#REF!</definedName>
    <definedName name="йуцуйцуйцу" localSheetId="0">#REF!</definedName>
    <definedName name="йуцуйцуйцу">#REF!</definedName>
    <definedName name="йццццццццццццццццццццццццццццц" localSheetId="0">#REF!</definedName>
    <definedName name="йццццццццццццццццццццццццццццц">#REF!</definedName>
    <definedName name="иьбл" localSheetId="0">#REF!</definedName>
    <definedName name="иьбл">#REF!</definedName>
    <definedName name="к" localSheetId="0">#REF!</definedName>
    <definedName name="к">#REF!</definedName>
    <definedName name="К_1" localSheetId="0">#REF!</definedName>
    <definedName name="К_1">#REF!</definedName>
    <definedName name="К_10" localSheetId="0">#REF!</definedName>
    <definedName name="К_10">#REF!</definedName>
    <definedName name="К_13" localSheetId="0">#REF!</definedName>
    <definedName name="К_13">#REF!</definedName>
    <definedName name="К_15" localSheetId="0">#REF!</definedName>
    <definedName name="К_15">#REF!</definedName>
    <definedName name="К_16" localSheetId="0">#REF!</definedName>
    <definedName name="К_16">#REF!</definedName>
    <definedName name="К_17">[50]Тр.!$H$35</definedName>
    <definedName name="К_19" localSheetId="0">#REF!</definedName>
    <definedName name="К_19">#REF!</definedName>
    <definedName name="К_2">[51]Тр.!$H$18</definedName>
    <definedName name="к_200" localSheetId="0">'[52]Тр. (2)'!#REF!</definedName>
    <definedName name="к_200">'[52]Тр. (2)'!#REF!</definedName>
    <definedName name="К_21" localSheetId="0">#REF!</definedName>
    <definedName name="К_21">#REF!</definedName>
    <definedName name="К_22" localSheetId="0">#REF!</definedName>
    <definedName name="К_22">#REF!</definedName>
    <definedName name="К_221" localSheetId="0">#REF!</definedName>
    <definedName name="К_221">#REF!</definedName>
    <definedName name="К_23">[9]Тр.!$H$39</definedName>
    <definedName name="К_24" localSheetId="0">#REF!</definedName>
    <definedName name="К_24">#REF!</definedName>
    <definedName name="К_25" localSheetId="0">#REF!</definedName>
    <definedName name="К_25">#REF!</definedName>
    <definedName name="К_26">[9]Тр.!$H$42</definedName>
    <definedName name="К_27" localSheetId="0">#REF!</definedName>
    <definedName name="К_27">#REF!</definedName>
    <definedName name="К_28" localSheetId="0">#REF!</definedName>
    <definedName name="К_28">#REF!</definedName>
    <definedName name="К_29">[9]Тр.!$H$47</definedName>
    <definedName name="К_3">[51]Тр.!$H$21</definedName>
    <definedName name="К_31" localSheetId="0">#REF!</definedName>
    <definedName name="К_31">#REF!</definedName>
    <definedName name="К_32">[9]Тр.!$H$50</definedName>
    <definedName name="К_34" localSheetId="0">#REF!</definedName>
    <definedName name="К_34">#REF!</definedName>
    <definedName name="К_344" localSheetId="0">#REF!</definedName>
    <definedName name="К_344">#REF!</definedName>
    <definedName name="К_35">[9]Тр.!$H$53</definedName>
    <definedName name="К_37" localSheetId="0">#REF!</definedName>
    <definedName name="К_37">#REF!</definedName>
    <definedName name="К_38">[9]Тр.!$H$56</definedName>
    <definedName name="К_39" localSheetId="0">#REF!</definedName>
    <definedName name="К_39">#REF!</definedName>
    <definedName name="К_4" localSheetId="0">#REF!</definedName>
    <definedName name="К_4">#REF!</definedName>
    <definedName name="К_40" localSheetId="0">#REF!</definedName>
    <definedName name="К_40">#REF!</definedName>
    <definedName name="К_41">[9]Тр.!$H$59</definedName>
    <definedName name="К_44">[9]Тр.!$H$62</definedName>
    <definedName name="К_47">[9]Тр.!$H$65</definedName>
    <definedName name="К_5">[51]Тр.!$H$27</definedName>
    <definedName name="К_6">[51]Тр.!$H$30</definedName>
    <definedName name="К_7" localSheetId="0">#REF!</definedName>
    <definedName name="К_7">#REF!</definedName>
    <definedName name="К_78">[53]Тр.!$H$27</definedName>
    <definedName name="К_8" localSheetId="0">#REF!</definedName>
    <definedName name="К_8">#REF!</definedName>
    <definedName name="К_88" localSheetId="0">#REF!</definedName>
    <definedName name="К_88">#REF!</definedName>
    <definedName name="К_89" localSheetId="0">[54]Тр.!#REF!</definedName>
    <definedName name="К_89">[54]Тр.!#REF!</definedName>
    <definedName name="К_9">[51]Тр.!$H$39</definedName>
    <definedName name="К_91">[55]Тр.!$H$31</definedName>
    <definedName name="какакак" localSheetId="0">#REF!</definedName>
    <definedName name="какакак">#REF!</definedName>
    <definedName name="калач_крА" localSheetId="0">#REF!</definedName>
    <definedName name="калач_крА">#REF!</definedName>
    <definedName name="калач_крБ" localSheetId="0">#REF!</definedName>
    <definedName name="калач_крБ">#REF!</definedName>
    <definedName name="калач_крВ" localSheetId="0">#REF!</definedName>
    <definedName name="калач_крВ">#REF!</definedName>
    <definedName name="калач_крГ" localSheetId="0">#REF!</definedName>
    <definedName name="калач_крГ">#REF!</definedName>
    <definedName name="калач_крД" localSheetId="0">#REF!</definedName>
    <definedName name="калач_крД">#REF!</definedName>
    <definedName name="калач_крЕ" localSheetId="0">#REF!</definedName>
    <definedName name="калач_крЕ">#REF!</definedName>
    <definedName name="калач_крЖ" localSheetId="0">#REF!</definedName>
    <definedName name="калач_крЖ">#REF!</definedName>
    <definedName name="камен_крА" localSheetId="0">#REF!</definedName>
    <definedName name="камен_крА">#REF!</definedName>
    <definedName name="камен_крБ" localSheetId="0">#REF!</definedName>
    <definedName name="камен_крБ">#REF!</definedName>
    <definedName name="камен_крВ" localSheetId="0">#REF!</definedName>
    <definedName name="камен_крВ">#REF!</definedName>
    <definedName name="камен_крГ" localSheetId="0">#REF!</definedName>
    <definedName name="камен_крГ">#REF!</definedName>
    <definedName name="камен_крД" localSheetId="0">#REF!</definedName>
    <definedName name="камен_крД">#REF!</definedName>
    <definedName name="камен_крЕ" localSheetId="0">#REF!</definedName>
    <definedName name="камен_крЕ">#REF!</definedName>
    <definedName name="камен_крЖ" localSheetId="0">#REF!</definedName>
    <definedName name="камен_крЖ">#REF!</definedName>
    <definedName name="кантем_крА" localSheetId="0">#REF!</definedName>
    <definedName name="кантем_крА">#REF!</definedName>
    <definedName name="кантем_крБ" localSheetId="0">#REF!</definedName>
    <definedName name="кантем_крБ">#REF!</definedName>
    <definedName name="кантем_крВ" localSheetId="0">#REF!</definedName>
    <definedName name="кантем_крВ">#REF!</definedName>
    <definedName name="кантем_крГ" localSheetId="0">#REF!</definedName>
    <definedName name="кантем_крГ">#REF!</definedName>
    <definedName name="кантем_крД" localSheetId="0">#REF!</definedName>
    <definedName name="кантем_крД">#REF!</definedName>
    <definedName name="кантем_крЕ" localSheetId="0">#REF!</definedName>
    <definedName name="кантем_крЕ">#REF!</definedName>
    <definedName name="кантем_крЖ" localSheetId="0">#REF!</definedName>
    <definedName name="кантем_крЖ">#REF!</definedName>
    <definedName name="капстр" localSheetId="0">#REF!</definedName>
    <definedName name="капстр">#REF!</definedName>
    <definedName name="кашира_крА" localSheetId="0">#REF!</definedName>
    <definedName name="кашира_крА">#REF!</definedName>
    <definedName name="кашира_крБ" localSheetId="0">#REF!</definedName>
    <definedName name="кашира_крБ">#REF!</definedName>
    <definedName name="кашира_крВ" localSheetId="0">#REF!</definedName>
    <definedName name="кашира_крВ">#REF!</definedName>
    <definedName name="кашира_крГ" localSheetId="0">#REF!</definedName>
    <definedName name="кашира_крГ">#REF!</definedName>
    <definedName name="кашира_крД" localSheetId="0">#REF!</definedName>
    <definedName name="кашира_крД">#REF!</definedName>
    <definedName name="кашира_крЕ" localSheetId="0">#REF!</definedName>
    <definedName name="кашира_крЕ">#REF!</definedName>
    <definedName name="кашира_крЖ" localSheetId="0">#REF!</definedName>
    <definedName name="кашира_крЖ">#REF!</definedName>
    <definedName name="кенррррррррррр" localSheetId="0">#REF!</definedName>
    <definedName name="кенррррррррррр">#REF!</definedName>
    <definedName name="кккк" localSheetId="0">#REF!</definedName>
    <definedName name="кккк">#REF!</definedName>
    <definedName name="ККККККККККККК" localSheetId="0">#REF!</definedName>
    <definedName name="ККККККККККККК">#REF!</definedName>
    <definedName name="кккккккккккккккккккк" localSheetId="0">#REF!</definedName>
    <definedName name="кккккккккккккккккккк">#REF!</definedName>
    <definedName name="книга8" localSheetId="0">#REF!</definedName>
    <definedName name="книга8">#REF!</definedName>
    <definedName name="комп1" hidden="1">{#N/A,#N/A,TRUE,"Сводка балансов"}</definedName>
    <definedName name="Контруклон" hidden="1">{#N/A,#N/A,TRUE,"Сводка балансов"}</definedName>
    <definedName name="Коэф._перевода_в_цены_1991_г." localSheetId="0">#REF!</definedName>
    <definedName name="Коэф._перевода_в_цены_1991_г.">#REF!</definedName>
    <definedName name="Коэф.1_на_ремонт" localSheetId="0">#REF!</definedName>
    <definedName name="Коэф.1_на_ремонт">#REF!</definedName>
    <definedName name="Коэф.2_на_ремонт" localSheetId="0">#REF!</definedName>
    <definedName name="Коэф.2_на_ремонт">#REF!</definedName>
    <definedName name="КоэфИнф">1.1075</definedName>
    <definedName name="КПВКАП" localSheetId="0">#REF!</definedName>
    <definedName name="КПВКАП">#REF!</definedName>
    <definedName name="кпппппппппппппппппп" localSheetId="0">#REF!</definedName>
    <definedName name="кпппппппппппппппппп">#REF!</definedName>
    <definedName name="кпппппппппппппппппппп" localSheetId="0">#REF!</definedName>
    <definedName name="кпппппппппппппппппппп">#REF!</definedName>
    <definedName name="крппппппппппппппук" localSheetId="0">#REF!</definedName>
    <definedName name="крппппппппппппппук">#REF!</definedName>
    <definedName name="кс333" localSheetId="0">#REF!</definedName>
    <definedName name="кс333">#REF!</definedName>
    <definedName name="кс3333" localSheetId="0">#REF!</definedName>
    <definedName name="кс3333">#REF!</definedName>
    <definedName name="КУ">'[56]КС-3'!$M$3:$M$3</definedName>
    <definedName name="куед" localSheetId="0">#REF!</definedName>
    <definedName name="куед">#REF!</definedName>
    <definedName name="л" localSheetId="0">#REF!</definedName>
    <definedName name="л">#REF!</definedName>
    <definedName name="лд">[57]Лист1!$A$414:$O$414</definedName>
    <definedName name="ЛДЖЛДЖЛЖЛДЖ" localSheetId="0">#REF!</definedName>
    <definedName name="ЛДЖЛДЖЛЖЛДЖ">#REF!</definedName>
    <definedName name="ЛЖОЖОЖО" localSheetId="0">#REF!</definedName>
    <definedName name="ЛЖОЖОЖО">#REF!</definedName>
    <definedName name="ЛЖОЛЖОЖ" localSheetId="0">#REF!</definedName>
    <definedName name="ЛЖОЛЖОЖ">#REF!</definedName>
    <definedName name="лиски_крА" localSheetId="0">#REF!</definedName>
    <definedName name="лиски_крА">#REF!</definedName>
    <definedName name="лиски_крБ" localSheetId="0">#REF!</definedName>
    <definedName name="лиски_крБ">#REF!</definedName>
    <definedName name="лиски_крВ" localSheetId="0">#REF!</definedName>
    <definedName name="лиски_крВ">#REF!</definedName>
    <definedName name="лиски_крГ" localSheetId="0">#REF!</definedName>
    <definedName name="лиски_крГ">#REF!</definedName>
    <definedName name="лиски_крД" localSheetId="0">#REF!</definedName>
    <definedName name="лиски_крД">#REF!</definedName>
    <definedName name="лиски_крЕ" localSheetId="0">#REF!</definedName>
    <definedName name="лиски_крЕ">#REF!</definedName>
    <definedName name="лиски_крЖ" localSheetId="0">#REF!</definedName>
    <definedName name="лиски_крЖ">#REF!</definedName>
    <definedName name="лл" localSheetId="0">#REF!</definedName>
    <definedName name="лл">#REF!</definedName>
    <definedName name="лллл" localSheetId="0">#REF!</definedName>
    <definedName name="лллл">#REF!</definedName>
    <definedName name="лллллллллллллллл" localSheetId="0">#REF!</definedName>
    <definedName name="лллллллллллллллл">#REF!</definedName>
    <definedName name="лллллллллллллллллл" localSheetId="0">#REF!</definedName>
    <definedName name="лллллллллллллллллл">#REF!</definedName>
    <definedName name="ллллллллллллллллллллллл" localSheetId="0">#REF!</definedName>
    <definedName name="ллллллллллллллллллллллл">#REF!</definedName>
    <definedName name="лю" localSheetId="0">#REF!</definedName>
    <definedName name="лю">#REF!</definedName>
    <definedName name="м" localSheetId="0">#REF!</definedName>
    <definedName name="м">#REF!</definedName>
    <definedName name="М_01">'[6]К.С.М. (ПУТ)'!$P$106</definedName>
    <definedName name="М_02">'[6]К.С.М. (ПУТ)'!$P$110</definedName>
    <definedName name="М_03">'[6]К.С.М. (ПУТ)'!$P$113</definedName>
    <definedName name="М_04">'[6]К.С.М. (ПУТ)'!$P$86</definedName>
    <definedName name="М_05">'[6]К.С.М. (ПУТ)'!$P$90</definedName>
    <definedName name="М_06">'[6]К.С.М. (ПУТ)'!$P$94</definedName>
    <definedName name="М_07">'[6]К.С.М. (ПУТ)'!$P$98</definedName>
    <definedName name="М_08">'[6]К.С.М. (ПУТ)'!$P$102</definedName>
    <definedName name="М_1" localSheetId="0">#REF!</definedName>
    <definedName name="М_1">#REF!</definedName>
    <definedName name="М_10" localSheetId="0">#REF!</definedName>
    <definedName name="М_10">#REF!</definedName>
    <definedName name="М_100" localSheetId="0">#REF!</definedName>
    <definedName name="М_100">#REF!</definedName>
    <definedName name="М_101" localSheetId="0">#REF!</definedName>
    <definedName name="М_101">#REF!</definedName>
    <definedName name="М_102" localSheetId="0">'[58]К.С.М. (ПУТ)'!#REF!</definedName>
    <definedName name="М_102">'[58]К.С.М. (ПУТ)'!#REF!</definedName>
    <definedName name="М_103" localSheetId="0">#REF!</definedName>
    <definedName name="М_103">#REF!</definedName>
    <definedName name="М_1033" localSheetId="0">#REF!</definedName>
    <definedName name="М_1033">#REF!</definedName>
    <definedName name="М_105" localSheetId="0">#REF!</definedName>
    <definedName name="М_105">#REF!</definedName>
    <definedName name="М_106" localSheetId="0">#REF!</definedName>
    <definedName name="М_106">#REF!</definedName>
    <definedName name="М_108" localSheetId="0">'[58]К.С.М. (ПУТ)'!#REF!</definedName>
    <definedName name="М_108">'[58]К.С.М. (ПУТ)'!#REF!</definedName>
    <definedName name="М_10а" localSheetId="0">[54]К.С.М.!#REF!</definedName>
    <definedName name="М_10а">[54]К.С.М.!#REF!</definedName>
    <definedName name="М_11" localSheetId="0">#REF!</definedName>
    <definedName name="М_11">#REF!</definedName>
    <definedName name="М_110" localSheetId="0">#REF!</definedName>
    <definedName name="М_110">#REF!</definedName>
    <definedName name="М_112" localSheetId="0">'[58]К.С.М. (ПУТ)'!#REF!</definedName>
    <definedName name="М_112">'[58]К.С.М. (ПУТ)'!#REF!</definedName>
    <definedName name="М_114" localSheetId="0">#REF!</definedName>
    <definedName name="М_114">#REF!</definedName>
    <definedName name="М_116" localSheetId="0">'[58]К.С.М. (ПУТ)'!#REF!</definedName>
    <definedName name="М_116">'[58]К.С.М. (ПУТ)'!#REF!</definedName>
    <definedName name="М_119" localSheetId="0">#REF!</definedName>
    <definedName name="М_119">#REF!</definedName>
    <definedName name="М_120" localSheetId="0">#REF!</definedName>
    <definedName name="М_120">#REF!</definedName>
    <definedName name="М_121" localSheetId="0">#REF!</definedName>
    <definedName name="М_121">#REF!</definedName>
    <definedName name="М_122" localSheetId="0">#REF!</definedName>
    <definedName name="М_122">#REF!</definedName>
    <definedName name="М_123" localSheetId="0">#REF!</definedName>
    <definedName name="М_123">#REF!</definedName>
    <definedName name="М_124" localSheetId="0">#REF!</definedName>
    <definedName name="М_124">#REF!</definedName>
    <definedName name="М_126" localSheetId="0">#REF!</definedName>
    <definedName name="М_126">#REF!</definedName>
    <definedName name="М_127" localSheetId="0">#REF!</definedName>
    <definedName name="М_127">#REF!</definedName>
    <definedName name="М_13" localSheetId="0">#REF!</definedName>
    <definedName name="М_13">#REF!</definedName>
    <definedName name="М_131" localSheetId="0">#REF!</definedName>
    <definedName name="М_131">#REF!</definedName>
    <definedName name="М_136" localSheetId="0">'[58]К.С.М. (ПУТ)'!#REF!</definedName>
    <definedName name="М_136">'[58]К.С.М. (ПУТ)'!#REF!</definedName>
    <definedName name="М_14" localSheetId="0">#REF!</definedName>
    <definedName name="М_14">#REF!</definedName>
    <definedName name="М_140" localSheetId="0">#REF!</definedName>
    <definedName name="М_140">#REF!</definedName>
    <definedName name="М_144" localSheetId="0">#REF!</definedName>
    <definedName name="М_144">#REF!</definedName>
    <definedName name="М_149" localSheetId="0">#REF!</definedName>
    <definedName name="М_149">#REF!</definedName>
    <definedName name="М_15" localSheetId="0">#REF!</definedName>
    <definedName name="М_15">#REF!</definedName>
    <definedName name="М_153" localSheetId="0">#REF!</definedName>
    <definedName name="М_153">#REF!</definedName>
    <definedName name="М_154" localSheetId="0">'[58]К.С.М. (ПУТ)'!#REF!</definedName>
    <definedName name="М_154">'[58]К.С.М. (ПУТ)'!#REF!</definedName>
    <definedName name="М_155">[59]К.С.М.!$P$159</definedName>
    <definedName name="М_156">[59]К.С.М.!$P$163</definedName>
    <definedName name="М_157">[59]К.С.М.!$P$167</definedName>
    <definedName name="М_158" localSheetId="0">'[58]К.С.М. (ПУТ)'!#REF!</definedName>
    <definedName name="М_158">'[58]К.С.М. (ПУТ)'!#REF!</definedName>
    <definedName name="М_16" localSheetId="0">#REF!</definedName>
    <definedName name="М_16">#REF!</definedName>
    <definedName name="М_161" localSheetId="0">#REF!</definedName>
    <definedName name="М_161">#REF!</definedName>
    <definedName name="М_162" localSheetId="0">'[58]К.С.М. (ПУТ)'!#REF!</definedName>
    <definedName name="М_162">'[58]К.С.М. (ПУТ)'!#REF!</definedName>
    <definedName name="М_165" localSheetId="0">#REF!</definedName>
    <definedName name="М_165">#REF!</definedName>
    <definedName name="М_166" localSheetId="0">'[58]К.С.М. (ПУТ)'!#REF!</definedName>
    <definedName name="М_166">'[58]К.С.М. (ПУТ)'!#REF!</definedName>
    <definedName name="М_169" localSheetId="0">#REF!</definedName>
    <definedName name="М_169">#REF!</definedName>
    <definedName name="М_1691" localSheetId="0">#REF!</definedName>
    <definedName name="М_1691">#REF!</definedName>
    <definedName name="М_17" localSheetId="0">'[58]К.С.М. (ПУТ)'!#REF!</definedName>
    <definedName name="М_17">'[58]К.С.М. (ПУТ)'!#REF!</definedName>
    <definedName name="М_170" localSheetId="0">'[58]К.С.М. (ПУТ)'!#REF!</definedName>
    <definedName name="М_170">'[58]К.С.М. (ПУТ)'!#REF!</definedName>
    <definedName name="М_173" localSheetId="0">#REF!</definedName>
    <definedName name="М_173">#REF!</definedName>
    <definedName name="М_174" localSheetId="0">'[58]К.С.М. (ПУТ)'!#REF!</definedName>
    <definedName name="М_174">'[58]К.С.М. (ПУТ)'!#REF!</definedName>
    <definedName name="М_177" localSheetId="0">#REF!</definedName>
    <definedName name="М_177">#REF!</definedName>
    <definedName name="М_178" localSheetId="0">'[58]К.С.М. (ПУТ)'!#REF!</definedName>
    <definedName name="М_178">'[58]К.С.М. (ПУТ)'!#REF!</definedName>
    <definedName name="М_18">[60]К.С.М.!$P$33</definedName>
    <definedName name="М_181" localSheetId="0">#REF!</definedName>
    <definedName name="М_181">#REF!</definedName>
    <definedName name="М_182" localSheetId="0">'[58]К.С.М. (ПУТ)'!#REF!</definedName>
    <definedName name="М_182">'[58]К.С.М. (ПУТ)'!#REF!</definedName>
    <definedName name="М_185" localSheetId="0">#REF!</definedName>
    <definedName name="М_185">#REF!</definedName>
    <definedName name="М_186" localSheetId="0">'[58]К.С.М. (ПУТ)'!#REF!</definedName>
    <definedName name="М_186">'[58]К.С.М. (ПУТ)'!#REF!</definedName>
    <definedName name="М_19" localSheetId="0">#REF!</definedName>
    <definedName name="М_19">#REF!</definedName>
    <definedName name="М_190" localSheetId="0">'[58]К.С.М. (ПУТ)'!#REF!</definedName>
    <definedName name="М_190">'[58]К.С.М. (ПУТ)'!#REF!</definedName>
    <definedName name="М_195" localSheetId="0">'[58]К.С.М. (ПУТ)'!#REF!</definedName>
    <definedName name="М_195">'[58]К.С.М. (ПУТ)'!#REF!</definedName>
    <definedName name="М_196" localSheetId="0">#REF!</definedName>
    <definedName name="М_196">#REF!</definedName>
    <definedName name="М_2" localSheetId="0">#REF!</definedName>
    <definedName name="М_2">#REF!</definedName>
    <definedName name="М_20" localSheetId="0">#REF!</definedName>
    <definedName name="М_20">#REF!</definedName>
    <definedName name="М_200" localSheetId="0">'[58]К.С.М. (ПУТ)'!#REF!</definedName>
    <definedName name="М_200">'[58]К.С.М. (ПУТ)'!#REF!</definedName>
    <definedName name="М_202" localSheetId="0">[18]К.С.М.!#REF!</definedName>
    <definedName name="М_202">[18]К.С.М.!#REF!</definedName>
    <definedName name="М_203" localSheetId="0">[18]К.С.М.!#REF!</definedName>
    <definedName name="М_203">[18]К.С.М.!#REF!</definedName>
    <definedName name="М_204" localSheetId="0">[18]К.С.М.!#REF!</definedName>
    <definedName name="М_204">[18]К.С.М.!#REF!</definedName>
    <definedName name="М_205" localSheetId="0">'[58]К.С.М. (ПУТ)'!#REF!</definedName>
    <definedName name="М_205">'[58]К.С.М. (ПУТ)'!#REF!</definedName>
    <definedName name="М_208" localSheetId="0">#REF!</definedName>
    <definedName name="М_208">#REF!</definedName>
    <definedName name="М_209" localSheetId="0">'[58]К.С.М. (ПУТ)'!#REF!</definedName>
    <definedName name="М_209">'[58]К.С.М. (ПУТ)'!#REF!</definedName>
    <definedName name="М_21" localSheetId="0">#REF!</definedName>
    <definedName name="М_21">#REF!</definedName>
    <definedName name="М_212" localSheetId="0">#REF!</definedName>
    <definedName name="М_212">#REF!</definedName>
    <definedName name="М_213" localSheetId="0">'[58]К.С.М. (ПУТ)'!#REF!</definedName>
    <definedName name="М_213">'[58]К.С.М. (ПУТ)'!#REF!</definedName>
    <definedName name="М_216" localSheetId="0">#REF!</definedName>
    <definedName name="М_216">#REF!</definedName>
    <definedName name="М_217" localSheetId="0">'[58]К.С.М. (ПУТ)'!#REF!</definedName>
    <definedName name="М_217">'[58]К.С.М. (ПУТ)'!#REF!</definedName>
    <definedName name="М_22" localSheetId="0">#REF!</definedName>
    <definedName name="М_22">#REF!</definedName>
    <definedName name="М_221" localSheetId="0">'[58]К.С.М. (ПУТ)'!#REF!</definedName>
    <definedName name="М_221">'[58]К.С.М. (ПУТ)'!#REF!</definedName>
    <definedName name="М_222" localSheetId="0">#REF!</definedName>
    <definedName name="М_222">#REF!</definedName>
    <definedName name="М_225" localSheetId="0">'[58]К.С.М. (ПУТ)'!#REF!</definedName>
    <definedName name="М_225">'[58]К.С.М. (ПУТ)'!#REF!</definedName>
    <definedName name="М_226" localSheetId="0">#REF!</definedName>
    <definedName name="М_226">#REF!</definedName>
    <definedName name="М_227" localSheetId="0">#REF!</definedName>
    <definedName name="М_227">#REF!</definedName>
    <definedName name="М_228" localSheetId="0">#REF!</definedName>
    <definedName name="М_228">#REF!</definedName>
    <definedName name="М_229" localSheetId="0">'[58]К.С.М. (ПУТ)'!#REF!</definedName>
    <definedName name="М_229">'[58]К.С.М. (ПУТ)'!#REF!</definedName>
    <definedName name="М_230" localSheetId="0">#REF!</definedName>
    <definedName name="М_230">#REF!</definedName>
    <definedName name="М_231" localSheetId="0">#REF!</definedName>
    <definedName name="М_231">#REF!</definedName>
    <definedName name="М_233" localSheetId="0">'[58]К.С.М. (ПУТ)'!#REF!</definedName>
    <definedName name="М_233">'[58]К.С.М. (ПУТ)'!#REF!</definedName>
    <definedName name="М_237" localSheetId="0">'[58]К.С.М. (ПУТ)'!#REF!</definedName>
    <definedName name="М_237">'[58]К.С.М. (ПУТ)'!#REF!</definedName>
    <definedName name="М_24" localSheetId="0">#REF!</definedName>
    <definedName name="М_24">#REF!</definedName>
    <definedName name="М_241" localSheetId="0">'[58]К.С.М. (ПУТ)'!#REF!</definedName>
    <definedName name="М_241">'[58]К.С.М. (ПУТ)'!#REF!</definedName>
    <definedName name="М_245" localSheetId="0">'[58]К.С.М. (ПУТ)'!#REF!</definedName>
    <definedName name="М_245">'[58]К.С.М. (ПУТ)'!#REF!</definedName>
    <definedName name="М_249" localSheetId="0">'[58]К.С.М. (ПУТ)'!#REF!</definedName>
    <definedName name="М_249">'[58]К.С.М. (ПУТ)'!#REF!</definedName>
    <definedName name="М_25" localSheetId="0">#REF!</definedName>
    <definedName name="М_25">#REF!</definedName>
    <definedName name="М_253" localSheetId="0">'[58]К.С.М. (ПУТ)'!#REF!</definedName>
    <definedName name="М_253">'[58]К.С.М. (ПУТ)'!#REF!</definedName>
    <definedName name="М_257" localSheetId="0">'[58]К.С.М. (ПУТ)'!#REF!</definedName>
    <definedName name="М_257">'[58]К.С.М. (ПУТ)'!#REF!</definedName>
    <definedName name="М_25ш" localSheetId="0">#REF!</definedName>
    <definedName name="М_25ш">#REF!</definedName>
    <definedName name="М_261" localSheetId="0">'[58]К.С.М. (ПУТ)'!#REF!</definedName>
    <definedName name="М_261">'[58]К.С.М. (ПУТ)'!#REF!</definedName>
    <definedName name="М_265" localSheetId="0">'[58]К.С.М. (ПУТ)'!#REF!</definedName>
    <definedName name="М_265">'[58]К.С.М. (ПУТ)'!#REF!</definedName>
    <definedName name="М_269" localSheetId="0">'[58]К.С.М. (ПУТ)'!#REF!</definedName>
    <definedName name="М_269">'[58]К.С.М. (ПУТ)'!#REF!</definedName>
    <definedName name="М_27" localSheetId="0">[61]К.С.М.!#REF!</definedName>
    <definedName name="М_27">[61]К.С.М.!#REF!</definedName>
    <definedName name="М_273" localSheetId="0">'[58]К.С.М. (ПУТ)'!#REF!</definedName>
    <definedName name="М_273">'[58]К.С.М. (ПУТ)'!#REF!</definedName>
    <definedName name="М_277" localSheetId="0">'[58]К.С.М. (ПУТ)'!#REF!</definedName>
    <definedName name="М_277">'[58]К.С.М. (ПУТ)'!#REF!</definedName>
    <definedName name="М_281" localSheetId="0">#REF!</definedName>
    <definedName name="М_281">#REF!</definedName>
    <definedName name="М_282" localSheetId="0">'[58]К.С.М. (ПУТ)'!#REF!</definedName>
    <definedName name="М_282">'[58]К.С.М. (ПУТ)'!#REF!</definedName>
    <definedName name="М_282а" localSheetId="0">'[58]К.С.М. (ПУТ)'!#REF!</definedName>
    <definedName name="М_282а">'[58]К.С.М. (ПУТ)'!#REF!</definedName>
    <definedName name="М_285" localSheetId="0">'[58]К.С.М. (ПУТ)'!#REF!</definedName>
    <definedName name="М_285">'[58]К.С.М. (ПУТ)'!#REF!</definedName>
    <definedName name="М_289" localSheetId="0">#REF!</definedName>
    <definedName name="М_289">#REF!</definedName>
    <definedName name="М_29" localSheetId="0">#REF!</definedName>
    <definedName name="М_29">#REF!</definedName>
    <definedName name="М_293" localSheetId="0">'[58]К.С.М. (ПУТ)'!#REF!</definedName>
    <definedName name="М_293">'[58]К.С.М. (ПУТ)'!#REF!</definedName>
    <definedName name="М_297">[62]К.С.М.!$P$319</definedName>
    <definedName name="М_3" localSheetId="0">[63]К.С.М.!#REF!</definedName>
    <definedName name="М_3">[63]К.С.М.!#REF!</definedName>
    <definedName name="М_30" localSheetId="0">#REF!</definedName>
    <definedName name="М_30">#REF!</definedName>
    <definedName name="М_301" localSheetId="0">'[58]К.С.М. (ПУТ)'!#REF!</definedName>
    <definedName name="М_301">'[58]К.С.М. (ПУТ)'!#REF!</definedName>
    <definedName name="М_305" localSheetId="0">'[58]К.С.М. (ПУТ)'!#REF!</definedName>
    <definedName name="М_305">'[58]К.С.М. (ПУТ)'!#REF!</definedName>
    <definedName name="М_309" localSheetId="0">'[58]К.С.М. (ПУТ)'!#REF!</definedName>
    <definedName name="М_309">'[58]К.С.М. (ПУТ)'!#REF!</definedName>
    <definedName name="М_31" localSheetId="0">#REF!</definedName>
    <definedName name="М_31">#REF!</definedName>
    <definedName name="М_313" localSheetId="0">'[58]К.С.М. (ПУТ)'!#REF!</definedName>
    <definedName name="М_313">'[58]К.С.М. (ПУТ)'!#REF!</definedName>
    <definedName name="М_317" localSheetId="0">'[58]К.С.М. (ПУТ)'!#REF!</definedName>
    <definedName name="М_317">'[58]К.С.М. (ПУТ)'!#REF!</definedName>
    <definedName name="М_32" localSheetId="0">[61]К.С.М.!#REF!</definedName>
    <definedName name="М_32">[61]К.С.М.!#REF!</definedName>
    <definedName name="М_320" localSheetId="0">'[58]К.С.М. (ПУТ)'!#REF!</definedName>
    <definedName name="М_320">'[58]К.С.М. (ПУТ)'!#REF!</definedName>
    <definedName name="М_323" localSheetId="0">'[58]К.С.М. (ПУТ)'!#REF!</definedName>
    <definedName name="М_323">'[58]К.С.М. (ПУТ)'!#REF!</definedName>
    <definedName name="М_326" localSheetId="0">'[58]К.С.М. (ПУТ)'!#REF!</definedName>
    <definedName name="М_326">'[58]К.С.М. (ПУТ)'!#REF!</definedName>
    <definedName name="М_33" localSheetId="0">#REF!</definedName>
    <definedName name="М_33">#REF!</definedName>
    <definedName name="М_330">[64]К.С.М.!$P$354</definedName>
    <definedName name="М_334" localSheetId="0">'[58]К.С.М. (ПУТ)'!#REF!</definedName>
    <definedName name="М_334">'[58]К.С.М. (ПУТ)'!#REF!</definedName>
    <definedName name="М_33Б" localSheetId="0">#REF!</definedName>
    <definedName name="М_33Б">#REF!</definedName>
    <definedName name="М_34" localSheetId="0">#REF!</definedName>
    <definedName name="М_34">#REF!</definedName>
    <definedName name="М_35" localSheetId="0">#REF!</definedName>
    <definedName name="М_35">#REF!</definedName>
    <definedName name="М_36" localSheetId="0">[61]К.С.М.!#REF!</definedName>
    <definedName name="М_36">[61]К.С.М.!#REF!</definedName>
    <definedName name="М_37">[65]К.С.М.!$P$51</definedName>
    <definedName name="М_38" localSheetId="0">#REF!</definedName>
    <definedName name="М_38">#REF!</definedName>
    <definedName name="М_4" localSheetId="0">#REF!</definedName>
    <definedName name="М_4">#REF!</definedName>
    <definedName name="М_40" localSheetId="0">#REF!</definedName>
    <definedName name="М_40">#REF!</definedName>
    <definedName name="М_41" localSheetId="0">#REF!</definedName>
    <definedName name="М_41">#REF!</definedName>
    <definedName name="М_42" localSheetId="0">#REF!</definedName>
    <definedName name="М_42">#REF!</definedName>
    <definedName name="М_45" localSheetId="0">[66]ф9!#REF!</definedName>
    <definedName name="М_45">[66]ф9!#REF!</definedName>
    <definedName name="М_46" localSheetId="0">#REF!</definedName>
    <definedName name="М_46">#REF!</definedName>
    <definedName name="М_47" localSheetId="0">'[58]К.С.М. (ПУТ)'!#REF!</definedName>
    <definedName name="М_47">'[58]К.С.М. (ПУТ)'!#REF!</definedName>
    <definedName name="М_49">[60]К.С.М.!$P$64</definedName>
    <definedName name="М_4д" localSheetId="0">#REF!</definedName>
    <definedName name="М_4д">#REF!</definedName>
    <definedName name="М_5" localSheetId="0">#REF!</definedName>
    <definedName name="М_5">#REF!</definedName>
    <definedName name="М_50" localSheetId="0">#REF!</definedName>
    <definedName name="М_50">#REF!</definedName>
    <definedName name="М_51" localSheetId="0">#REF!</definedName>
    <definedName name="М_51">#REF!</definedName>
    <definedName name="М_52" localSheetId="0">#REF!</definedName>
    <definedName name="М_52">#REF!</definedName>
    <definedName name="М_522" localSheetId="0">[27]К.С.М.!#REF!</definedName>
    <definedName name="М_522">[27]К.С.М.!#REF!</definedName>
    <definedName name="М_53">[60]К.С.М.!$P$68</definedName>
    <definedName name="М_54" localSheetId="0">#REF!</definedName>
    <definedName name="М_54">#REF!</definedName>
    <definedName name="М_55" localSheetId="0">[67]К.С.М.!#REF!</definedName>
    <definedName name="М_55">[67]К.С.М.!#REF!</definedName>
    <definedName name="М_57" localSheetId="0">#REF!</definedName>
    <definedName name="М_57">#REF!</definedName>
    <definedName name="М_577" localSheetId="0">#REF!</definedName>
    <definedName name="М_577">#REF!</definedName>
    <definedName name="М_6" localSheetId="0">#REF!</definedName>
    <definedName name="М_6">#REF!</definedName>
    <definedName name="М_60" localSheetId="0">[67]К.С.М.!#REF!</definedName>
    <definedName name="М_60">[67]К.С.М.!#REF!</definedName>
    <definedName name="М_61" localSheetId="0">#REF!</definedName>
    <definedName name="М_61">#REF!</definedName>
    <definedName name="М_62" localSheetId="0">#REF!</definedName>
    <definedName name="М_62">#REF!</definedName>
    <definedName name="М_63" localSheetId="0">'[58]К.С.М. (ПУТ)'!#REF!</definedName>
    <definedName name="М_63">'[58]К.С.М. (ПУТ)'!#REF!</definedName>
    <definedName name="М_64">[65]К.С.М.!$P$78</definedName>
    <definedName name="М_65" localSheetId="0">[44]К.С.М.!#REF!</definedName>
    <definedName name="М_65">[44]К.С.М.!#REF!</definedName>
    <definedName name="М_69" localSheetId="0">[44]К.С.М.!#REF!</definedName>
    <definedName name="М_69">[44]К.С.М.!#REF!</definedName>
    <definedName name="М_7" localSheetId="0">#REF!</definedName>
    <definedName name="М_7">#REF!</definedName>
    <definedName name="М_70" localSheetId="0">#REF!</definedName>
    <definedName name="М_70">#REF!</definedName>
    <definedName name="М_71" localSheetId="0">#REF!</definedName>
    <definedName name="М_71">#REF!</definedName>
    <definedName name="М_72" localSheetId="0">#REF!</definedName>
    <definedName name="М_72">#REF!</definedName>
    <definedName name="М_73" localSheetId="0">[44]К.С.М.!#REF!</definedName>
    <definedName name="М_73">[44]К.С.М.!#REF!</definedName>
    <definedName name="М_74" localSheetId="0">#REF!</definedName>
    <definedName name="М_74">#REF!</definedName>
    <definedName name="М_75" localSheetId="0">'[58]К.С.М. (ПУТ)'!#REF!</definedName>
    <definedName name="М_75">'[58]К.С.М. (ПУТ)'!#REF!</definedName>
    <definedName name="М_77" localSheetId="0">#REF!</definedName>
    <definedName name="М_77">#REF!</definedName>
    <definedName name="М_771" localSheetId="0">#REF!</definedName>
    <definedName name="М_771">#REF!</definedName>
    <definedName name="М_78" localSheetId="0">[67]К.С.М.!#REF!</definedName>
    <definedName name="М_78">[67]К.С.М.!#REF!</definedName>
    <definedName name="М_79" localSheetId="0">#REF!</definedName>
    <definedName name="М_79">#REF!</definedName>
    <definedName name="М_80">[60]К.С.М.!$P$83</definedName>
    <definedName name="М_81" localSheetId="0">#REF!</definedName>
    <definedName name="М_81">#REF!</definedName>
    <definedName name="М_83" localSheetId="0">#REF!</definedName>
    <definedName name="М_83">#REF!</definedName>
    <definedName name="М_84">[60]К.С.М.!$P$87</definedName>
    <definedName name="М_85" localSheetId="0">#REF!</definedName>
    <definedName name="М_85">#REF!</definedName>
    <definedName name="М_86" localSheetId="0">'[58]К.С.М. (ПУТ)'!#REF!</definedName>
    <definedName name="М_86">'[58]К.С.М. (ПУТ)'!#REF!</definedName>
    <definedName name="М_87" localSheetId="0">#REF!</definedName>
    <definedName name="М_87">#REF!</definedName>
    <definedName name="М_88">[60]К.С.М.!$P$91</definedName>
    <definedName name="М_89" localSheetId="0">#REF!</definedName>
    <definedName name="М_89">#REF!</definedName>
    <definedName name="М_9" localSheetId="0">#REF!</definedName>
    <definedName name="М_9">#REF!</definedName>
    <definedName name="М_91" localSheetId="0">'[58]К.С.М. (ПУТ)'!#REF!</definedName>
    <definedName name="М_91">'[58]К.С.М. (ПУТ)'!#REF!</definedName>
    <definedName name="М_93" localSheetId="0">#REF!</definedName>
    <definedName name="М_93">#REF!</definedName>
    <definedName name="М_97" localSheetId="0">#REF!</definedName>
    <definedName name="М_97">#REF!</definedName>
    <definedName name="М12" localSheetId="0">#REF!</definedName>
    <definedName name="М12">#REF!</definedName>
    <definedName name="май">[41]Лист1!$C$936:$H$1175</definedName>
    <definedName name="маша" hidden="1">{#N/A,#N/A,TRUE,"Сводка балансов"}</definedName>
    <definedName name="метро" hidden="1">{#N/A,#N/A,TRUE,"Сводка балансов"}</definedName>
    <definedName name="ми" localSheetId="0">[37]Лист1!#REF!</definedName>
    <definedName name="ми">[37]Лист1!#REF!</definedName>
    <definedName name="миииииииии" localSheetId="0">#REF!</definedName>
    <definedName name="миииииииии">#REF!</definedName>
    <definedName name="митьбьотрипма" localSheetId="0">#REF!</definedName>
    <definedName name="митьбьотрипма">#REF!</definedName>
    <definedName name="млол" localSheetId="0">#REF!</definedName>
    <definedName name="млол">#REF!</definedName>
    <definedName name="мм" localSheetId="0">#REF!</definedName>
    <definedName name="мм">#REF!</definedName>
    <definedName name="мо" localSheetId="0">#REF!</definedName>
    <definedName name="мо">#REF!</definedName>
    <definedName name="монтаж" localSheetId="0">#REF!</definedName>
    <definedName name="монтаж">#REF!</definedName>
    <definedName name="мост" localSheetId="0">#REF!</definedName>
    <definedName name="мост">#REF!</definedName>
    <definedName name="мп">'[38]C.с '!$D$21</definedName>
    <definedName name="н" localSheetId="0">#REF!</definedName>
    <definedName name="н">#REF!</definedName>
    <definedName name="Названия">'[46]КС-3'!$N$3:$N$3</definedName>
    <definedName name="Наименование_объекта" localSheetId="0">#REF!</definedName>
    <definedName name="Наименование_объекта">#REF!</definedName>
    <definedName name="Накладные_расходы_1" localSheetId="0">#REF!</definedName>
    <definedName name="Накладные_расходы_1">#REF!</definedName>
    <definedName name="Накладные_расходы_2" localSheetId="0">#REF!</definedName>
    <definedName name="Накладные_расходы_2">#REF!</definedName>
    <definedName name="налпольз" localSheetId="0">#REF!</definedName>
    <definedName name="налпольз">#REF!</definedName>
    <definedName name="Ндевицк_крА" localSheetId="0">#REF!</definedName>
    <definedName name="Ндевицк_крА">#REF!</definedName>
    <definedName name="Ндевицк_крБ" localSheetId="0">#REF!</definedName>
    <definedName name="Ндевицк_крБ">#REF!</definedName>
    <definedName name="Ндевицк_крВ" localSheetId="0">#REF!</definedName>
    <definedName name="Ндевицк_крВ">#REF!</definedName>
    <definedName name="Ндевицк_крГ" localSheetId="0">#REF!</definedName>
    <definedName name="Ндевицк_крГ">#REF!</definedName>
    <definedName name="Ндевицк_крД" localSheetId="0">#REF!</definedName>
    <definedName name="Ндевицк_крД">#REF!</definedName>
    <definedName name="Ндевицк_крЕ" localSheetId="0">#REF!</definedName>
    <definedName name="Ндевицк_крЕ">#REF!</definedName>
    <definedName name="Ндевицк_крЖ" localSheetId="0">#REF!</definedName>
    <definedName name="Ндевицк_крЖ">#REF!</definedName>
    <definedName name="НДС">'[46]КС-3'!$J$1</definedName>
    <definedName name="не" localSheetId="0">[37]Лист1!#REF!</definedName>
    <definedName name="не">[37]Лист1!#REF!</definedName>
    <definedName name="неет" localSheetId="0">#REF!</definedName>
    <definedName name="неет">#REF!</definedName>
    <definedName name="неошл" localSheetId="0">#REF!</definedName>
    <definedName name="неошл">#REF!</definedName>
    <definedName name="нет" localSheetId="0">#REF!</definedName>
    <definedName name="нет">#REF!</definedName>
    <definedName name="нн45ни" localSheetId="0">#REF!</definedName>
    <definedName name="нн45ни">#REF!</definedName>
    <definedName name="ннннннннннннн" localSheetId="0">#REF!</definedName>
    <definedName name="ннннннннннннн">#REF!</definedName>
    <definedName name="нннннннннннннннннннннннннннннннн" localSheetId="0">#REF!</definedName>
    <definedName name="нннннннннннннннннннннннннннннннн">#REF!</definedName>
    <definedName name="нннннннннннт" localSheetId="0">#REF!</definedName>
    <definedName name="нннннннннннт">#REF!</definedName>
    <definedName name="ноооооооооооооооооооо" localSheetId="0">#REF!</definedName>
    <definedName name="ноооооооооооооооооооо">#REF!</definedName>
    <definedName name="нрогнлгн" localSheetId="0">[68]Лист1!#REF!</definedName>
    <definedName name="нрогнлгн">[68]Лист1!#REF!</definedName>
    <definedName name="НТС">[49]Лист1!$M$138</definedName>
    <definedName name="НУ">'[56]КС-3'!$N$3:$N$3</definedName>
    <definedName name="Нусмань_крА" localSheetId="0">#REF!</definedName>
    <definedName name="Нусмань_крА">#REF!</definedName>
    <definedName name="Нусмань_крБ" localSheetId="0">#REF!</definedName>
    <definedName name="Нусмань_крБ">#REF!</definedName>
    <definedName name="Нусмань_крВ" localSheetId="0">#REF!</definedName>
    <definedName name="Нусмань_крВ">#REF!</definedName>
    <definedName name="Нусмань_крГ" localSheetId="0">#REF!</definedName>
    <definedName name="Нусмань_крГ">#REF!</definedName>
    <definedName name="Нусмань_крД" localSheetId="0">#REF!</definedName>
    <definedName name="Нусмань_крД">#REF!</definedName>
    <definedName name="Нусмань_крЕ" localSheetId="0">#REF!</definedName>
    <definedName name="Нусмань_крЕ">#REF!</definedName>
    <definedName name="Нусмань_крЖ" localSheetId="0">#REF!</definedName>
    <definedName name="Нусмань_крЖ">#REF!</definedName>
    <definedName name="Нхопер_крА" localSheetId="0">#REF!</definedName>
    <definedName name="Нхопер_крА">#REF!</definedName>
    <definedName name="Нхопер_крБ" localSheetId="0">#REF!</definedName>
    <definedName name="Нхопер_крБ">#REF!</definedName>
    <definedName name="Нхопер_крВ" localSheetId="0">#REF!</definedName>
    <definedName name="Нхопер_крВ">#REF!</definedName>
    <definedName name="Нхопер_крГ" localSheetId="0">#REF!</definedName>
    <definedName name="Нхопер_крГ">#REF!</definedName>
    <definedName name="Нхопер_крД" localSheetId="0">#REF!</definedName>
    <definedName name="Нхопер_крД">#REF!</definedName>
    <definedName name="Нхопер_крЕ" localSheetId="0">#REF!</definedName>
    <definedName name="Нхопер_крЕ">#REF!</definedName>
    <definedName name="Нхопер_крЖ" localSheetId="0">#REF!</definedName>
    <definedName name="Нхопер_крЖ">#REF!</definedName>
    <definedName name="о" localSheetId="0">#REF!</definedName>
    <definedName name="о">#REF!</definedName>
    <definedName name="О_1" localSheetId="0">#REF!</definedName>
    <definedName name="О_1">#REF!</definedName>
    <definedName name="об">'[38]C.с '!$F$36</definedName>
    <definedName name="обл" localSheetId="0">#REF!</definedName>
    <definedName name="обл">#REF!</definedName>
    <definedName name="_xlnm.Print_Area" localSheetId="3">'1_6.1'!$A$1:$L$195</definedName>
    <definedName name="_xlnm.Print_Area" localSheetId="4">'2_6.2'!$A$1:$L$178</definedName>
    <definedName name="_xlnm.Print_Area" localSheetId="5">'3_6.4'!$A$1:$L$162</definedName>
    <definedName name="_xlnm.Print_Area" localSheetId="6">'4_6.5'!$A$1:$L$79</definedName>
    <definedName name="_xlnm.Print_Area" localSheetId="7">'5_6.6'!$A$1:$L$89</definedName>
    <definedName name="_xlnm.Print_Area" localSheetId="8">'6_6.7'!$A$1:$L$186</definedName>
    <definedName name="_xlnm.Print_Area" localSheetId="9">'7_6.8'!$A$1:$L$515</definedName>
    <definedName name="_xlnm.Print_Area" localSheetId="10">'8_6.9'!$A$1:$L$221</definedName>
    <definedName name="_xlnm.Print_Area" localSheetId="2">'КС-3'!$A$1:$H$79</definedName>
    <definedName name="_xlnm.Print_Area" localSheetId="0">'Реестр (2)'!$A$1:$X$33</definedName>
    <definedName name="_xlnm.Print_Area">#REF!</definedName>
    <definedName name="обс" localSheetId="0">#REF!</definedName>
    <definedName name="обс">#REF!</definedName>
    <definedName name="обсл" localSheetId="0">#REF!</definedName>
    <definedName name="обсл">#REF!</definedName>
    <definedName name="обслуга" localSheetId="0">#REF!</definedName>
    <definedName name="обслуга">#REF!</definedName>
    <definedName name="обслуж" localSheetId="0">#REF!</definedName>
    <definedName name="обслуж">#REF!</definedName>
    <definedName name="Объездн.дор.">'[40]Объездные дороги'!$AJ$41</definedName>
    <definedName name="объем" localSheetId="0">#REF!</definedName>
    <definedName name="объем">#REF!</definedName>
    <definedName name="оз" localSheetId="0">#REF!</definedName>
    <definedName name="оз">#REF!</definedName>
    <definedName name="Озел.">[40]Озеленение!$AJ$40</definedName>
    <definedName name="окно.б." localSheetId="0">#REF!</definedName>
    <definedName name="окно.б.">#REF!</definedName>
    <definedName name="ол" localSheetId="0">#REF!</definedName>
    <definedName name="ол">#REF!</definedName>
    <definedName name="ОЛЖОЛЖО" localSheetId="0">#REF!</definedName>
    <definedName name="ОЛЖОЛЖО">#REF!</definedName>
    <definedName name="ололо" localSheetId="0">#REF!</definedName>
    <definedName name="ололо">#REF!</definedName>
    <definedName name="ольхов_крА" localSheetId="0">#REF!</definedName>
    <definedName name="ольхов_крА">#REF!</definedName>
    <definedName name="ольхов_крБ" localSheetId="0">#REF!</definedName>
    <definedName name="ольхов_крБ">#REF!</definedName>
    <definedName name="ольхов_крВ" localSheetId="0">#REF!</definedName>
    <definedName name="ольхов_крВ">#REF!</definedName>
    <definedName name="ольхов_крГ" localSheetId="0">#REF!</definedName>
    <definedName name="ольхов_крГ">#REF!</definedName>
    <definedName name="ольхов_крД" localSheetId="0">#REF!</definedName>
    <definedName name="ольхов_крД">#REF!</definedName>
    <definedName name="ольхов_крЕ" localSheetId="0">#REF!</definedName>
    <definedName name="ольхов_крЕ">#REF!</definedName>
    <definedName name="ольхов_крЖ" localSheetId="0">#REF!</definedName>
    <definedName name="ольхов_крЖ">#REF!</definedName>
    <definedName name="оо" localSheetId="0">#REF!</definedName>
    <definedName name="оо">#REF!</definedName>
    <definedName name="ооо" localSheetId="0">#REF!</definedName>
    <definedName name="ооо">#REF!</definedName>
    <definedName name="оооо" localSheetId="0">#REF!</definedName>
    <definedName name="оооо">#REF!</definedName>
    <definedName name="ооооо" localSheetId="0">#REF!</definedName>
    <definedName name="ооооо">#REF!</definedName>
    <definedName name="оооооо" localSheetId="0">#REF!</definedName>
    <definedName name="оооооо">#REF!</definedName>
    <definedName name="ОП1" localSheetId="0">#REF!</definedName>
    <definedName name="ОП1">#REF!</definedName>
    <definedName name="ор" localSheetId="0">'[44]C.с '!#REF!</definedName>
    <definedName name="ор">'[44]C.с '!#REF!</definedName>
    <definedName name="орпророо" localSheetId="0">#REF!</definedName>
    <definedName name="орпророо">#REF!</definedName>
    <definedName name="орь" localSheetId="0">#REF!</definedName>
    <definedName name="орь">#REF!</definedName>
    <definedName name="острог_крА" localSheetId="0">#REF!</definedName>
    <definedName name="острог_крА">#REF!</definedName>
    <definedName name="острог_крБ" localSheetId="0">#REF!</definedName>
    <definedName name="острог_крБ">#REF!</definedName>
    <definedName name="острог_крВ" localSheetId="0">#REF!</definedName>
    <definedName name="острог_крВ">#REF!</definedName>
    <definedName name="острог_крГ" localSheetId="0">#REF!</definedName>
    <definedName name="острог_крГ">#REF!</definedName>
    <definedName name="острог_крД" localSheetId="0">#REF!</definedName>
    <definedName name="острог_крД">#REF!</definedName>
    <definedName name="острог_крЕ" localSheetId="0">#REF!</definedName>
    <definedName name="острог_крЕ">#REF!</definedName>
    <definedName name="острог_крЖ" localSheetId="0">#REF!</definedName>
    <definedName name="острог_крЖ">#REF!</definedName>
    <definedName name="Отделы" localSheetId="0">#REF!</definedName>
    <definedName name="Отделы">#REF!</definedName>
    <definedName name="Оформл.отвода">'[40] Подготовительные работы'!$AJ$20</definedName>
    <definedName name="охот_клуб" hidden="1">{#N/A,#N/A,TRUE,"Сводка балансов"}</definedName>
    <definedName name="охр" localSheetId="0">#REF!</definedName>
    <definedName name="охр">#REF!</definedName>
    <definedName name="охрана" localSheetId="0">#REF!</definedName>
    <definedName name="охрана">#REF!</definedName>
    <definedName name="охрана2" localSheetId="0">#REF!</definedName>
    <definedName name="охрана2">#REF!</definedName>
    <definedName name="п" localSheetId="0">#REF!</definedName>
    <definedName name="п">#REF!</definedName>
    <definedName name="П_1" localSheetId="0">#REF!</definedName>
    <definedName name="П_1">#REF!</definedName>
    <definedName name="П1" localSheetId="0">#REF!</definedName>
    <definedName name="П1">#REF!</definedName>
    <definedName name="паапа" localSheetId="0">#REF!</definedName>
    <definedName name="паапа">#REF!</definedName>
    <definedName name="павлов_крА" localSheetId="0">#REF!</definedName>
    <definedName name="павлов_крА">#REF!</definedName>
    <definedName name="павлов_крБ" localSheetId="0">#REF!</definedName>
    <definedName name="павлов_крБ">#REF!</definedName>
    <definedName name="павлов_крВ" localSheetId="0">#REF!</definedName>
    <definedName name="павлов_крВ">#REF!</definedName>
    <definedName name="павлов_крГ" localSheetId="0">#REF!</definedName>
    <definedName name="павлов_крГ">#REF!</definedName>
    <definedName name="павлов_крД" localSheetId="0">#REF!</definedName>
    <definedName name="павлов_крД">#REF!</definedName>
    <definedName name="павлов_крЕ" localSheetId="0">#REF!</definedName>
    <definedName name="павлов_крЕ">#REF!</definedName>
    <definedName name="павлов_крЖ" localSheetId="0">#REF!</definedName>
    <definedName name="павлов_крЖ">#REF!</definedName>
    <definedName name="павод" localSheetId="0">#REF!</definedName>
    <definedName name="павод">#REF!</definedName>
    <definedName name="панино_крА" localSheetId="0">#REF!</definedName>
    <definedName name="панино_крА">#REF!</definedName>
    <definedName name="панино_крБ" localSheetId="0">#REF!</definedName>
    <definedName name="панино_крБ">#REF!</definedName>
    <definedName name="панино_крВ" localSheetId="0">#REF!</definedName>
    <definedName name="панино_крВ">#REF!</definedName>
    <definedName name="панино_крГ" localSheetId="0">#REF!</definedName>
    <definedName name="панино_крГ">#REF!</definedName>
    <definedName name="панино_крД" localSheetId="0">#REF!</definedName>
    <definedName name="панино_крД">#REF!</definedName>
    <definedName name="панино_крЕ" localSheetId="0">#REF!</definedName>
    <definedName name="панино_крЕ">#REF!</definedName>
    <definedName name="панино_крЖ" localSheetId="0">#REF!</definedName>
    <definedName name="панино_крЖ">#REF!</definedName>
    <definedName name="ПАПАИПАПА" localSheetId="0">#REF!</definedName>
    <definedName name="ПАПАИПАПА">#REF!</definedName>
    <definedName name="папап" localSheetId="0">#REF!</definedName>
    <definedName name="папап">#REF!</definedName>
    <definedName name="папвуу" localSheetId="0">#REF!</definedName>
    <definedName name="папвуу">#REF!</definedName>
    <definedName name="пар" localSheetId="0">#REF!</definedName>
    <definedName name="пар">#REF!</definedName>
    <definedName name="параша" hidden="1">{#N/A,#N/A,TRUE,"Сводка балансов"}</definedName>
    <definedName name="партия2" localSheetId="0">#REF!</definedName>
    <definedName name="партия2">#REF!</definedName>
    <definedName name="паша" hidden="1">{#N/A,#N/A,TRUE,"Сводка балансов"}</definedName>
    <definedName name="пв" localSheetId="0">[37]Лист1!#REF!</definedName>
    <definedName name="пв">[37]Лист1!#REF!</definedName>
    <definedName name="пд">[48]C.с!$D$123</definedName>
    <definedName name="перевозка" localSheetId="0">#REF!</definedName>
    <definedName name="перевозка">#REF!</definedName>
    <definedName name="Пересеч.">'[40]Пересечения и примыкания'!$AJ$58</definedName>
    <definedName name="петроп_крА" localSheetId="0">#REF!</definedName>
    <definedName name="петроп_крА">#REF!</definedName>
    <definedName name="петроп_крБ" localSheetId="0">#REF!</definedName>
    <definedName name="петроп_крБ">#REF!</definedName>
    <definedName name="петроп_крВ" localSheetId="0">#REF!</definedName>
    <definedName name="петроп_крВ">#REF!</definedName>
    <definedName name="петроп_крГ" localSheetId="0">#REF!</definedName>
    <definedName name="петроп_крГ">#REF!</definedName>
    <definedName name="петроп_крД" localSheetId="0">#REF!</definedName>
    <definedName name="петроп_крД">#REF!</definedName>
    <definedName name="петроп_крЕ" localSheetId="0">#REF!</definedName>
    <definedName name="петроп_крЕ">#REF!</definedName>
    <definedName name="петроп_крЖ" localSheetId="0">#REF!</definedName>
    <definedName name="петроп_крЖ">#REF!</definedName>
    <definedName name="пеш" localSheetId="0">#REF!</definedName>
    <definedName name="пеш">#REF!</definedName>
    <definedName name="Пеш.дорожки">'[40]Обстановка дороги'!$AJ$66</definedName>
    <definedName name="ПИР">[69]ПИР!$F$20</definedName>
    <definedName name="пкапв" localSheetId="0">#REF!</definedName>
    <definedName name="пкапв">#REF!</definedName>
    <definedName name="пквпппппппппппп" localSheetId="0">#REF!</definedName>
    <definedName name="пквпппппппппппп">#REF!</definedName>
    <definedName name="плрайдшогкуп" localSheetId="0">#REF!</definedName>
    <definedName name="плрайдшогкуп">#REF!</definedName>
    <definedName name="плс" localSheetId="0">'[44]C.с '!#REF!</definedName>
    <definedName name="плс">'[44]C.с '!#REF!</definedName>
    <definedName name="пм">[48]C.с!$D$39</definedName>
    <definedName name="пмрпрпрр" localSheetId="0">#REF!</definedName>
    <definedName name="пмрпрпрр">#REF!</definedName>
    <definedName name="ПНР" localSheetId="0">#REF!,#REF!,#REF!,#REF!,#REF!,#REF!,#REF!</definedName>
    <definedName name="ПНР">#REF!,#REF!,#REF!,#REF!,#REF!,#REF!,#REF!</definedName>
    <definedName name="ПНР_О_И" localSheetId="0">#REF!,#REF!,#REF!,#REF!,#REF!,#REF!,#REF!</definedName>
    <definedName name="ПНР_О_И">#REF!,#REF!,#REF!,#REF!,#REF!,#REF!,#REF!</definedName>
    <definedName name="повор_крА" localSheetId="0">#REF!</definedName>
    <definedName name="повор_крА">#REF!</definedName>
    <definedName name="повор_крБ" localSheetId="0">#REF!</definedName>
    <definedName name="повор_крБ">#REF!</definedName>
    <definedName name="повор_крВ" localSheetId="0">#REF!</definedName>
    <definedName name="повор_крВ">#REF!</definedName>
    <definedName name="повор_крГ" localSheetId="0">#REF!</definedName>
    <definedName name="повор_крГ">#REF!</definedName>
    <definedName name="повор_крД" localSheetId="0">#REF!</definedName>
    <definedName name="повор_крД">#REF!</definedName>
    <definedName name="повор_крЕ" localSheetId="0">#REF!</definedName>
    <definedName name="повор_крЕ">#REF!</definedName>
    <definedName name="повор_крЖ" localSheetId="0">#REF!</definedName>
    <definedName name="повор_крЖ">#REF!</definedName>
    <definedName name="под" localSheetId="0">#REF!</definedName>
    <definedName name="под">#REF!</definedName>
    <definedName name="подгор_крА" localSheetId="0">#REF!</definedName>
    <definedName name="подгор_крА">#REF!</definedName>
    <definedName name="подгор_крБ" localSheetId="0">#REF!</definedName>
    <definedName name="подгор_крБ">#REF!</definedName>
    <definedName name="подгор_крВ" localSheetId="0">#REF!</definedName>
    <definedName name="подгор_крВ">#REF!</definedName>
    <definedName name="подгор_крГ" localSheetId="0">#REF!</definedName>
    <definedName name="подгор_крГ">#REF!</definedName>
    <definedName name="подгор_крД" localSheetId="0">#REF!</definedName>
    <definedName name="подгор_крД">#REF!</definedName>
    <definedName name="подгор_крЕ" localSheetId="0">#REF!</definedName>
    <definedName name="подгор_крЕ">#REF!</definedName>
    <definedName name="подгор_крЖ" localSheetId="0">#REF!</definedName>
    <definedName name="подгор_крЖ">#REF!</definedName>
    <definedName name="пожар" localSheetId="0">#REF!</definedName>
    <definedName name="пожар">#REF!</definedName>
    <definedName name="понпш" localSheetId="0">#REF!</definedName>
    <definedName name="понпш">#REF!</definedName>
    <definedName name="попопоппп" localSheetId="0">#REF!</definedName>
    <definedName name="попопоппп">#REF!</definedName>
    <definedName name="пор" localSheetId="0">#REF!</definedName>
    <definedName name="пор">#REF!</definedName>
    <definedName name="ПОРЛ" localSheetId="0">#REF!</definedName>
    <definedName name="ПОРЛ">#REF!</definedName>
    <definedName name="Посад.площ.">'[40]Обстановка дороги'!$AJ$121</definedName>
    <definedName name="пп" localSheetId="0">#REF!</definedName>
    <definedName name="пп">#REF!</definedName>
    <definedName name="ппп" localSheetId="0">#REF!</definedName>
    <definedName name="ппп">#REF!</definedName>
    <definedName name="ппп." localSheetId="0">#REF!</definedName>
    <definedName name="ппп.">#REF!</definedName>
    <definedName name="пппп" localSheetId="0">#REF!</definedName>
    <definedName name="пппп">#REF!</definedName>
    <definedName name="ппппппппппп" localSheetId="0">#REF!</definedName>
    <definedName name="ппппппппппп">#REF!</definedName>
    <definedName name="пппппппппппп" localSheetId="0">#REF!</definedName>
    <definedName name="пппппппппппп">#REF!</definedName>
    <definedName name="ппппппппппппп" localSheetId="0">#REF!</definedName>
    <definedName name="ппппппппппппп">#REF!</definedName>
    <definedName name="пппппппппппппппппппва" localSheetId="0">#REF!</definedName>
    <definedName name="пппппппппппппппппппва">#REF!</definedName>
    <definedName name="ппппппппппппппппппппп" localSheetId="0">#REF!</definedName>
    <definedName name="ппппппппппппппппппппп">#REF!</definedName>
    <definedName name="пппрр" localSheetId="0">#REF!</definedName>
    <definedName name="пппрр">#REF!</definedName>
    <definedName name="пр">'[38]C.с '!$D$69</definedName>
    <definedName name="пр1">[16]C.с!$E$58</definedName>
    <definedName name="преапреапрар" localSheetId="0">#REF!</definedName>
    <definedName name="преапреапрар">#REF!</definedName>
    <definedName name="прно">[70]Лист1!$A$316:$O$318</definedName>
    <definedName name="про" localSheetId="0">[36]Лист1!#REF!</definedName>
    <definedName name="про">[36]Лист1!#REF!</definedName>
    <definedName name="проект" localSheetId="0">#REF!</definedName>
    <definedName name="проект">#REF!</definedName>
    <definedName name="прол">'[39]C.с  (2)'!$I$80</definedName>
    <definedName name="пролл" localSheetId="0">#REF!</definedName>
    <definedName name="пролл">#REF!</definedName>
    <definedName name="ПРОТОКОЛ_ИТОГИ_БНДС">'[49]Протокол ДЦ'!$E$11,'[49]Протокол ДЦ'!$E$22</definedName>
    <definedName name="прп" localSheetId="0">#REF!</definedName>
    <definedName name="прп">#REF!</definedName>
    <definedName name="ПРППОРЛОРЛО" localSheetId="0">#REF!</definedName>
    <definedName name="ПРППОРЛОРЛО">#REF!</definedName>
    <definedName name="прпр.эж" localSheetId="0">#REF!</definedName>
    <definedName name="прпр.эж">#REF!</definedName>
    <definedName name="ПРПРП" localSheetId="0">#REF!</definedName>
    <definedName name="ПРПРП">#REF!</definedName>
    <definedName name="прпрпрп" localSheetId="0">#REF!</definedName>
    <definedName name="прпрпрп">#REF!</definedName>
    <definedName name="ПРРР" localSheetId="0">#REF!</definedName>
    <definedName name="ПРРР">#REF!</definedName>
    <definedName name="прррррррр" localSheetId="0">#REF!</definedName>
    <definedName name="прррррррр">#REF!</definedName>
    <definedName name="р" localSheetId="0">#REF!</definedName>
    <definedName name="р">#REF!</definedName>
    <definedName name="Р_01">[6]Фм!$H$17</definedName>
    <definedName name="Р_02">[6]Фм!$H$22</definedName>
    <definedName name="Р_1" localSheetId="0">#REF!</definedName>
    <definedName name="Р_1">#REF!</definedName>
    <definedName name="Р_10" localSheetId="0">#REF!</definedName>
    <definedName name="Р_10">#REF!</definedName>
    <definedName name="Р_100" localSheetId="0">[20]Ф!#REF!</definedName>
    <definedName name="Р_100">[20]Ф!#REF!</definedName>
    <definedName name="Р_101" localSheetId="0">#REF!</definedName>
    <definedName name="Р_101">#REF!</definedName>
    <definedName name="Р_11" localSheetId="0">#REF!</definedName>
    <definedName name="Р_11">#REF!</definedName>
    <definedName name="Р_111" localSheetId="0">[27]Ф!#REF!</definedName>
    <definedName name="Р_111">[27]Ф!#REF!</definedName>
    <definedName name="Р_11а" localSheetId="0">[13]Ф!#REF!</definedName>
    <definedName name="Р_11а">[13]Ф!#REF!</definedName>
    <definedName name="Р_13" localSheetId="0">#REF!</definedName>
    <definedName name="Р_13">#REF!</definedName>
    <definedName name="Р_14" localSheetId="0">#REF!</definedName>
    <definedName name="Р_14">#REF!</definedName>
    <definedName name="Р_15" localSheetId="0">[71]Ф!#REF!</definedName>
    <definedName name="Р_15">[71]Ф!#REF!</definedName>
    <definedName name="Р_150" localSheetId="0">[13]Ф!#REF!</definedName>
    <definedName name="Р_150">[13]Ф!#REF!</definedName>
    <definedName name="Р_151" localSheetId="0">#REF!</definedName>
    <definedName name="Р_151">#REF!</definedName>
    <definedName name="Р_152" localSheetId="0">#REF!</definedName>
    <definedName name="Р_152">#REF!</definedName>
    <definedName name="Р_153" localSheetId="0">#REF!</definedName>
    <definedName name="Р_153">#REF!</definedName>
    <definedName name="Р_154" localSheetId="0">#REF!</definedName>
    <definedName name="Р_154">#REF!</definedName>
    <definedName name="Р_15а" localSheetId="0">[20]Ф!#REF!</definedName>
    <definedName name="Р_15а">[20]Ф!#REF!</definedName>
    <definedName name="Р_16" localSheetId="0">#REF!</definedName>
    <definedName name="Р_16">#REF!</definedName>
    <definedName name="Р_17" localSheetId="0">[71]Ф!#REF!</definedName>
    <definedName name="Р_17">[71]Ф!#REF!</definedName>
    <definedName name="Р_17а" localSheetId="0">[20]Ф!#REF!</definedName>
    <definedName name="Р_17а">[20]Ф!#REF!</definedName>
    <definedName name="Р_18" localSheetId="0">[61]Ф!#REF!</definedName>
    <definedName name="Р_18">[61]Ф!#REF!</definedName>
    <definedName name="Р_19" localSheetId="0">#REF!</definedName>
    <definedName name="Р_19">#REF!</definedName>
    <definedName name="Р_190" localSheetId="0">#REF!</definedName>
    <definedName name="Р_190">#REF!</definedName>
    <definedName name="Р_2" localSheetId="0">#REF!</definedName>
    <definedName name="Р_2">#REF!</definedName>
    <definedName name="Р_20" localSheetId="0">#REF!</definedName>
    <definedName name="Р_20">#REF!</definedName>
    <definedName name="Р_21" localSheetId="0">#REF!</definedName>
    <definedName name="Р_21">#REF!</definedName>
    <definedName name="Р_210" localSheetId="0">#REF!</definedName>
    <definedName name="Р_210">#REF!</definedName>
    <definedName name="Р_211" localSheetId="0">[12]Ф!#REF!</definedName>
    <definedName name="Р_211">[12]Ф!#REF!</definedName>
    <definedName name="Р_211а" localSheetId="0">[12]Ф!#REF!</definedName>
    <definedName name="Р_211а">[12]Ф!#REF!</definedName>
    <definedName name="Р_212" localSheetId="0">[12]Ф!#REF!</definedName>
    <definedName name="Р_212">[12]Ф!#REF!</definedName>
    <definedName name="Р_22" localSheetId="0">#REF!</definedName>
    <definedName name="Р_22">#REF!</definedName>
    <definedName name="Р_23" localSheetId="0">#REF!</definedName>
    <definedName name="Р_23">#REF!</definedName>
    <definedName name="Р_233" localSheetId="0">#REF!</definedName>
    <definedName name="Р_233">#REF!</definedName>
    <definedName name="Р_24" localSheetId="0">#REF!</definedName>
    <definedName name="Р_24">#REF!</definedName>
    <definedName name="Р_241" localSheetId="0">#REF!</definedName>
    <definedName name="Р_241">#REF!</definedName>
    <definedName name="Р_25" localSheetId="0">#REF!</definedName>
    <definedName name="Р_25">#REF!</definedName>
    <definedName name="Р_26" localSheetId="0">#REF!</definedName>
    <definedName name="Р_26">#REF!</definedName>
    <definedName name="Р_29" localSheetId="0">#REF!</definedName>
    <definedName name="Р_29">#REF!</definedName>
    <definedName name="Р_3" localSheetId="0">#REF!</definedName>
    <definedName name="Р_3">#REF!</definedName>
    <definedName name="Р_300" localSheetId="0">#REF!</definedName>
    <definedName name="Р_300">#REF!</definedName>
    <definedName name="Р_301" localSheetId="0">#REF!</definedName>
    <definedName name="Р_301">#REF!</definedName>
    <definedName name="Р_31" localSheetId="0">[67]Ф!#REF!</definedName>
    <definedName name="Р_31">[67]Ф!#REF!</definedName>
    <definedName name="Р_311" localSheetId="0">#REF!</definedName>
    <definedName name="Р_311">#REF!</definedName>
    <definedName name="Р_32" localSheetId="0">[71]Ф!#REF!</definedName>
    <definedName name="Р_32">[71]Ф!#REF!</definedName>
    <definedName name="Р_33" localSheetId="0">#REF!</definedName>
    <definedName name="Р_33">#REF!</definedName>
    <definedName name="Р_333" localSheetId="0">#REF!</definedName>
    <definedName name="Р_333">#REF!</definedName>
    <definedName name="Р_34" localSheetId="0">[67]Ф!#REF!</definedName>
    <definedName name="Р_34">[67]Ф!#REF!</definedName>
    <definedName name="Р_35" localSheetId="0">[71]Ф!#REF!</definedName>
    <definedName name="Р_35">[71]Ф!#REF!</definedName>
    <definedName name="Р_36" localSheetId="0">#REF!</definedName>
    <definedName name="Р_36">#REF!</definedName>
    <definedName name="Р_37" localSheetId="0">#REF!</definedName>
    <definedName name="Р_37">#REF!</definedName>
    <definedName name="Р_38" localSheetId="0">#REF!</definedName>
    <definedName name="Р_38">#REF!</definedName>
    <definedName name="Р_39">[50]Ф!$H$52</definedName>
    <definedName name="Р_4" localSheetId="0">#REF!</definedName>
    <definedName name="Р_4">#REF!</definedName>
    <definedName name="Р_40" localSheetId="0">#REF!</definedName>
    <definedName name="Р_40">#REF!</definedName>
    <definedName name="Р_401" localSheetId="0">#REF!</definedName>
    <definedName name="Р_401">#REF!</definedName>
    <definedName name="Р_402" localSheetId="0">#REF!</definedName>
    <definedName name="Р_402">#REF!</definedName>
    <definedName name="Р_41">[62]Ф!$H$57</definedName>
    <definedName name="Р_411" localSheetId="0">#REF!</definedName>
    <definedName name="Р_411">#REF!</definedName>
    <definedName name="Р_43" localSheetId="0">[67]Ф!#REF!</definedName>
    <definedName name="Р_43">[67]Ф!#REF!</definedName>
    <definedName name="Р_44" localSheetId="0">[71]Ф!#REF!</definedName>
    <definedName name="Р_44">[71]Ф!#REF!</definedName>
    <definedName name="Р_44а" localSheetId="0">[12]Ф!#REF!</definedName>
    <definedName name="Р_44а">[12]Ф!#REF!</definedName>
    <definedName name="Р_45" localSheetId="0">#REF!</definedName>
    <definedName name="Р_45">#REF!</definedName>
    <definedName name="Р_46" localSheetId="0">#REF!</definedName>
    <definedName name="Р_46">#REF!</definedName>
    <definedName name="Р_47" localSheetId="0">#REF!</definedName>
    <definedName name="Р_47">#REF!</definedName>
    <definedName name="Р_48" localSheetId="0">#REF!</definedName>
    <definedName name="Р_48">#REF!</definedName>
    <definedName name="Р_49" localSheetId="0">[71]Ф!#REF!</definedName>
    <definedName name="Р_49">[71]Ф!#REF!</definedName>
    <definedName name="Р_49а" localSheetId="0">[71]Ф!#REF!</definedName>
    <definedName name="Р_49а">[71]Ф!#REF!</definedName>
    <definedName name="Р_5" localSheetId="0">#REF!</definedName>
    <definedName name="Р_5">#REF!</definedName>
    <definedName name="Р_50" localSheetId="0">#REF!</definedName>
    <definedName name="Р_50">#REF!</definedName>
    <definedName name="Р_51" localSheetId="0">#REF!</definedName>
    <definedName name="Р_51">#REF!</definedName>
    <definedName name="Р_52" localSheetId="0">#REF!</definedName>
    <definedName name="Р_52">#REF!</definedName>
    <definedName name="Р_53" localSheetId="0">[71]Ф!#REF!</definedName>
    <definedName name="Р_53">[71]Ф!#REF!</definedName>
    <definedName name="Р_532" localSheetId="0">[63]Ф!#REF!</definedName>
    <definedName name="Р_532">[63]Ф!#REF!</definedName>
    <definedName name="Р_54" localSheetId="0">#REF!</definedName>
    <definedName name="Р_54">#REF!</definedName>
    <definedName name="Р_55" localSheetId="0">#REF!</definedName>
    <definedName name="Р_55">#REF!</definedName>
    <definedName name="Р_57" localSheetId="0">#REF!</definedName>
    <definedName name="Р_57">#REF!</definedName>
    <definedName name="Р_58" localSheetId="0">#REF!</definedName>
    <definedName name="Р_58">#REF!</definedName>
    <definedName name="Р_59" localSheetId="0">#REF!</definedName>
    <definedName name="Р_59">#REF!</definedName>
    <definedName name="Р_59а" localSheetId="0">[71]Ф!#REF!</definedName>
    <definedName name="Р_59а">[71]Ф!#REF!</definedName>
    <definedName name="Р_6" localSheetId="0">[72]Ф!#REF!</definedName>
    <definedName name="Р_6">[72]Ф!#REF!</definedName>
    <definedName name="Р_60" localSheetId="0">#REF!</definedName>
    <definedName name="Р_60">#REF!</definedName>
    <definedName name="Р_63" localSheetId="0">#REF!</definedName>
    <definedName name="Р_63">#REF!</definedName>
    <definedName name="Р_64" localSheetId="0">#REF!</definedName>
    <definedName name="Р_64">#REF!</definedName>
    <definedName name="Р_68" localSheetId="0">#REF!</definedName>
    <definedName name="Р_68">#REF!</definedName>
    <definedName name="Р_69" localSheetId="0">#REF!</definedName>
    <definedName name="Р_69">#REF!</definedName>
    <definedName name="Р_69а" localSheetId="0">[13]Ф!#REF!</definedName>
    <definedName name="Р_69а">[13]Ф!#REF!</definedName>
    <definedName name="Р_7" localSheetId="0">#REF!</definedName>
    <definedName name="Р_7">#REF!</definedName>
    <definedName name="Р_72" localSheetId="0">#REF!</definedName>
    <definedName name="Р_72">#REF!</definedName>
    <definedName name="Р_720" localSheetId="0">#REF!</definedName>
    <definedName name="Р_720">#REF!</definedName>
    <definedName name="Р_74" localSheetId="0">#REF!</definedName>
    <definedName name="Р_74">#REF!</definedName>
    <definedName name="Р_79" localSheetId="0">#REF!</definedName>
    <definedName name="Р_79">#REF!</definedName>
    <definedName name="Р_790" localSheetId="0">#REF!</definedName>
    <definedName name="Р_790">#REF!</definedName>
    <definedName name="Р_791" localSheetId="0">#REF!</definedName>
    <definedName name="Р_791">#REF!</definedName>
    <definedName name="Р_8" localSheetId="0">#REF!</definedName>
    <definedName name="Р_8">#REF!</definedName>
    <definedName name="Р_83" localSheetId="0">#REF!</definedName>
    <definedName name="Р_83">#REF!</definedName>
    <definedName name="Р_88" localSheetId="0">#REF!</definedName>
    <definedName name="Р_88">#REF!</definedName>
    <definedName name="Р_9" localSheetId="0">#REF!</definedName>
    <definedName name="Р_9">#REF!</definedName>
    <definedName name="Р_900" localSheetId="0">[13]Ф!#REF!</definedName>
    <definedName name="Р_900">[13]Ф!#REF!</definedName>
    <definedName name="Р_901" localSheetId="0">[13]Ф!#REF!</definedName>
    <definedName name="Р_901">[13]Ф!#REF!</definedName>
    <definedName name="Р_9а" localSheetId="0">[13]Ф!#REF!</definedName>
    <definedName name="Р_9а">[13]Ф!#REF!</definedName>
    <definedName name="р1" localSheetId="0">#REF!</definedName>
    <definedName name="р1">#REF!</definedName>
    <definedName name="раа" localSheetId="0">#REF!</definedName>
    <definedName name="раа">#REF!</definedName>
    <definedName name="разборка" localSheetId="0">#REF!</definedName>
    <definedName name="разборка">#REF!</definedName>
    <definedName name="рамонь_крА" localSheetId="0">#REF!</definedName>
    <definedName name="рамонь_крА">#REF!</definedName>
    <definedName name="рамонь_крБ" localSheetId="0">#REF!</definedName>
    <definedName name="рамонь_крБ">#REF!</definedName>
    <definedName name="рамонь_крВ" localSheetId="0">#REF!</definedName>
    <definedName name="рамонь_крВ">#REF!</definedName>
    <definedName name="рамонь_крГ" localSheetId="0">#REF!</definedName>
    <definedName name="рамонь_крГ">#REF!</definedName>
    <definedName name="рамонь_крД" localSheetId="0">#REF!</definedName>
    <definedName name="рамонь_крД">#REF!</definedName>
    <definedName name="рамонь_крЕ" localSheetId="0">#REF!</definedName>
    <definedName name="рамонь_крЕ">#REF!</definedName>
    <definedName name="рамонь_крЖ" localSheetId="0">#REF!</definedName>
    <definedName name="рамонь_крЖ">#REF!</definedName>
    <definedName name="рарарар" localSheetId="0">#REF!</definedName>
    <definedName name="рарарар">#REF!</definedName>
    <definedName name="рвпар" localSheetId="0">#REF!</definedName>
    <definedName name="рвпар">#REF!</definedName>
    <definedName name="регцентр" localSheetId="0">#REF!</definedName>
    <definedName name="регцентр">#REF!</definedName>
    <definedName name="Реес" localSheetId="0">#REF!</definedName>
    <definedName name="Реес">#REF!</definedName>
    <definedName name="реест1" localSheetId="0">#REF!</definedName>
    <definedName name="реест1">#REF!</definedName>
    <definedName name="реестр" localSheetId="0">#REF!</definedName>
    <definedName name="реестр">#REF!</definedName>
    <definedName name="реестр1" localSheetId="0">#REF!</definedName>
    <definedName name="реестр1">#REF!</definedName>
    <definedName name="реестр11" localSheetId="0">#REF!</definedName>
    <definedName name="реестр11">#REF!</definedName>
    <definedName name="реестртаблица" localSheetId="0">#REF!</definedName>
    <definedName name="реестртаблица">#REF!</definedName>
    <definedName name="Рекульт.БЭ">[40]Рекультивация!$AJ$51</definedName>
    <definedName name="Рекульт.ТЭ">[40]Рекультивация!$AJ$24</definedName>
    <definedName name="рено" hidden="1">{#N/A,#N/A,TRUE,"Сводка балансов"}</definedName>
    <definedName name="репьев_крА" localSheetId="0">#REF!</definedName>
    <definedName name="репьев_крА">#REF!</definedName>
    <definedName name="репьев_крБ" localSheetId="0">#REF!</definedName>
    <definedName name="репьев_крБ">#REF!</definedName>
    <definedName name="репьев_крВ" localSheetId="0">#REF!</definedName>
    <definedName name="репьев_крВ">#REF!</definedName>
    <definedName name="репьев_крГ" localSheetId="0">#REF!</definedName>
    <definedName name="репьев_крГ">#REF!</definedName>
    <definedName name="репьев_крД" localSheetId="0">#REF!</definedName>
    <definedName name="репьев_крД">#REF!</definedName>
    <definedName name="репьев_крЕ" localSheetId="0">#REF!</definedName>
    <definedName name="репьев_крЕ">#REF!</definedName>
    <definedName name="репьев_крЖ" localSheetId="0">#REF!</definedName>
    <definedName name="репьев_крЖ">#REF!</definedName>
    <definedName name="рзщр" localSheetId="0">#REF!</definedName>
    <definedName name="рзщр">#REF!</definedName>
    <definedName name="рм">'[38]C.с '!$D$28</definedName>
    <definedName name="рмп">'[38]C.с '!$D$25</definedName>
    <definedName name="ро" localSheetId="0">[73]Лист1!#REF!</definedName>
    <definedName name="ро">[73]Лист1!#REF!</definedName>
    <definedName name="РОЛРОЛР" localSheetId="0">#REF!</definedName>
    <definedName name="РОЛРОЛР">#REF!</definedName>
    <definedName name="рооооооооо" localSheetId="0">#REF!</definedName>
    <definedName name="рооооооооо">#REF!</definedName>
    <definedName name="рооооооооооооо" localSheetId="0">#REF!</definedName>
    <definedName name="рооооооооооооо">#REF!</definedName>
    <definedName name="рор" localSheetId="0">#REF!</definedName>
    <definedName name="рор">#REF!</definedName>
    <definedName name="россошь_крА" localSheetId="0">#REF!</definedName>
    <definedName name="россошь_крА">#REF!</definedName>
    <definedName name="россошь_крБ" localSheetId="0">#REF!</definedName>
    <definedName name="россошь_крБ">#REF!</definedName>
    <definedName name="россошь_крВ" localSheetId="0">#REF!</definedName>
    <definedName name="россошь_крВ">#REF!</definedName>
    <definedName name="россошь_крГ" localSheetId="0">#REF!</definedName>
    <definedName name="россошь_крГ">#REF!</definedName>
    <definedName name="россошь_крД" localSheetId="0">#REF!</definedName>
    <definedName name="россошь_крД">#REF!</definedName>
    <definedName name="россошь_крЕ" localSheetId="0">#REF!</definedName>
    <definedName name="россошь_крЕ">#REF!</definedName>
    <definedName name="россошь_крЖ" localSheetId="0">#REF!</definedName>
    <definedName name="россошь_крЖ">#REF!</definedName>
    <definedName name="рпа" localSheetId="0">#REF!</definedName>
    <definedName name="рпа">#REF!</definedName>
    <definedName name="рпп">'[38]C.с '!$D$49</definedName>
    <definedName name="рпрпрррпрпрпр" localSheetId="0">#REF!</definedName>
    <definedName name="рпрпрррпрпрпр">#REF!</definedName>
    <definedName name="РПТ" hidden="1">{#N/A,#N/A,TRUE,"Сводка балансов"}</definedName>
    <definedName name="рпуп" localSheetId="0">#REF!</definedName>
    <definedName name="рпуп">#REF!</definedName>
    <definedName name="рр" localSheetId="0">#REF!</definedName>
    <definedName name="рр">#REF!</definedName>
    <definedName name="Рр_1" localSheetId="0">#REF!</definedName>
    <definedName name="Рр_1">#REF!</definedName>
    <definedName name="ррп" localSheetId="0">'[44]C.с '!#REF!</definedName>
    <definedName name="ррп">'[44]C.с '!#REF!</definedName>
    <definedName name="ррр" localSheetId="0">#REF!</definedName>
    <definedName name="ррр">#REF!</definedName>
    <definedName name="рррпр" localSheetId="0">#REF!</definedName>
    <definedName name="рррпр">#REF!</definedName>
    <definedName name="рррр" localSheetId="0">#REF!</definedName>
    <definedName name="рррр">#REF!</definedName>
    <definedName name="ррррр" localSheetId="0">#REF!</definedName>
    <definedName name="ррррр">#REF!</definedName>
    <definedName name="рррррр" localSheetId="0">#REF!</definedName>
    <definedName name="рррррр">#REF!</definedName>
    <definedName name="рррррррррррр" localSheetId="0">[18]К.С.М.!#REF!</definedName>
    <definedName name="рррррррррррр">[18]К.С.М.!#REF!</definedName>
    <definedName name="ррррррррррррр" localSheetId="0">#REF!</definedName>
    <definedName name="ррррррррррррр">#REF!</definedName>
    <definedName name="рррррррррррррр" localSheetId="0">#REF!</definedName>
    <definedName name="рррррррррррррр">#REF!</definedName>
    <definedName name="ррррррррррррррррр" localSheetId="0">#REF!</definedName>
    <definedName name="ррррррррррррррррр">#REF!</definedName>
    <definedName name="ррррррррррррррррррррр" localSheetId="0">#REF!</definedName>
    <definedName name="ррррррррррррррррррррр">#REF!</definedName>
    <definedName name="рррррррррррррррррррррррррррррр" localSheetId="0">#REF!</definedName>
    <definedName name="рррррррррррррррррррррррррррррр">#REF!</definedName>
    <definedName name="рсп" localSheetId="0">'[44]C.с '!#REF!</definedName>
    <definedName name="рсп">'[44]C.с '!#REF!</definedName>
    <definedName name="Рубка_леса">'[40] Подготовительные работы'!$AJ$71</definedName>
    <definedName name="с" localSheetId="0">#REF!</definedName>
    <definedName name="с">#REF!</definedName>
    <definedName name="С112" localSheetId="0">#REF!</definedName>
    <definedName name="С112">#REF!</definedName>
    <definedName name="С113" localSheetId="0">#REF!</definedName>
    <definedName name="С113">#REF!</definedName>
    <definedName name="С120" localSheetId="0">#REF!</definedName>
    <definedName name="С120">#REF!</definedName>
    <definedName name="сапрсапр" localSheetId="0">#REF!</definedName>
    <definedName name="сапрсапр">#REF!</definedName>
    <definedName name="сваи" localSheetId="0">#REF!</definedName>
    <definedName name="сваи">#REF!</definedName>
    <definedName name="семил_крА" localSheetId="0">#REF!</definedName>
    <definedName name="семил_крА">#REF!</definedName>
    <definedName name="семил_крБ" localSheetId="0">#REF!</definedName>
    <definedName name="семил_крБ">#REF!</definedName>
    <definedName name="семил_крВ" localSheetId="0">#REF!</definedName>
    <definedName name="семил_крВ">#REF!</definedName>
    <definedName name="семил_крГ" localSheetId="0">#REF!</definedName>
    <definedName name="семил_крГ">#REF!</definedName>
    <definedName name="семил_крД" localSheetId="0">#REF!</definedName>
    <definedName name="семил_крД">#REF!</definedName>
    <definedName name="семил_крЕ" localSheetId="0">#REF!</definedName>
    <definedName name="семил_крЕ">#REF!</definedName>
    <definedName name="семил_крЖ" localSheetId="0">#REF!</definedName>
    <definedName name="семил_крЖ">#REF!</definedName>
    <definedName name="си">[16]C.с!$I$28</definedName>
    <definedName name="Сигн.столбики">'[40]Обстановка дороги'!$AJ$24</definedName>
    <definedName name="см.158нов" localSheetId="0">#REF!</definedName>
    <definedName name="см.158нов">#REF!</definedName>
    <definedName name="см110нов" localSheetId="0">#REF!</definedName>
    <definedName name="см110нов">#REF!</definedName>
    <definedName name="см129нов" localSheetId="0">#REF!</definedName>
    <definedName name="см129нов">#REF!</definedName>
    <definedName name="смммммммммм" localSheetId="0">[18]К.С.М.!#REF!</definedName>
    <definedName name="смммммммммм">[18]К.С.М.!#REF!</definedName>
    <definedName name="смр" localSheetId="0">#REF!</definedName>
    <definedName name="смр">#REF!</definedName>
    <definedName name="Снятие" localSheetId="0">#REF!</definedName>
    <definedName name="Снятие">#REF!</definedName>
    <definedName name="сп2" localSheetId="0">#REF!</definedName>
    <definedName name="сп2">#REF!</definedName>
    <definedName name="спр2" localSheetId="0">#REF!</definedName>
    <definedName name="спр2">#REF!</definedName>
    <definedName name="спр22" localSheetId="0">#REF!</definedName>
    <definedName name="спр22">#REF!</definedName>
    <definedName name="спр33" localSheetId="0">#REF!</definedName>
    <definedName name="спр33">#REF!</definedName>
    <definedName name="сроки">[43]Коэффициенты!$A$1:$A$65536</definedName>
    <definedName name="сс" localSheetId="0">#REF!</definedName>
    <definedName name="сс">#REF!</definedName>
    <definedName name="стадия_П">[43]база!$J$1:$J$65536</definedName>
    <definedName name="стд" localSheetId="0">#REF!</definedName>
    <definedName name="стд">#REF!</definedName>
    <definedName name="страх" localSheetId="0">#REF!</definedName>
    <definedName name="страх">#REF!</definedName>
    <definedName name="сттт" localSheetId="0">#REF!</definedName>
    <definedName name="сттт">#REF!</definedName>
    <definedName name="т" localSheetId="0">#REF!</definedName>
    <definedName name="т">#REF!</definedName>
    <definedName name="Т.а." localSheetId="0">#REF!</definedName>
    <definedName name="Т.а.">#REF!</definedName>
    <definedName name="Т_1" localSheetId="0">#REF!</definedName>
    <definedName name="Т_1">#REF!</definedName>
    <definedName name="Т_10" localSheetId="0">#REF!</definedName>
    <definedName name="Т_10">#REF!</definedName>
    <definedName name="Т_13" localSheetId="0">#REF!</definedName>
    <definedName name="Т_13">#REF!</definedName>
    <definedName name="Т_16" localSheetId="0">#REF!</definedName>
    <definedName name="Т_16">#REF!</definedName>
    <definedName name="Т_25" localSheetId="0">#REF!</definedName>
    <definedName name="Т_25">#REF!</definedName>
    <definedName name="Т_28" localSheetId="0">#REF!</definedName>
    <definedName name="Т_28">#REF!</definedName>
    <definedName name="Т_31" localSheetId="0">#REF!</definedName>
    <definedName name="Т_31">#REF!</definedName>
    <definedName name="Т_35" localSheetId="0">#REF!</definedName>
    <definedName name="Т_35">#REF!</definedName>
    <definedName name="Т_351" localSheetId="0">#REF!</definedName>
    <definedName name="Т_351">#REF!</definedName>
    <definedName name="Т_352" localSheetId="0">#REF!</definedName>
    <definedName name="Т_352">#REF!</definedName>
    <definedName name="Т_353" localSheetId="0">#REF!</definedName>
    <definedName name="Т_353">#REF!</definedName>
    <definedName name="Т_354" localSheetId="0">#REF!</definedName>
    <definedName name="Т_354">#REF!</definedName>
    <definedName name="Т_355" localSheetId="0">#REF!</definedName>
    <definedName name="Т_355">#REF!</definedName>
    <definedName name="Т_372" localSheetId="0">#REF!</definedName>
    <definedName name="Т_372">#REF!</definedName>
    <definedName name="Т_39" localSheetId="0">#REF!</definedName>
    <definedName name="Т_39">#REF!</definedName>
    <definedName name="Т_4" localSheetId="0">#REF!</definedName>
    <definedName name="Т_4">#REF!</definedName>
    <definedName name="Т_40" localSheetId="0">#REF!</definedName>
    <definedName name="Т_40">#REF!</definedName>
    <definedName name="Т_43" localSheetId="0">#REF!</definedName>
    <definedName name="Т_43">#REF!</definedName>
    <definedName name="Т_44" localSheetId="0">#REF!</definedName>
    <definedName name="Т_44">#REF!</definedName>
    <definedName name="Т_46" localSheetId="0">#REF!</definedName>
    <definedName name="Т_46">#REF!</definedName>
    <definedName name="Т_461" localSheetId="0">#REF!</definedName>
    <definedName name="Т_461">#REF!</definedName>
    <definedName name="Т_49" localSheetId="0">#REF!</definedName>
    <definedName name="Т_49">#REF!</definedName>
    <definedName name="Т_52" localSheetId="0">#REF!</definedName>
    <definedName name="Т_52">#REF!</definedName>
    <definedName name="Т_56" localSheetId="0">#REF!</definedName>
    <definedName name="Т_56">#REF!</definedName>
    <definedName name="Т_59" localSheetId="0">#REF!</definedName>
    <definedName name="Т_59">#REF!</definedName>
    <definedName name="Т_590" localSheetId="0">#REF!</definedName>
    <definedName name="Т_590">#REF!</definedName>
    <definedName name="Т_5901" localSheetId="0">#REF!</definedName>
    <definedName name="Т_5901">#REF!</definedName>
    <definedName name="Т_63" localSheetId="0">#REF!</definedName>
    <definedName name="Т_63">#REF!</definedName>
    <definedName name="Т_67" localSheetId="0">#REF!</definedName>
    <definedName name="Т_67">#REF!</definedName>
    <definedName name="Т_7" localSheetId="0">#REF!</definedName>
    <definedName name="Т_7">#REF!</definedName>
    <definedName name="Т_70" localSheetId="0">#REF!</definedName>
    <definedName name="Т_70">#REF!</definedName>
    <definedName name="Т_72" localSheetId="0">#REF!</definedName>
    <definedName name="Т_72">#REF!</definedName>
    <definedName name="Т_74" localSheetId="0">#REF!</definedName>
    <definedName name="Т_74">#REF!</definedName>
    <definedName name="Т12" localSheetId="0">#REF!</definedName>
    <definedName name="Т12">#REF!</definedName>
    <definedName name="Т12_1" localSheetId="0">#REF!</definedName>
    <definedName name="Т12_1">#REF!</definedName>
    <definedName name="Т12_4" localSheetId="0">#REF!</definedName>
    <definedName name="Т12_4">#REF!</definedName>
    <definedName name="Т13" localSheetId="0">#REF!</definedName>
    <definedName name="Т13">#REF!</definedName>
    <definedName name="Т14" localSheetId="0">#REF!</definedName>
    <definedName name="Т14">#REF!</definedName>
    <definedName name="Т14_1" localSheetId="0">#REF!</definedName>
    <definedName name="Т14_1">#REF!</definedName>
    <definedName name="Т14_4" localSheetId="0">#REF!</definedName>
    <definedName name="Т14_4">#REF!</definedName>
    <definedName name="Т14_6" localSheetId="0">#REF!</definedName>
    <definedName name="Т14_6">#REF!</definedName>
    <definedName name="Т14_7" localSheetId="0">#REF!</definedName>
    <definedName name="Т14_7">#REF!</definedName>
    <definedName name="т17" localSheetId="0">#REF!</definedName>
    <definedName name="т17">#REF!</definedName>
    <definedName name="Т18" localSheetId="0">#REF!</definedName>
    <definedName name="Т18">#REF!</definedName>
    <definedName name="Т200" localSheetId="0">#REF!</definedName>
    <definedName name="Т200">#REF!</definedName>
    <definedName name="Т25" localSheetId="0">#REF!</definedName>
    <definedName name="Т25">#REF!</definedName>
    <definedName name="талов_крА" localSheetId="0">#REF!</definedName>
    <definedName name="талов_крА">#REF!</definedName>
    <definedName name="талов_крБ" localSheetId="0">#REF!</definedName>
    <definedName name="талов_крБ">#REF!</definedName>
    <definedName name="талов_крВ" localSheetId="0">#REF!</definedName>
    <definedName name="талов_крВ">#REF!</definedName>
    <definedName name="талов_крГ" localSheetId="0">#REF!</definedName>
    <definedName name="талов_крГ">#REF!</definedName>
    <definedName name="талов_крД" localSheetId="0">#REF!</definedName>
    <definedName name="талов_крД">#REF!</definedName>
    <definedName name="талов_крЕ" localSheetId="0">#REF!</definedName>
    <definedName name="талов_крЕ">#REF!</definedName>
    <definedName name="талов_крЖ" localSheetId="0">#REF!</definedName>
    <definedName name="талов_крЖ">#REF!</definedName>
    <definedName name="ТендСниж">0.985</definedName>
    <definedName name="тернов_крА" localSheetId="0">#REF!</definedName>
    <definedName name="тернов_крА">#REF!</definedName>
    <definedName name="тернов_крБ" localSheetId="0">#REF!</definedName>
    <definedName name="тернов_крБ">#REF!</definedName>
    <definedName name="тернов_крВ" localSheetId="0">#REF!</definedName>
    <definedName name="тернов_крВ">#REF!</definedName>
    <definedName name="тернов_крГ" localSheetId="0">#REF!</definedName>
    <definedName name="тернов_крГ">#REF!</definedName>
    <definedName name="тернов_крД" localSheetId="0">#REF!</definedName>
    <definedName name="тернов_крД">#REF!</definedName>
    <definedName name="тернов_крЕ" localSheetId="0">#REF!</definedName>
    <definedName name="тернов_крЕ">#REF!</definedName>
    <definedName name="тернов_крЖ" localSheetId="0">#REF!</definedName>
    <definedName name="тернов_крЖ">#REF!</definedName>
    <definedName name="тз" localSheetId="0">#REF!</definedName>
    <definedName name="тз">#REF!</definedName>
    <definedName name="тимс" hidden="1">{#N/A,#N/A,TRUE,"Сводка балансов"}</definedName>
    <definedName name="тип2" localSheetId="0">#REF!</definedName>
    <definedName name="тип2">#REF!</definedName>
    <definedName name="торг" localSheetId="0">#REF!</definedName>
    <definedName name="торг">#REF!</definedName>
    <definedName name="Тощ.бет." localSheetId="0">#REF!</definedName>
    <definedName name="Тощ.бет.">#REF!</definedName>
    <definedName name="трог" hidden="1">{#N/A,#N/A,TRUE,"Сводка балансов"}</definedName>
    <definedName name="тррррррртрт" localSheetId="0">#REF!</definedName>
    <definedName name="тррррррртрт">#REF!</definedName>
    <definedName name="Трубы">'[40]Искусственные сооружения'!$AJ$182</definedName>
    <definedName name="тт" localSheetId="0">#REF!</definedName>
    <definedName name="тт">#REF!</definedName>
    <definedName name="тт45ни" localSheetId="0">#REF!</definedName>
    <definedName name="тт45ни">#REF!</definedName>
    <definedName name="ттт" localSheetId="0">#REF!</definedName>
    <definedName name="ттт">#REF!</definedName>
    <definedName name="тттт" localSheetId="0">#REF!</definedName>
    <definedName name="тттт">#REF!</definedName>
    <definedName name="тттттттттттттттттттттттттттт" localSheetId="0">#REF!</definedName>
    <definedName name="тттттттттттттттттттттттттттт">#REF!</definedName>
    <definedName name="тьтььььььььььььььььььь" localSheetId="0">#REF!</definedName>
    <definedName name="тьтььььььььььььььььььь">#REF!</definedName>
    <definedName name="у" localSheetId="0">#REF!</definedName>
    <definedName name="у">#REF!</definedName>
    <definedName name="у1" localSheetId="0">#REF!</definedName>
    <definedName name="у1">#REF!</definedName>
    <definedName name="у2" localSheetId="0">#REF!</definedName>
    <definedName name="у2">#REF!</definedName>
    <definedName name="уке" localSheetId="0">#REF!</definedName>
    <definedName name="уке">#REF!</definedName>
    <definedName name="укккккккккккккккккккккккк" localSheetId="0">#REF!</definedName>
    <definedName name="укккккккккккккккккккккккк">#REF!</definedName>
    <definedName name="Укр.обочин">'[40]Дорожная одежда'!$AJ$51</definedName>
    <definedName name="Укреп.оаботы">'[40]Земляное полотно'!$AJ$70</definedName>
    <definedName name="укук" localSheetId="0">#REF!</definedName>
    <definedName name="укук">#REF!</definedName>
    <definedName name="УМ1" localSheetId="0">#REF!</definedName>
    <definedName name="УМ1">#REF!</definedName>
    <definedName name="умгкр" localSheetId="0">#REF!</definedName>
    <definedName name="умгкр">#REF!</definedName>
    <definedName name="умгкр1" localSheetId="0">#REF!</definedName>
    <definedName name="умгкр1">#REF!</definedName>
    <definedName name="УПВКАП" localSheetId="0">#REF!</definedName>
    <definedName name="УПВКАП">#REF!</definedName>
    <definedName name="уперп" localSheetId="0">#REF!</definedName>
    <definedName name="уперп">#REF!</definedName>
    <definedName name="ууу" localSheetId="0">#REF!</definedName>
    <definedName name="ууу">#REF!</definedName>
    <definedName name="уууууууууав" localSheetId="0">#REF!</definedName>
    <definedName name="уууууууууав">#REF!</definedName>
    <definedName name="уууууууууук" localSheetId="0">#REF!</definedName>
    <definedName name="уууууууууук">#REF!</definedName>
    <definedName name="уууууууууууу" localSheetId="0">#REF!</definedName>
    <definedName name="уууууууууууу">#REF!</definedName>
    <definedName name="ууууууууууууууууу" localSheetId="0">#REF!</definedName>
    <definedName name="ууууууууууууууууу">#REF!</definedName>
    <definedName name="уууууууууууууууууууу" localSheetId="0">#REF!</definedName>
    <definedName name="уууууууууууууууууууу">#REF!</definedName>
    <definedName name="УЦ" localSheetId="0">#REF!</definedName>
    <definedName name="УЦ">#REF!</definedName>
    <definedName name="уыпыыыыыыыыыыыыыыыыыыы" localSheetId="0">#REF!</definedName>
    <definedName name="уыпыыыыыыыыыыыыыыыыыыы">#REF!</definedName>
    <definedName name="ф" localSheetId="0">#REF!</definedName>
    <definedName name="ф">#REF!</definedName>
    <definedName name="Ф_10" localSheetId="0">[66]ф10!#REF!</definedName>
    <definedName name="Ф_10">[66]ф10!#REF!</definedName>
    <definedName name="Ф_11" localSheetId="0">[66]ф10!#REF!</definedName>
    <definedName name="Ф_11">[66]ф10!#REF!</definedName>
    <definedName name="Ф_12" localSheetId="0">[66]ф10!#REF!</definedName>
    <definedName name="Ф_12">[66]ф10!#REF!</definedName>
    <definedName name="Ф_13" localSheetId="0">[66]ф10!#REF!</definedName>
    <definedName name="Ф_13">[66]ф10!#REF!</definedName>
    <definedName name="Ф_14" localSheetId="0">[66]ф10!#REF!</definedName>
    <definedName name="Ф_14">[66]ф10!#REF!</definedName>
    <definedName name="Ф_15" localSheetId="0">[66]ф10!#REF!</definedName>
    <definedName name="Ф_15">[66]ф10!#REF!</definedName>
    <definedName name="Ф_16" localSheetId="0">[66]ф10!#REF!</definedName>
    <definedName name="Ф_16">[66]ф10!#REF!</definedName>
    <definedName name="Ф_160" localSheetId="0">[74]ф10!#REF!</definedName>
    <definedName name="Ф_160">[74]ф10!#REF!</definedName>
    <definedName name="Ф_193" localSheetId="0">[74]ф10!#REF!</definedName>
    <definedName name="Ф_193">[74]ф10!#REF!</definedName>
    <definedName name="Ф_2" localSheetId="0">[66]ф10!#REF!</definedName>
    <definedName name="Ф_2">[66]ф10!#REF!</definedName>
    <definedName name="Ф_3" localSheetId="0">[66]ф10!#REF!</definedName>
    <definedName name="Ф_3">[66]ф10!#REF!</definedName>
    <definedName name="Ф_31" localSheetId="0">[66]ф10!#REF!</definedName>
    <definedName name="Ф_31">[66]ф10!#REF!</definedName>
    <definedName name="Ф_32" localSheetId="0">[66]ф10!#REF!</definedName>
    <definedName name="Ф_32">[66]ф10!#REF!</definedName>
    <definedName name="Ф_38" localSheetId="0">[74]ф10!#REF!</definedName>
    <definedName name="Ф_38">[74]ф10!#REF!</definedName>
    <definedName name="Ф_4" localSheetId="0">[66]ф10!#REF!</definedName>
    <definedName name="Ф_4">[66]ф10!#REF!</definedName>
    <definedName name="Ф_5" localSheetId="0">[66]ф10!#REF!</definedName>
    <definedName name="Ф_5">[66]ф10!#REF!</definedName>
    <definedName name="Ф_6" localSheetId="0">[66]ф10!#REF!</definedName>
    <definedName name="Ф_6">[66]ф10!#REF!</definedName>
    <definedName name="Ф_7" localSheetId="0">[66]ф10!#REF!</definedName>
    <definedName name="Ф_7">[66]ф10!#REF!</definedName>
    <definedName name="Ф_8" localSheetId="0">[66]ф10!#REF!</definedName>
    <definedName name="Ф_8">[66]ф10!#REF!</definedName>
    <definedName name="Ф_83" localSheetId="0">[66]ф10!#REF!</definedName>
    <definedName name="Ф_83">[66]ф10!#REF!</definedName>
    <definedName name="Ф_9" localSheetId="0">[66]ф10!#REF!</definedName>
    <definedName name="Ф_9">[66]ф10!#REF!</definedName>
    <definedName name="Ф_98" localSheetId="0">[74]ф10!#REF!</definedName>
    <definedName name="Ф_98">[74]ф10!#REF!</definedName>
    <definedName name="ф1" localSheetId="0">#REF!</definedName>
    <definedName name="ф1">#REF!</definedName>
    <definedName name="ф2">'[75]C.с '!$H$86</definedName>
    <definedName name="ф4" localSheetId="0">#REF!</definedName>
    <definedName name="ф4">#REF!</definedName>
    <definedName name="ФААААААААААААААА" localSheetId="0">#REF!</definedName>
    <definedName name="ФААААААААААААААА">#REF!</definedName>
    <definedName name="фввввввввв" localSheetId="0">#REF!</definedName>
    <definedName name="фввввввввв">#REF!</definedName>
    <definedName name="фвввввввввввввввввввв" localSheetId="0">#REF!</definedName>
    <definedName name="фвввввввввввввввввввв">#REF!</definedName>
    <definedName name="фвввввввввуууууууууууп" localSheetId="0">#REF!</definedName>
    <definedName name="фвввввввввуууууууууууп">#REF!</definedName>
    <definedName name="февраль" localSheetId="0">#REF!</definedName>
    <definedName name="февраль">#REF!</definedName>
    <definedName name="фф" localSheetId="0">#REF!</definedName>
    <definedName name="фф">#REF!</definedName>
    <definedName name="ффф" localSheetId="0">#REF!</definedName>
    <definedName name="ффф">#REF!</definedName>
    <definedName name="фффф" localSheetId="0">#REF!</definedName>
    <definedName name="фффф">#REF!</definedName>
    <definedName name="ффффффффвасссссссссссссс" localSheetId="0">#REF!</definedName>
    <definedName name="ффффффффвасссссссссссссс">#REF!</definedName>
    <definedName name="ФФФФФФФФФФФФФФФ" localSheetId="0">#REF!</definedName>
    <definedName name="ФФФФФФФФФФФФФФФ">#REF!</definedName>
    <definedName name="ФФФФФФФФФФФЫЫЫЫЫЫЫ" localSheetId="0">#REF!</definedName>
    <definedName name="ФФФФФФФФФФФЫЫЫЫЫЫЫ">#REF!</definedName>
    <definedName name="фцыв" localSheetId="0">#REF!</definedName>
    <definedName name="фцыв">#REF!</definedName>
    <definedName name="ФЫАЫАВЫ" localSheetId="0">#REF!</definedName>
    <definedName name="ФЫАЫАВЫ">#REF!</definedName>
    <definedName name="ФЫВВВВВ" localSheetId="0">#REF!</definedName>
    <definedName name="ФЫВВВВВ">#REF!</definedName>
    <definedName name="фыыыыыыыыыыыыыа" localSheetId="0">#REF!</definedName>
    <definedName name="фыыыыыыыыыыыыыа">#REF!</definedName>
    <definedName name="х" localSheetId="0">#REF!</definedName>
    <definedName name="х">#REF!</definedName>
    <definedName name="хзщ" localSheetId="0">#REF!</definedName>
    <definedName name="хзщ">#REF!</definedName>
    <definedName name="хохол_крА" localSheetId="0">#REF!</definedName>
    <definedName name="хохол_крА">#REF!</definedName>
    <definedName name="хохол_крБ" localSheetId="0">#REF!</definedName>
    <definedName name="хохол_крБ">#REF!</definedName>
    <definedName name="хохол_крВ" localSheetId="0">#REF!</definedName>
    <definedName name="хохол_крВ">#REF!</definedName>
    <definedName name="хохол_крГ" localSheetId="0">#REF!</definedName>
    <definedName name="хохол_крГ">#REF!</definedName>
    <definedName name="хохол_крД" localSheetId="0">#REF!</definedName>
    <definedName name="хохол_крД">#REF!</definedName>
    <definedName name="хохол_крЕ" localSheetId="0">#REF!</definedName>
    <definedName name="хохол_крЕ">#REF!</definedName>
    <definedName name="хохол_крЖ" localSheetId="0">#REF!</definedName>
    <definedName name="хохол_крЖ">#REF!</definedName>
    <definedName name="хххх" localSheetId="0">#REF!</definedName>
    <definedName name="хххх">#REF!</definedName>
    <definedName name="хшнир" localSheetId="0">#REF!</definedName>
    <definedName name="хшнир">#REF!</definedName>
    <definedName name="ц" localSheetId="0">#REF!</definedName>
    <definedName name="ц">#REF!</definedName>
    <definedName name="цкеен" localSheetId="0">#REF!</definedName>
    <definedName name="цкеен">#REF!</definedName>
    <definedName name="цкрт" localSheetId="0">#REF!</definedName>
    <definedName name="цкрт">#REF!</definedName>
    <definedName name="цол" localSheetId="0">#REF!</definedName>
    <definedName name="цол">#REF!</definedName>
    <definedName name="цуауыыыыыыыыыыыыыыыыы" localSheetId="0">#REF!</definedName>
    <definedName name="цуауыыыыыыыыыыыыыыыыы">#REF!</definedName>
    <definedName name="цуенгш" localSheetId="0">#REF!</definedName>
    <definedName name="цуенгш">#REF!</definedName>
    <definedName name="цуецкуе" hidden="1">{#N/A,#N/A,TRUE,"Сводка балансов"}</definedName>
    <definedName name="цуккккккккккккккккккк" localSheetId="0">#REF!</definedName>
    <definedName name="цуккккккккккккккккккк">#REF!</definedName>
    <definedName name="цукчфффффффффффф" localSheetId="0">#REF!</definedName>
    <definedName name="цукчфффффффффффф">#REF!</definedName>
    <definedName name="цууууууууууууууууууууу" localSheetId="0">#REF!</definedName>
    <definedName name="цууууууууууууууууууууу">#REF!</definedName>
    <definedName name="цфввввввввввввввв" localSheetId="0">#REF!</definedName>
    <definedName name="цфввввввввввввввв">#REF!</definedName>
    <definedName name="цц" localSheetId="0">#REF!</definedName>
    <definedName name="цц">#REF!</definedName>
    <definedName name="цццц" localSheetId="0">#REF!</definedName>
    <definedName name="цццц">#REF!</definedName>
    <definedName name="ццццц" localSheetId="0">#REF!</definedName>
    <definedName name="ццццц">#REF!</definedName>
    <definedName name="ццццццццццццууууууууууууууууу" localSheetId="0">#REF!</definedName>
    <definedName name="ццццццццццццууууууууууууууууу">#REF!</definedName>
    <definedName name="ццццццццццццццццц" localSheetId="0">#REF!</definedName>
    <definedName name="ццццццццццццццццц">#REF!</definedName>
    <definedName name="ч" localSheetId="0">#REF!</definedName>
    <definedName name="ч">#REF!</definedName>
    <definedName name="Ч_Щ_1" localSheetId="0">#REF!</definedName>
    <definedName name="Ч_Щ_1">#REF!</definedName>
    <definedName name="Ч_Щ_2">'[9]ч. щ. 2'!$F$29</definedName>
    <definedName name="чапр" localSheetId="0">#REF!</definedName>
    <definedName name="чапр">#REF!</definedName>
    <definedName name="Чспп" localSheetId="0">#REF!</definedName>
    <definedName name="Чспп">#REF!</definedName>
    <definedName name="чсссссссссс" localSheetId="0">#REF!</definedName>
    <definedName name="чсссссссссс">#REF!</definedName>
    <definedName name="чч" localSheetId="0">#REF!</definedName>
    <definedName name="чч">#REF!</definedName>
    <definedName name="ччч" localSheetId="0">#REF!</definedName>
    <definedName name="ччч">#REF!</definedName>
    <definedName name="ш" localSheetId="0">#REF!</definedName>
    <definedName name="ш">#REF!</definedName>
    <definedName name="шзшзхх" localSheetId="0">#REF!</definedName>
    <definedName name="шзшзхх">#REF!</definedName>
    <definedName name="ШЛЮЖОЛО" localSheetId="0">#REF!</definedName>
    <definedName name="ШЛЮЖОЛО">#REF!</definedName>
    <definedName name="шшщз" localSheetId="0">#REF!</definedName>
    <definedName name="шшщз">#REF!</definedName>
    <definedName name="щ" localSheetId="0">#REF!</definedName>
    <definedName name="щ">#REF!</definedName>
    <definedName name="щшг" localSheetId="0">#REF!</definedName>
    <definedName name="щшг">#REF!</definedName>
    <definedName name="ъ" localSheetId="0">#REF!</definedName>
    <definedName name="ъ">#REF!</definedName>
    <definedName name="ъъъъ" localSheetId="0">#REF!</definedName>
    <definedName name="ъъъъ">#REF!</definedName>
    <definedName name="ы" localSheetId="0">#REF!</definedName>
    <definedName name="ы">#REF!</definedName>
    <definedName name="ыаааааааааааа" localSheetId="0">#REF!</definedName>
    <definedName name="ыаааааааааааа">#REF!</definedName>
    <definedName name="ыаааыыыыыыыыыыыыыыыыыы" localSheetId="0">#REF!</definedName>
    <definedName name="ыаааыыыыыыыыыыыыыыыыыы">#REF!</definedName>
    <definedName name="ыаов">[76]hx_abc4!$A$20:$IV$20</definedName>
    <definedName name="ыаов_1">[77]hx_abc4!$20:$20</definedName>
    <definedName name="ыасяавааааааааааааааааааа" localSheetId="0">#REF!</definedName>
    <definedName name="ыасяавааааааааааааааааааа">#REF!</definedName>
    <definedName name="ыв" localSheetId="0">#REF!</definedName>
    <definedName name="ыв">#REF!</definedName>
    <definedName name="ывааааааа" localSheetId="0">#REF!</definedName>
    <definedName name="ывааааааа">#REF!</definedName>
    <definedName name="ывапроорпавыываппавывапрпа" localSheetId="0">#REF!</definedName>
    <definedName name="ывапроорпавыываппавывапрпа">#REF!</definedName>
    <definedName name="ываы" localSheetId="0">#REF!</definedName>
    <definedName name="ываы">#REF!</definedName>
    <definedName name="ыввыфвфвф" localSheetId="0">#REF!</definedName>
    <definedName name="ыввыфвфвф">#REF!</definedName>
    <definedName name="ЫВПАПАПАПАПАПАПАПАПАПАПАПАПАПАПА" localSheetId="0">#REF!</definedName>
    <definedName name="ЫВПАПАПАПАПАПАПАПАПАПАПАПАПАПАПА">#REF!</definedName>
    <definedName name="ЫВПВПЫВП" localSheetId="0">#REF!</definedName>
    <definedName name="ЫВПВПЫВП">#REF!</definedName>
    <definedName name="ЫВППЫВП" localSheetId="0">#REF!</definedName>
    <definedName name="ЫВППЫВП">#REF!</definedName>
    <definedName name="ЫПВВПВАП" localSheetId="0">#REF!</definedName>
    <definedName name="ЫПВВПВАП">#REF!</definedName>
    <definedName name="ыуааауаааааааааааааа" localSheetId="0">#REF!</definedName>
    <definedName name="ыуааауаааааааааааааа">#REF!</definedName>
    <definedName name="ЫУВКП" localSheetId="0">#REF!</definedName>
    <definedName name="ЫУВКП">#REF!</definedName>
    <definedName name="ыупаааааааааааааааа" localSheetId="0">#REF!</definedName>
    <definedName name="ыупаааааааааааааааа">#REF!</definedName>
    <definedName name="ыфввввввввввввввввв" localSheetId="0">#REF!</definedName>
    <definedName name="ыфввввввввввввввввв">#REF!</definedName>
    <definedName name="ыцвввввввввввв" localSheetId="0">#REF!</definedName>
    <definedName name="ыцвввввввввввв">#REF!</definedName>
    <definedName name="ыы" localSheetId="0">#REF!</definedName>
    <definedName name="ыы">#REF!</definedName>
    <definedName name="ыыы" localSheetId="0">#REF!</definedName>
    <definedName name="ыыы">#REF!</definedName>
    <definedName name="ь" localSheetId="0">#REF!</definedName>
    <definedName name="ь">#REF!</definedName>
    <definedName name="ьлдщгрш7нш" localSheetId="0">#REF!</definedName>
    <definedName name="ьлдщгрш7нш">#REF!</definedName>
    <definedName name="ьтьть" localSheetId="0">#REF!</definedName>
    <definedName name="ьтьть">#REF!</definedName>
    <definedName name="ьь" localSheetId="0">#REF!</definedName>
    <definedName name="ьь">#REF!</definedName>
    <definedName name="ьььь" localSheetId="0">#REF!</definedName>
    <definedName name="ьььь">#REF!</definedName>
    <definedName name="ььььь" localSheetId="0">#REF!</definedName>
    <definedName name="ььььь">#REF!</definedName>
    <definedName name="ьььььь" localSheetId="0">#REF!</definedName>
    <definedName name="ьььььь">#REF!</definedName>
    <definedName name="ьььььььь" localSheetId="0">#REF!</definedName>
    <definedName name="ьььььььь">#REF!</definedName>
    <definedName name="ььььььььььььььььь" localSheetId="0">#REF!</definedName>
    <definedName name="ььььььььььььььььь">#REF!</definedName>
    <definedName name="ьььььььььььььььььь" localSheetId="0">#REF!</definedName>
    <definedName name="ьььььььььььььььььь">#REF!</definedName>
    <definedName name="э" localSheetId="0">#REF!</definedName>
    <definedName name="э">#REF!</definedName>
    <definedName name="эксперт" localSheetId="0">#REF!</definedName>
    <definedName name="эксперт">#REF!</definedName>
    <definedName name="эл">'[38]C.с '!$I$39</definedName>
    <definedName name="элт" localSheetId="0">#REF!</definedName>
    <definedName name="элт">#REF!</definedName>
    <definedName name="эртиль_крА" localSheetId="0">#REF!</definedName>
    <definedName name="эртиль_крА">#REF!</definedName>
    <definedName name="эртиль_крБ" localSheetId="0">#REF!</definedName>
    <definedName name="эртиль_крБ">#REF!</definedName>
    <definedName name="эртиль_крВ" localSheetId="0">#REF!</definedName>
    <definedName name="эртиль_крВ">#REF!</definedName>
    <definedName name="эртиль_крГ" localSheetId="0">#REF!</definedName>
    <definedName name="эртиль_крГ">#REF!</definedName>
    <definedName name="эртиль_крД" localSheetId="0">#REF!</definedName>
    <definedName name="эртиль_крД">#REF!</definedName>
    <definedName name="эртиль_крЕ" localSheetId="0">#REF!</definedName>
    <definedName name="эртиль_крЕ">#REF!</definedName>
    <definedName name="эртиль_крЖ" localSheetId="0">#REF!</definedName>
    <definedName name="эртиль_крЖ">#REF!</definedName>
    <definedName name="ээ" localSheetId="0">#REF!</definedName>
    <definedName name="ээ">#REF!</definedName>
    <definedName name="ю" localSheetId="0">#REF!</definedName>
    <definedName name="ю">#REF!</definedName>
    <definedName name="юж" localSheetId="0">#REF!</definedName>
    <definedName name="юж">#REF!</definedName>
    <definedName name="юля" localSheetId="0">#REF!</definedName>
    <definedName name="юля">#REF!</definedName>
    <definedName name="юю" localSheetId="0">#REF!</definedName>
    <definedName name="юю">#REF!</definedName>
    <definedName name="ююююю" localSheetId="0">#REF!</definedName>
    <definedName name="ююююю">#REF!</definedName>
    <definedName name="я" localSheetId="0">#REF!</definedName>
    <definedName name="я">#REF!</definedName>
    <definedName name="яччччччччч" localSheetId="0">#REF!</definedName>
    <definedName name="яччччччччч">#REF!</definedName>
    <definedName name="яя" localSheetId="0">#REF!</definedName>
    <definedName name="яя">#REF!</definedName>
    <definedName name="яяя" localSheetId="0">#REF!</definedName>
    <definedName name="яяя">#REF!</definedName>
  </definedName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5" i="15" l="1"/>
  <c r="AD14" i="15"/>
  <c r="I205" i="12" l="1"/>
  <c r="I204" i="12"/>
  <c r="I203" i="12"/>
  <c r="M204" i="12"/>
  <c r="M205" i="12"/>
  <c r="M203" i="12"/>
  <c r="D48" i="13" l="1"/>
  <c r="D47" i="13"/>
  <c r="G46" i="13"/>
  <c r="P13" i="15"/>
  <c r="V21" i="15"/>
  <c r="V26" i="15"/>
  <c r="V22" i="15"/>
  <c r="L37" i="8"/>
  <c r="W16" i="15"/>
  <c r="W21" i="15"/>
  <c r="W26" i="15"/>
  <c r="W22" i="15"/>
  <c r="U24" i="15"/>
  <c r="T24" i="15"/>
  <c r="S24" i="15"/>
  <c r="L21" i="15"/>
  <c r="L26" i="15"/>
  <c r="L22" i="15"/>
  <c r="K21" i="15"/>
  <c r="K26" i="15"/>
  <c r="K22" i="15"/>
  <c r="J21" i="15"/>
  <c r="J26" i="15"/>
  <c r="J22" i="15"/>
  <c r="I21" i="15"/>
  <c r="I26" i="15"/>
  <c r="I22" i="15"/>
  <c r="H21" i="15"/>
  <c r="H26" i="15"/>
  <c r="H22" i="15"/>
  <c r="Y19" i="15"/>
  <c r="M13" i="15"/>
  <c r="M21" i="15"/>
  <c r="M26" i="15"/>
  <c r="M22" i="15"/>
  <c r="G65" i="13"/>
  <c r="G68" i="13"/>
  <c r="E65" i="13"/>
  <c r="E68" i="13"/>
  <c r="E70" i="13"/>
  <c r="G63" i="13"/>
  <c r="G64" i="13"/>
  <c r="G67" i="13"/>
  <c r="E63" i="13"/>
  <c r="E66" i="13"/>
  <c r="E69" i="13"/>
  <c r="C63" i="13"/>
  <c r="C64" i="13"/>
  <c r="H54" i="13"/>
  <c r="H55" i="13"/>
  <c r="F53" i="13"/>
  <c r="E53" i="13"/>
  <c r="D53" i="13"/>
  <c r="F49" i="13"/>
  <c r="E49" i="13"/>
  <c r="D49" i="13"/>
  <c r="C49" i="13"/>
  <c r="E64" i="13"/>
  <c r="E67" i="13"/>
  <c r="D55" i="13"/>
  <c r="F55" i="13"/>
  <c r="G66" i="13"/>
  <c r="G69" i="13"/>
  <c r="G70" i="13"/>
  <c r="D54" i="13"/>
  <c r="F54" i="13"/>
  <c r="G11" i="14"/>
  <c r="F11" i="14"/>
  <c r="E11" i="14"/>
  <c r="L176" i="12"/>
  <c r="J176" i="12"/>
  <c r="L490" i="11"/>
  <c r="J490" i="11"/>
  <c r="L161" i="10"/>
  <c r="J161" i="10"/>
  <c r="J63" i="9"/>
  <c r="L63" i="9"/>
  <c r="J136" i="6"/>
  <c r="J137" i="6"/>
  <c r="L152" i="1"/>
  <c r="L153" i="1"/>
  <c r="J152" i="1"/>
  <c r="J153" i="1"/>
  <c r="J169" i="4"/>
  <c r="J170" i="4"/>
  <c r="K172" i="12"/>
  <c r="I172" i="12"/>
  <c r="D172" i="12"/>
  <c r="K171" i="12"/>
  <c r="L180" i="12"/>
  <c r="I171" i="12"/>
  <c r="D171" i="12"/>
  <c r="K170" i="12"/>
  <c r="L181" i="12"/>
  <c r="I170" i="12"/>
  <c r="J181" i="12"/>
  <c r="D170" i="12"/>
  <c r="K169" i="12"/>
  <c r="J169" i="12"/>
  <c r="K168" i="12"/>
  <c r="J168" i="12"/>
  <c r="AF167" i="12"/>
  <c r="A167" i="12"/>
  <c r="K165" i="12"/>
  <c r="J165" i="12"/>
  <c r="K164" i="12"/>
  <c r="J164" i="12"/>
  <c r="A163" i="12"/>
  <c r="K161" i="12"/>
  <c r="J161" i="12"/>
  <c r="K160" i="12"/>
  <c r="J160" i="12"/>
  <c r="A159" i="12"/>
  <c r="D157" i="12"/>
  <c r="V155" i="12"/>
  <c r="U155" i="12"/>
  <c r="T155" i="12"/>
  <c r="S155" i="12"/>
  <c r="R155" i="12"/>
  <c r="Q155" i="12"/>
  <c r="L155" i="12"/>
  <c r="K156" i="12"/>
  <c r="K155" i="12"/>
  <c r="J155" i="12"/>
  <c r="O156" i="12"/>
  <c r="I155" i="12"/>
  <c r="H155" i="12"/>
  <c r="G155" i="12"/>
  <c r="F155" i="12"/>
  <c r="E155" i="12"/>
  <c r="C155" i="12"/>
  <c r="B155" i="12"/>
  <c r="K151" i="12"/>
  <c r="F151" i="12"/>
  <c r="K150" i="12"/>
  <c r="K149" i="12"/>
  <c r="I150" i="12"/>
  <c r="I149" i="12"/>
  <c r="G150" i="12"/>
  <c r="G149" i="12"/>
  <c r="H149" i="12"/>
  <c r="J146" i="12"/>
  <c r="I146" i="12"/>
  <c r="H146" i="12"/>
  <c r="F146" i="12"/>
  <c r="K145" i="12"/>
  <c r="F145" i="12"/>
  <c r="K144" i="12"/>
  <c r="F144" i="12"/>
  <c r="K143" i="12"/>
  <c r="F143" i="12"/>
  <c r="V142" i="12"/>
  <c r="U142" i="12"/>
  <c r="T142" i="12"/>
  <c r="S142" i="12"/>
  <c r="R142" i="12"/>
  <c r="Q142" i="12"/>
  <c r="L142" i="12"/>
  <c r="K142" i="12"/>
  <c r="J142" i="12"/>
  <c r="I142" i="12"/>
  <c r="G142" i="12"/>
  <c r="F142" i="12"/>
  <c r="E142" i="12"/>
  <c r="C142" i="12"/>
  <c r="B142" i="12"/>
  <c r="L141" i="12"/>
  <c r="K141" i="12"/>
  <c r="J141" i="12"/>
  <c r="I141" i="12"/>
  <c r="H141" i="12"/>
  <c r="G141" i="12"/>
  <c r="K140" i="12"/>
  <c r="I140" i="12"/>
  <c r="H140" i="12"/>
  <c r="G140" i="12"/>
  <c r="K139" i="12"/>
  <c r="I139" i="12"/>
  <c r="H139" i="12"/>
  <c r="G139" i="12"/>
  <c r="L138" i="12"/>
  <c r="K138" i="12"/>
  <c r="J138" i="12"/>
  <c r="I138" i="12"/>
  <c r="H138" i="12"/>
  <c r="G138" i="12"/>
  <c r="V137" i="12"/>
  <c r="U137" i="12"/>
  <c r="T137" i="12"/>
  <c r="S137" i="12"/>
  <c r="R137" i="12"/>
  <c r="Q137" i="12"/>
  <c r="F137" i="12"/>
  <c r="E137" i="12"/>
  <c r="C137" i="12"/>
  <c r="B137" i="12"/>
  <c r="K133" i="12"/>
  <c r="F133" i="12"/>
  <c r="K132" i="12"/>
  <c r="K131" i="12"/>
  <c r="I132" i="12"/>
  <c r="I131" i="12"/>
  <c r="G132" i="12"/>
  <c r="G131" i="12"/>
  <c r="H131" i="12"/>
  <c r="J128" i="12"/>
  <c r="I128" i="12"/>
  <c r="H128" i="12"/>
  <c r="F128" i="12"/>
  <c r="K127" i="12"/>
  <c r="F127" i="12"/>
  <c r="K126" i="12"/>
  <c r="F126" i="12"/>
  <c r="K125" i="12"/>
  <c r="F125" i="12"/>
  <c r="V124" i="12"/>
  <c r="U124" i="12"/>
  <c r="T124" i="12"/>
  <c r="S124" i="12"/>
  <c r="R124" i="12"/>
  <c r="Q124" i="12"/>
  <c r="L124" i="12"/>
  <c r="K124" i="12"/>
  <c r="J124" i="12"/>
  <c r="I124" i="12"/>
  <c r="G124" i="12"/>
  <c r="F124" i="12"/>
  <c r="E124" i="12"/>
  <c r="C124" i="12"/>
  <c r="B124" i="12"/>
  <c r="L123" i="12"/>
  <c r="K123" i="12"/>
  <c r="J123" i="12"/>
  <c r="I123" i="12"/>
  <c r="H123" i="12"/>
  <c r="G123" i="12"/>
  <c r="K122" i="12"/>
  <c r="I122" i="12"/>
  <c r="H122" i="12"/>
  <c r="G122" i="12"/>
  <c r="K121" i="12"/>
  <c r="I121" i="12"/>
  <c r="H121" i="12"/>
  <c r="G121" i="12"/>
  <c r="L120" i="12"/>
  <c r="K120" i="12"/>
  <c r="J120" i="12"/>
  <c r="I120" i="12"/>
  <c r="H120" i="12"/>
  <c r="G120" i="12"/>
  <c r="V119" i="12"/>
  <c r="U119" i="12"/>
  <c r="T119" i="12"/>
  <c r="S119" i="12"/>
  <c r="R119" i="12"/>
  <c r="Q119" i="12"/>
  <c r="F119" i="12"/>
  <c r="E119" i="12"/>
  <c r="C119" i="12"/>
  <c r="B119" i="12"/>
  <c r="K115" i="12"/>
  <c r="F115" i="12"/>
  <c r="K114" i="12"/>
  <c r="K113" i="12"/>
  <c r="I114" i="12"/>
  <c r="I113" i="12"/>
  <c r="G114" i="12"/>
  <c r="G113" i="12"/>
  <c r="H113" i="12"/>
  <c r="J110" i="12"/>
  <c r="I110" i="12"/>
  <c r="H110" i="12"/>
  <c r="F110" i="12"/>
  <c r="K109" i="12"/>
  <c r="F109" i="12"/>
  <c r="K108" i="12"/>
  <c r="F108" i="12"/>
  <c r="K107" i="12"/>
  <c r="F107" i="12"/>
  <c r="V106" i="12"/>
  <c r="U106" i="12"/>
  <c r="T106" i="12"/>
  <c r="S106" i="12"/>
  <c r="R106" i="12"/>
  <c r="Q106" i="12"/>
  <c r="L106" i="12"/>
  <c r="K106" i="12"/>
  <c r="J106" i="12"/>
  <c r="I106" i="12"/>
  <c r="G106" i="12"/>
  <c r="F106" i="12"/>
  <c r="E106" i="12"/>
  <c r="C106" i="12"/>
  <c r="B106" i="12"/>
  <c r="L105" i="12"/>
  <c r="K105" i="12"/>
  <c r="J105" i="12"/>
  <c r="I105" i="12"/>
  <c r="H105" i="12"/>
  <c r="G105" i="12"/>
  <c r="K104" i="12"/>
  <c r="I104" i="12"/>
  <c r="H104" i="12"/>
  <c r="G104" i="12"/>
  <c r="K103" i="12"/>
  <c r="I103" i="12"/>
  <c r="H103" i="12"/>
  <c r="G103" i="12"/>
  <c r="L102" i="12"/>
  <c r="K102" i="12"/>
  <c r="J102" i="12"/>
  <c r="I102" i="12"/>
  <c r="H102" i="12"/>
  <c r="G102" i="12"/>
  <c r="V101" i="12"/>
  <c r="U101" i="12"/>
  <c r="T101" i="12"/>
  <c r="S101" i="12"/>
  <c r="R101" i="12"/>
  <c r="Q101" i="12"/>
  <c r="F101" i="12"/>
  <c r="E101" i="12"/>
  <c r="C101" i="12"/>
  <c r="B101" i="12"/>
  <c r="K97" i="12"/>
  <c r="F97" i="12"/>
  <c r="K96" i="12"/>
  <c r="K95" i="12"/>
  <c r="I96" i="12"/>
  <c r="I95" i="12"/>
  <c r="G96" i="12"/>
  <c r="G95" i="12"/>
  <c r="H95" i="12"/>
  <c r="J92" i="12"/>
  <c r="I92" i="12"/>
  <c r="H92" i="12"/>
  <c r="F92" i="12"/>
  <c r="K91" i="12"/>
  <c r="F91" i="12"/>
  <c r="K90" i="12"/>
  <c r="F90" i="12"/>
  <c r="K89" i="12"/>
  <c r="F89" i="12"/>
  <c r="V88" i="12"/>
  <c r="U88" i="12"/>
  <c r="T88" i="12"/>
  <c r="S88" i="12"/>
  <c r="R88" i="12"/>
  <c r="Q88" i="12"/>
  <c r="L88" i="12"/>
  <c r="K88" i="12"/>
  <c r="J88" i="12"/>
  <c r="I88" i="12"/>
  <c r="G88" i="12"/>
  <c r="F88" i="12"/>
  <c r="E88" i="12"/>
  <c r="C88" i="12"/>
  <c r="B88" i="12"/>
  <c r="L87" i="12"/>
  <c r="K87" i="12"/>
  <c r="J87" i="12"/>
  <c r="I87" i="12"/>
  <c r="H87" i="12"/>
  <c r="G87" i="12"/>
  <c r="K86" i="12"/>
  <c r="I86" i="12"/>
  <c r="H86" i="12"/>
  <c r="G86" i="12"/>
  <c r="K85" i="12"/>
  <c r="I85" i="12"/>
  <c r="H85" i="12"/>
  <c r="G85" i="12"/>
  <c r="L84" i="12"/>
  <c r="K84" i="12"/>
  <c r="J84" i="12"/>
  <c r="I84" i="12"/>
  <c r="H84" i="12"/>
  <c r="G84" i="12"/>
  <c r="V83" i="12"/>
  <c r="U83" i="12"/>
  <c r="T83" i="12"/>
  <c r="S83" i="12"/>
  <c r="R83" i="12"/>
  <c r="Q83" i="12"/>
  <c r="F83" i="12"/>
  <c r="E83" i="12"/>
  <c r="C83" i="12"/>
  <c r="B83" i="12"/>
  <c r="V81" i="12"/>
  <c r="U81" i="12"/>
  <c r="T81" i="12"/>
  <c r="S81" i="12"/>
  <c r="R81" i="12"/>
  <c r="Q81" i="12"/>
  <c r="L81" i="12"/>
  <c r="K82" i="12"/>
  <c r="K81" i="12"/>
  <c r="J81" i="12"/>
  <c r="O82" i="12"/>
  <c r="I81" i="12"/>
  <c r="H81" i="12"/>
  <c r="G81" i="12"/>
  <c r="F81" i="12"/>
  <c r="E81" i="12"/>
  <c r="C81" i="12"/>
  <c r="B81" i="12"/>
  <c r="V79" i="12"/>
  <c r="U79" i="12"/>
  <c r="T79" i="12"/>
  <c r="S79" i="12"/>
  <c r="R79" i="12"/>
  <c r="Q79" i="12"/>
  <c r="L79" i="12"/>
  <c r="K80" i="12"/>
  <c r="K79" i="12"/>
  <c r="J79" i="12"/>
  <c r="O80" i="12"/>
  <c r="I79" i="12"/>
  <c r="H79" i="12"/>
  <c r="G79" i="12"/>
  <c r="F79" i="12"/>
  <c r="E79" i="12"/>
  <c r="C79" i="12"/>
  <c r="B79" i="12"/>
  <c r="K75" i="12"/>
  <c r="F75" i="12"/>
  <c r="K74" i="12"/>
  <c r="K73" i="12"/>
  <c r="I74" i="12"/>
  <c r="I73" i="12"/>
  <c r="G74" i="12"/>
  <c r="G73" i="12"/>
  <c r="H73" i="12"/>
  <c r="J70" i="12"/>
  <c r="I70" i="12"/>
  <c r="H70" i="12"/>
  <c r="F70" i="12"/>
  <c r="K69" i="12"/>
  <c r="F69" i="12"/>
  <c r="K68" i="12"/>
  <c r="F68" i="12"/>
  <c r="K67" i="12"/>
  <c r="F67" i="12"/>
  <c r="L66" i="12"/>
  <c r="K66" i="12"/>
  <c r="J66" i="12"/>
  <c r="I66" i="12"/>
  <c r="H66" i="12"/>
  <c r="G66" i="12"/>
  <c r="K65" i="12"/>
  <c r="I65" i="12"/>
  <c r="H65" i="12"/>
  <c r="G65" i="12"/>
  <c r="K64" i="12"/>
  <c r="I64" i="12"/>
  <c r="H64" i="12"/>
  <c r="G64" i="12"/>
  <c r="L63" i="12"/>
  <c r="K63" i="12"/>
  <c r="J63" i="12"/>
  <c r="I63" i="12"/>
  <c r="H63" i="12"/>
  <c r="G63" i="12"/>
  <c r="V62" i="12"/>
  <c r="U62" i="12"/>
  <c r="T62" i="12"/>
  <c r="L68" i="12"/>
  <c r="S62" i="12"/>
  <c r="J68" i="12"/>
  <c r="R62" i="12"/>
  <c r="L67" i="12"/>
  <c r="Q62" i="12"/>
  <c r="J67" i="12"/>
  <c r="F62" i="12"/>
  <c r="E62" i="12"/>
  <c r="C62" i="12"/>
  <c r="B62" i="12"/>
  <c r="V60" i="12"/>
  <c r="U60" i="12"/>
  <c r="T60" i="12"/>
  <c r="S60" i="12"/>
  <c r="R60" i="12"/>
  <c r="Q60" i="12"/>
  <c r="L60" i="12"/>
  <c r="K61" i="12"/>
  <c r="K60" i="12"/>
  <c r="J60" i="12"/>
  <c r="I61" i="12"/>
  <c r="I60" i="12"/>
  <c r="H60" i="12"/>
  <c r="G60" i="12"/>
  <c r="F60" i="12"/>
  <c r="E60" i="12"/>
  <c r="C60" i="12"/>
  <c r="B60" i="12"/>
  <c r="K56" i="12"/>
  <c r="F56" i="12"/>
  <c r="K55" i="12"/>
  <c r="K54" i="12"/>
  <c r="I55" i="12"/>
  <c r="I54" i="12"/>
  <c r="G55" i="12"/>
  <c r="G54" i="12"/>
  <c r="H54" i="12"/>
  <c r="J51" i="12"/>
  <c r="I51" i="12"/>
  <c r="H51" i="12"/>
  <c r="F51" i="12"/>
  <c r="K50" i="12"/>
  <c r="F50" i="12"/>
  <c r="K49" i="12"/>
  <c r="F49" i="12"/>
  <c r="K48" i="12"/>
  <c r="F48" i="12"/>
  <c r="L47" i="12"/>
  <c r="K47" i="12"/>
  <c r="J47" i="12"/>
  <c r="I47" i="12"/>
  <c r="H47" i="12"/>
  <c r="G47" i="12"/>
  <c r="K46" i="12"/>
  <c r="I46" i="12"/>
  <c r="H46" i="12"/>
  <c r="G46" i="12"/>
  <c r="K45" i="12"/>
  <c r="I45" i="12"/>
  <c r="H45" i="12"/>
  <c r="G45" i="12"/>
  <c r="L44" i="12"/>
  <c r="K44" i="12"/>
  <c r="J44" i="12"/>
  <c r="I44" i="12"/>
  <c r="H44" i="12"/>
  <c r="G44" i="12"/>
  <c r="V43" i="12"/>
  <c r="U43" i="12"/>
  <c r="T43" i="12"/>
  <c r="L49" i="12"/>
  <c r="S43" i="12"/>
  <c r="J49" i="12"/>
  <c r="R43" i="12"/>
  <c r="L48" i="12"/>
  <c r="Q43" i="12"/>
  <c r="J48" i="12"/>
  <c r="F43" i="12"/>
  <c r="E43" i="12"/>
  <c r="C43" i="12"/>
  <c r="B43" i="12"/>
  <c r="V41" i="12"/>
  <c r="U41" i="12"/>
  <c r="T41" i="12"/>
  <c r="S41" i="12"/>
  <c r="R41" i="12"/>
  <c r="Q41" i="12"/>
  <c r="L41" i="12"/>
  <c r="K42" i="12"/>
  <c r="K41" i="12"/>
  <c r="J41" i="12"/>
  <c r="O42" i="12"/>
  <c r="I41" i="12"/>
  <c r="H41" i="12"/>
  <c r="G41" i="12"/>
  <c r="F41" i="12"/>
  <c r="E41" i="12"/>
  <c r="C41" i="12"/>
  <c r="B41" i="12"/>
  <c r="K37" i="12"/>
  <c r="F37" i="12"/>
  <c r="K36" i="12"/>
  <c r="K35" i="12"/>
  <c r="I36" i="12"/>
  <c r="I35" i="12"/>
  <c r="G36" i="12"/>
  <c r="G35" i="12"/>
  <c r="H35" i="12"/>
  <c r="J32" i="12"/>
  <c r="I32" i="12"/>
  <c r="H32" i="12"/>
  <c r="F32" i="12"/>
  <c r="K31" i="12"/>
  <c r="F31" i="12"/>
  <c r="K30" i="12"/>
  <c r="F30" i="12"/>
  <c r="K29" i="12"/>
  <c r="F29" i="12"/>
  <c r="L28" i="12"/>
  <c r="K28" i="12"/>
  <c r="J28" i="12"/>
  <c r="I28" i="12"/>
  <c r="H28" i="12"/>
  <c r="G28" i="12"/>
  <c r="K27" i="12"/>
  <c r="I27" i="12"/>
  <c r="H27" i="12"/>
  <c r="G27" i="12"/>
  <c r="K26" i="12"/>
  <c r="I26" i="12"/>
  <c r="H26" i="12"/>
  <c r="G26" i="12"/>
  <c r="L25" i="12"/>
  <c r="K25" i="12"/>
  <c r="J25" i="12"/>
  <c r="I25" i="12"/>
  <c r="H25" i="12"/>
  <c r="G25" i="12"/>
  <c r="V24" i="12"/>
  <c r="U24" i="12"/>
  <c r="T24" i="12"/>
  <c r="L30" i="12"/>
  <c r="S24" i="12"/>
  <c r="J30" i="12"/>
  <c r="R24" i="12"/>
  <c r="L29" i="12"/>
  <c r="Q24" i="12"/>
  <c r="J29" i="12"/>
  <c r="F24" i="12"/>
  <c r="E24" i="12"/>
  <c r="C24" i="12"/>
  <c r="B24" i="12"/>
  <c r="D23" i="12"/>
  <c r="A22" i="12"/>
  <c r="A20" i="12"/>
  <c r="J180" i="12"/>
  <c r="J189" i="12"/>
  <c r="L90" i="12"/>
  <c r="J108" i="12"/>
  <c r="J143" i="12"/>
  <c r="L190" i="12"/>
  <c r="O20" i="15"/>
  <c r="J190" i="12"/>
  <c r="N20" i="15"/>
  <c r="J192" i="12"/>
  <c r="J183" i="12"/>
  <c r="L189" i="12"/>
  <c r="L192" i="12"/>
  <c r="L183" i="12"/>
  <c r="L126" i="12"/>
  <c r="J126" i="12"/>
  <c r="L143" i="12"/>
  <c r="J132" i="12"/>
  <c r="J131" i="12"/>
  <c r="J121" i="12"/>
  <c r="J74" i="12"/>
  <c r="J73" i="12"/>
  <c r="J64" i="12"/>
  <c r="L114" i="12"/>
  <c r="L108" i="12"/>
  <c r="L89" i="12"/>
  <c r="J107" i="12"/>
  <c r="J114" i="12"/>
  <c r="J113" i="12"/>
  <c r="J103" i="12"/>
  <c r="J125" i="12"/>
  <c r="J144" i="12"/>
  <c r="J90" i="12"/>
  <c r="L107" i="12"/>
  <c r="J150" i="12"/>
  <c r="J149" i="12"/>
  <c r="J139" i="12"/>
  <c r="L144" i="12"/>
  <c r="P82" i="12"/>
  <c r="J96" i="12"/>
  <c r="J97" i="12"/>
  <c r="P80" i="12"/>
  <c r="P156" i="12"/>
  <c r="J36" i="12"/>
  <c r="J35" i="12"/>
  <c r="J26" i="12"/>
  <c r="I42" i="12"/>
  <c r="L55" i="12"/>
  <c r="L56" i="12"/>
  <c r="O61" i="12"/>
  <c r="L74" i="12"/>
  <c r="L65" i="12"/>
  <c r="J89" i="12"/>
  <c r="L125" i="12"/>
  <c r="L150" i="12"/>
  <c r="L149" i="12"/>
  <c r="L139" i="12"/>
  <c r="J122" i="12"/>
  <c r="J95" i="12"/>
  <c r="J85" i="12"/>
  <c r="L115" i="12"/>
  <c r="L104" i="12"/>
  <c r="L113" i="12"/>
  <c r="L103" i="12"/>
  <c r="L36" i="12"/>
  <c r="L132" i="12"/>
  <c r="J55" i="12"/>
  <c r="P61" i="12"/>
  <c r="I80" i="12"/>
  <c r="I82" i="12"/>
  <c r="I156" i="12"/>
  <c r="L96" i="12"/>
  <c r="J115" i="12"/>
  <c r="P42" i="12"/>
  <c r="J65" i="12"/>
  <c r="P20" i="15"/>
  <c r="J198" i="12"/>
  <c r="J75" i="12"/>
  <c r="Q20" i="15"/>
  <c r="G17" i="14"/>
  <c r="L198" i="12"/>
  <c r="J133" i="12"/>
  <c r="I134" i="12"/>
  <c r="O134" i="12"/>
  <c r="L46" i="12"/>
  <c r="L54" i="12"/>
  <c r="L45" i="12"/>
  <c r="L73" i="12"/>
  <c r="L64" i="12"/>
  <c r="J86" i="12"/>
  <c r="J104" i="12"/>
  <c r="J37" i="12"/>
  <c r="J31" i="12"/>
  <c r="L140" i="12"/>
  <c r="J140" i="12"/>
  <c r="J151" i="12"/>
  <c r="I152" i="12"/>
  <c r="O152" i="12"/>
  <c r="L75" i="12"/>
  <c r="K76" i="12"/>
  <c r="P76" i="12"/>
  <c r="J27" i="12"/>
  <c r="L151" i="12"/>
  <c r="L145" i="12"/>
  <c r="L95" i="12"/>
  <c r="L85" i="12"/>
  <c r="L97" i="12"/>
  <c r="L86" i="12"/>
  <c r="J127" i="12"/>
  <c r="I129" i="12"/>
  <c r="J91" i="12"/>
  <c r="I93" i="12"/>
  <c r="I98" i="12"/>
  <c r="O98" i="12"/>
  <c r="J46" i="12"/>
  <c r="J56" i="12"/>
  <c r="J54" i="12"/>
  <c r="J45" i="12"/>
  <c r="L131" i="12"/>
  <c r="L121" i="12"/>
  <c r="L133" i="12"/>
  <c r="L122" i="12"/>
  <c r="I76" i="12"/>
  <c r="O76" i="12"/>
  <c r="J69" i="12"/>
  <c r="I116" i="12"/>
  <c r="O116" i="12"/>
  <c r="J109" i="12"/>
  <c r="L35" i="12"/>
  <c r="L26" i="12"/>
  <c r="L27" i="12"/>
  <c r="L37" i="12"/>
  <c r="L109" i="12"/>
  <c r="K116" i="12"/>
  <c r="P116" i="12"/>
  <c r="L50" i="12"/>
  <c r="K57" i="12"/>
  <c r="P57" i="12"/>
  <c r="O129" i="12"/>
  <c r="R20" i="15"/>
  <c r="P52" i="12"/>
  <c r="L69" i="12"/>
  <c r="I38" i="12"/>
  <c r="O38" i="12"/>
  <c r="K152" i="12"/>
  <c r="P152" i="12"/>
  <c r="I100" i="12"/>
  <c r="K71" i="12"/>
  <c r="K78" i="12"/>
  <c r="I136" i="12"/>
  <c r="J145" i="12"/>
  <c r="I147" i="12"/>
  <c r="I154" i="12"/>
  <c r="O93" i="12"/>
  <c r="I33" i="12"/>
  <c r="O33" i="12"/>
  <c r="K52" i="12"/>
  <c r="K59" i="12"/>
  <c r="P111" i="12"/>
  <c r="K111" i="12"/>
  <c r="K118" i="12"/>
  <c r="I111" i="12"/>
  <c r="I118" i="12"/>
  <c r="O111" i="12"/>
  <c r="J50" i="12"/>
  <c r="O52" i="12"/>
  <c r="I57" i="12"/>
  <c r="O57" i="12"/>
  <c r="K38" i="12"/>
  <c r="P38" i="12"/>
  <c r="L31" i="12"/>
  <c r="K33" i="12"/>
  <c r="K134" i="12"/>
  <c r="P134" i="12"/>
  <c r="L127" i="12"/>
  <c r="P129" i="12"/>
  <c r="K98" i="12"/>
  <c r="P98" i="12"/>
  <c r="L91" i="12"/>
  <c r="K93" i="12"/>
  <c r="O71" i="12"/>
  <c r="I71" i="12"/>
  <c r="I78" i="12"/>
  <c r="P147" i="12"/>
  <c r="K147" i="12"/>
  <c r="K154" i="12"/>
  <c r="P71" i="12"/>
  <c r="O147" i="12"/>
  <c r="K40" i="12"/>
  <c r="I40" i="12"/>
  <c r="I52" i="12"/>
  <c r="I59" i="12"/>
  <c r="K129" i="12"/>
  <c r="K136" i="12"/>
  <c r="I167" i="12"/>
  <c r="J178" i="12"/>
  <c r="J187" i="12"/>
  <c r="P33" i="12"/>
  <c r="P93" i="12"/>
  <c r="K100" i="12"/>
  <c r="I163" i="12"/>
  <c r="I159" i="12"/>
  <c r="E20" i="15"/>
  <c r="S20" i="15"/>
  <c r="J184" i="12"/>
  <c r="J179" i="12"/>
  <c r="K159" i="12"/>
  <c r="K163" i="12"/>
  <c r="K167" i="12"/>
  <c r="L178" i="12"/>
  <c r="J188" i="12"/>
  <c r="J197" i="12"/>
  <c r="J193" i="12"/>
  <c r="J196" i="12"/>
  <c r="F20" i="15"/>
  <c r="L187" i="12"/>
  <c r="F17" i="14"/>
  <c r="E17" i="14"/>
  <c r="L179" i="12"/>
  <c r="L184" i="12"/>
  <c r="K486" i="11"/>
  <c r="I486" i="11"/>
  <c r="D486" i="11"/>
  <c r="K485" i="11"/>
  <c r="I485" i="11"/>
  <c r="D485" i="11"/>
  <c r="D484" i="11"/>
  <c r="K483" i="11"/>
  <c r="J483" i="11"/>
  <c r="K482" i="11"/>
  <c r="J482" i="11"/>
  <c r="AF481" i="11"/>
  <c r="A481" i="11"/>
  <c r="K479" i="11"/>
  <c r="J479" i="11"/>
  <c r="K478" i="11"/>
  <c r="J478" i="11"/>
  <c r="A477" i="11"/>
  <c r="V474" i="11"/>
  <c r="U474" i="11"/>
  <c r="T474" i="11"/>
  <c r="S474" i="11"/>
  <c r="R474" i="11"/>
  <c r="Q474" i="11"/>
  <c r="L474" i="11"/>
  <c r="K474" i="11"/>
  <c r="J474" i="11"/>
  <c r="I474" i="11"/>
  <c r="H474" i="11"/>
  <c r="G474" i="11"/>
  <c r="F474" i="11"/>
  <c r="E474" i="11"/>
  <c r="C474" i="11"/>
  <c r="B474" i="11"/>
  <c r="V472" i="11"/>
  <c r="U472" i="11"/>
  <c r="T472" i="11"/>
  <c r="S472" i="11"/>
  <c r="R472" i="11"/>
  <c r="Q472" i="11"/>
  <c r="L472" i="11"/>
  <c r="K473" i="11"/>
  <c r="K472" i="11"/>
  <c r="J472" i="11"/>
  <c r="I472" i="11"/>
  <c r="H472" i="11"/>
  <c r="G472" i="11"/>
  <c r="F472" i="11"/>
  <c r="E472" i="11"/>
  <c r="C472" i="11"/>
  <c r="B472" i="11"/>
  <c r="K468" i="11"/>
  <c r="F468" i="11"/>
  <c r="K467" i="11"/>
  <c r="K466" i="11"/>
  <c r="I467" i="11"/>
  <c r="I466" i="11"/>
  <c r="G467" i="11"/>
  <c r="G466" i="11"/>
  <c r="H466" i="11"/>
  <c r="J463" i="11"/>
  <c r="I463" i="11"/>
  <c r="H463" i="11"/>
  <c r="F463" i="11"/>
  <c r="K462" i="11"/>
  <c r="F462" i="11"/>
  <c r="K461" i="11"/>
  <c r="F461" i="11"/>
  <c r="K460" i="11"/>
  <c r="F460" i="11"/>
  <c r="V459" i="11"/>
  <c r="U459" i="11"/>
  <c r="T459" i="11"/>
  <c r="S459" i="11"/>
  <c r="R459" i="11"/>
  <c r="Q459" i="11"/>
  <c r="L459" i="11"/>
  <c r="K459" i="11"/>
  <c r="J459" i="11"/>
  <c r="I459" i="11"/>
  <c r="G459" i="11"/>
  <c r="F459" i="11"/>
  <c r="E459" i="11"/>
  <c r="C459" i="11"/>
  <c r="B459" i="11"/>
  <c r="L458" i="11"/>
  <c r="K458" i="11"/>
  <c r="J458" i="11"/>
  <c r="I458" i="11"/>
  <c r="H458" i="11"/>
  <c r="G458" i="11"/>
  <c r="K457" i="11"/>
  <c r="I457" i="11"/>
  <c r="H457" i="11"/>
  <c r="G457" i="11"/>
  <c r="K456" i="11"/>
  <c r="I456" i="11"/>
  <c r="H456" i="11"/>
  <c r="G456" i="11"/>
  <c r="L455" i="11"/>
  <c r="K455" i="11"/>
  <c r="J455" i="11"/>
  <c r="I455" i="11"/>
  <c r="H455" i="11"/>
  <c r="G455" i="11"/>
  <c r="V454" i="11"/>
  <c r="U454" i="11"/>
  <c r="T454" i="11"/>
  <c r="S454" i="11"/>
  <c r="R454" i="11"/>
  <c r="Q454" i="11"/>
  <c r="F454" i="11"/>
  <c r="E454" i="11"/>
  <c r="C454" i="11"/>
  <c r="B454" i="11"/>
  <c r="K450" i="11"/>
  <c r="F450" i="11"/>
  <c r="K449" i="11"/>
  <c r="K448" i="11"/>
  <c r="I449" i="11"/>
  <c r="I448" i="11"/>
  <c r="G449" i="11"/>
  <c r="G448" i="11"/>
  <c r="H448" i="11"/>
  <c r="J445" i="11"/>
  <c r="I445" i="11"/>
  <c r="H445" i="11"/>
  <c r="F445" i="11"/>
  <c r="K444" i="11"/>
  <c r="F444" i="11"/>
  <c r="K443" i="11"/>
  <c r="F443" i="11"/>
  <c r="K442" i="11"/>
  <c r="F442" i="11"/>
  <c r="V441" i="11"/>
  <c r="U441" i="11"/>
  <c r="T441" i="11"/>
  <c r="S441" i="11"/>
  <c r="R441" i="11"/>
  <c r="Q441" i="11"/>
  <c r="L441" i="11"/>
  <c r="K441" i="11"/>
  <c r="J441" i="11"/>
  <c r="I441" i="11"/>
  <c r="G441" i="11"/>
  <c r="F441" i="11"/>
  <c r="E441" i="11"/>
  <c r="C441" i="11"/>
  <c r="B441" i="11"/>
  <c r="L440" i="11"/>
  <c r="K440" i="11"/>
  <c r="J440" i="11"/>
  <c r="I440" i="11"/>
  <c r="H440" i="11"/>
  <c r="G440" i="11"/>
  <c r="K439" i="11"/>
  <c r="I439" i="11"/>
  <c r="H439" i="11"/>
  <c r="G439" i="11"/>
  <c r="K438" i="11"/>
  <c r="I438" i="11"/>
  <c r="H438" i="11"/>
  <c r="G438" i="11"/>
  <c r="L437" i="11"/>
  <c r="K437" i="11"/>
  <c r="J437" i="11"/>
  <c r="I437" i="11"/>
  <c r="H437" i="11"/>
  <c r="G437" i="11"/>
  <c r="V436" i="11"/>
  <c r="U436" i="11"/>
  <c r="T436" i="11"/>
  <c r="S436" i="11"/>
  <c r="R436" i="11"/>
  <c r="Q436" i="11"/>
  <c r="F436" i="11"/>
  <c r="E436" i="11"/>
  <c r="C436" i="11"/>
  <c r="B436" i="11"/>
  <c r="K432" i="11"/>
  <c r="F432" i="11"/>
  <c r="K431" i="11"/>
  <c r="K430" i="11"/>
  <c r="I431" i="11"/>
  <c r="I430" i="11"/>
  <c r="G431" i="11"/>
  <c r="G430" i="11"/>
  <c r="H430" i="11"/>
  <c r="J427" i="11"/>
  <c r="I427" i="11"/>
  <c r="H427" i="11"/>
  <c r="F427" i="11"/>
  <c r="K426" i="11"/>
  <c r="F426" i="11"/>
  <c r="K425" i="11"/>
  <c r="F425" i="11"/>
  <c r="K424" i="11"/>
  <c r="F424" i="11"/>
  <c r="V423" i="11"/>
  <c r="U423" i="11"/>
  <c r="T423" i="11"/>
  <c r="S423" i="11"/>
  <c r="R423" i="11"/>
  <c r="Q423" i="11"/>
  <c r="L423" i="11"/>
  <c r="K423" i="11"/>
  <c r="J423" i="11"/>
  <c r="I423" i="11"/>
  <c r="G423" i="11"/>
  <c r="F423" i="11"/>
  <c r="E423" i="11"/>
  <c r="C423" i="11"/>
  <c r="B423" i="11"/>
  <c r="L422" i="11"/>
  <c r="K422" i="11"/>
  <c r="J422" i="11"/>
  <c r="I422" i="11"/>
  <c r="H422" i="11"/>
  <c r="G422" i="11"/>
  <c r="K421" i="11"/>
  <c r="I421" i="11"/>
  <c r="H421" i="11"/>
  <c r="G421" i="11"/>
  <c r="K420" i="11"/>
  <c r="I420" i="11"/>
  <c r="H420" i="11"/>
  <c r="G420" i="11"/>
  <c r="L419" i="11"/>
  <c r="K419" i="11"/>
  <c r="J419" i="11"/>
  <c r="I419" i="11"/>
  <c r="H419" i="11"/>
  <c r="G419" i="11"/>
  <c r="V418" i="11"/>
  <c r="U418" i="11"/>
  <c r="T418" i="11"/>
  <c r="S418" i="11"/>
  <c r="R418" i="11"/>
  <c r="Q418" i="11"/>
  <c r="F418" i="11"/>
  <c r="E418" i="11"/>
  <c r="C418" i="11"/>
  <c r="B418" i="11"/>
  <c r="A417" i="11"/>
  <c r="K415" i="11"/>
  <c r="J415" i="11"/>
  <c r="K414" i="11"/>
  <c r="J414" i="11"/>
  <c r="A413" i="11"/>
  <c r="V410" i="11"/>
  <c r="U410" i="11"/>
  <c r="T410" i="11"/>
  <c r="S410" i="11"/>
  <c r="R410" i="11"/>
  <c r="Q410" i="11"/>
  <c r="L410" i="11"/>
  <c r="P411" i="11"/>
  <c r="K410" i="11"/>
  <c r="J410" i="11"/>
  <c r="I411" i="11"/>
  <c r="I410" i="11"/>
  <c r="H410" i="11"/>
  <c r="G410" i="11"/>
  <c r="F410" i="11"/>
  <c r="E410" i="11"/>
  <c r="C410" i="11"/>
  <c r="B410" i="11"/>
  <c r="K406" i="11"/>
  <c r="F406" i="11"/>
  <c r="K405" i="11"/>
  <c r="K404" i="11"/>
  <c r="I405" i="11"/>
  <c r="I404" i="11"/>
  <c r="G405" i="11"/>
  <c r="G404" i="11"/>
  <c r="H404" i="11"/>
  <c r="J401" i="11"/>
  <c r="I401" i="11"/>
  <c r="H401" i="11"/>
  <c r="F401" i="11"/>
  <c r="K400" i="11"/>
  <c r="F400" i="11"/>
  <c r="K399" i="11"/>
  <c r="F399" i="11"/>
  <c r="K398" i="11"/>
  <c r="F398" i="11"/>
  <c r="V397" i="11"/>
  <c r="U397" i="11"/>
  <c r="T397" i="11"/>
  <c r="S397" i="11"/>
  <c r="R397" i="11"/>
  <c r="Q397" i="11"/>
  <c r="L397" i="11"/>
  <c r="K397" i="11"/>
  <c r="J397" i="11"/>
  <c r="I397" i="11"/>
  <c r="G397" i="11"/>
  <c r="F397" i="11"/>
  <c r="E397" i="11"/>
  <c r="C397" i="11"/>
  <c r="B397" i="11"/>
  <c r="L396" i="11"/>
  <c r="K396" i="11"/>
  <c r="J396" i="11"/>
  <c r="I396" i="11"/>
  <c r="H396" i="11"/>
  <c r="G396" i="11"/>
  <c r="K395" i="11"/>
  <c r="I395" i="11"/>
  <c r="H395" i="11"/>
  <c r="G395" i="11"/>
  <c r="K394" i="11"/>
  <c r="I394" i="11"/>
  <c r="H394" i="11"/>
  <c r="G394" i="11"/>
  <c r="L393" i="11"/>
  <c r="K393" i="11"/>
  <c r="J393" i="11"/>
  <c r="I393" i="11"/>
  <c r="H393" i="11"/>
  <c r="G393" i="11"/>
  <c r="V392" i="11"/>
  <c r="U392" i="11"/>
  <c r="T392" i="11"/>
  <c r="S392" i="11"/>
  <c r="R392" i="11"/>
  <c r="Q392" i="11"/>
  <c r="F392" i="11"/>
  <c r="E392" i="11"/>
  <c r="C392" i="11"/>
  <c r="B392" i="11"/>
  <c r="V390" i="11"/>
  <c r="U390" i="11"/>
  <c r="T390" i="11"/>
  <c r="S390" i="11"/>
  <c r="R390" i="11"/>
  <c r="Q390" i="11"/>
  <c r="L390" i="11"/>
  <c r="K391" i="11"/>
  <c r="K390" i="11"/>
  <c r="J390" i="11"/>
  <c r="I390" i="11"/>
  <c r="H390" i="11"/>
  <c r="G390" i="11"/>
  <c r="F390" i="11"/>
  <c r="E390" i="11"/>
  <c r="C390" i="11"/>
  <c r="B390" i="11"/>
  <c r="V388" i="11"/>
  <c r="U388" i="11"/>
  <c r="T388" i="11"/>
  <c r="S388" i="11"/>
  <c r="R388" i="11"/>
  <c r="Q388" i="11"/>
  <c r="K388" i="11"/>
  <c r="I388" i="11"/>
  <c r="H388" i="11"/>
  <c r="F388" i="11"/>
  <c r="L388" i="11"/>
  <c r="E388" i="11"/>
  <c r="C388" i="11"/>
  <c r="B388" i="11"/>
  <c r="K384" i="11"/>
  <c r="F384" i="11"/>
  <c r="K383" i="11"/>
  <c r="K382" i="11"/>
  <c r="I383" i="11"/>
  <c r="I382" i="11"/>
  <c r="G383" i="11"/>
  <c r="G382" i="11"/>
  <c r="H382" i="11"/>
  <c r="J379" i="11"/>
  <c r="I379" i="11"/>
  <c r="H379" i="11"/>
  <c r="F379" i="11"/>
  <c r="K378" i="11"/>
  <c r="F378" i="11"/>
  <c r="K377" i="11"/>
  <c r="F377" i="11"/>
  <c r="K376" i="11"/>
  <c r="F376" i="11"/>
  <c r="L375" i="11"/>
  <c r="K375" i="11"/>
  <c r="J375" i="11"/>
  <c r="I375" i="11"/>
  <c r="H375" i="11"/>
  <c r="G375" i="11"/>
  <c r="K374" i="11"/>
  <c r="I374" i="11"/>
  <c r="H374" i="11"/>
  <c r="G374" i="11"/>
  <c r="K373" i="11"/>
  <c r="I373" i="11"/>
  <c r="H373" i="11"/>
  <c r="G373" i="11"/>
  <c r="L372" i="11"/>
  <c r="K372" i="11"/>
  <c r="J372" i="11"/>
  <c r="I372" i="11"/>
  <c r="H372" i="11"/>
  <c r="G372" i="11"/>
  <c r="V371" i="11"/>
  <c r="U371" i="11"/>
  <c r="T371" i="11"/>
  <c r="L377" i="11"/>
  <c r="S371" i="11"/>
  <c r="J377" i="11"/>
  <c r="R371" i="11"/>
  <c r="L376" i="11"/>
  <c r="Q371" i="11"/>
  <c r="J376" i="11"/>
  <c r="F371" i="11"/>
  <c r="E371" i="11"/>
  <c r="C371" i="11"/>
  <c r="B371" i="11"/>
  <c r="V369" i="11"/>
  <c r="U369" i="11"/>
  <c r="T369" i="11"/>
  <c r="S369" i="11"/>
  <c r="R369" i="11"/>
  <c r="Q369" i="11"/>
  <c r="L369" i="11"/>
  <c r="P370" i="11"/>
  <c r="K369" i="11"/>
  <c r="J369" i="11"/>
  <c r="I370" i="11"/>
  <c r="I369" i="11"/>
  <c r="H369" i="11"/>
  <c r="G369" i="11"/>
  <c r="F369" i="11"/>
  <c r="E369" i="11"/>
  <c r="C369" i="11"/>
  <c r="B369" i="11"/>
  <c r="V367" i="11"/>
  <c r="U367" i="11"/>
  <c r="T367" i="11"/>
  <c r="S367" i="11"/>
  <c r="R367" i="11"/>
  <c r="Q367" i="11"/>
  <c r="K367" i="11"/>
  <c r="I367" i="11"/>
  <c r="H367" i="11"/>
  <c r="G367" i="11"/>
  <c r="F367" i="11"/>
  <c r="L367" i="11"/>
  <c r="E367" i="11"/>
  <c r="C367" i="11"/>
  <c r="B367" i="11"/>
  <c r="K363" i="11"/>
  <c r="F363" i="11"/>
  <c r="K362" i="11"/>
  <c r="K361" i="11"/>
  <c r="I362" i="11"/>
  <c r="I361" i="11"/>
  <c r="G362" i="11"/>
  <c r="G361" i="11"/>
  <c r="H361" i="11"/>
  <c r="J358" i="11"/>
  <c r="I358" i="11"/>
  <c r="H358" i="11"/>
  <c r="F358" i="11"/>
  <c r="K357" i="11"/>
  <c r="F357" i="11"/>
  <c r="K356" i="11"/>
  <c r="F356" i="11"/>
  <c r="K355" i="11"/>
  <c r="F355" i="11"/>
  <c r="L354" i="11"/>
  <c r="K354" i="11"/>
  <c r="J354" i="11"/>
  <c r="I354" i="11"/>
  <c r="H354" i="11"/>
  <c r="G354" i="11"/>
  <c r="K353" i="11"/>
  <c r="I353" i="11"/>
  <c r="H353" i="11"/>
  <c r="G353" i="11"/>
  <c r="K352" i="11"/>
  <c r="I352" i="11"/>
  <c r="H352" i="11"/>
  <c r="G352" i="11"/>
  <c r="L351" i="11"/>
  <c r="K351" i="11"/>
  <c r="J351" i="11"/>
  <c r="I351" i="11"/>
  <c r="H351" i="11"/>
  <c r="G351" i="11"/>
  <c r="V350" i="11"/>
  <c r="U350" i="11"/>
  <c r="T350" i="11"/>
  <c r="L356" i="11"/>
  <c r="S350" i="11"/>
  <c r="J356" i="11"/>
  <c r="R350" i="11"/>
  <c r="L355" i="11"/>
  <c r="Q350" i="11"/>
  <c r="J355" i="11"/>
  <c r="F350" i="11"/>
  <c r="E350" i="11"/>
  <c r="C350" i="11"/>
  <c r="B350" i="11"/>
  <c r="A349" i="11"/>
  <c r="K347" i="11"/>
  <c r="J347" i="11"/>
  <c r="K346" i="11"/>
  <c r="J346" i="11"/>
  <c r="A345" i="11"/>
  <c r="K343" i="11"/>
  <c r="J343" i="11"/>
  <c r="K342" i="11"/>
  <c r="J342" i="11"/>
  <c r="A341" i="11"/>
  <c r="V338" i="11"/>
  <c r="U338" i="11"/>
  <c r="T338" i="11"/>
  <c r="S338" i="11"/>
  <c r="R338" i="11"/>
  <c r="Q338" i="11"/>
  <c r="K338" i="11"/>
  <c r="I338" i="11"/>
  <c r="H338" i="11"/>
  <c r="G338" i="11"/>
  <c r="F338" i="11"/>
  <c r="L338" i="11"/>
  <c r="E338" i="11"/>
  <c r="C338" i="11"/>
  <c r="B338" i="11"/>
  <c r="V336" i="11"/>
  <c r="U336" i="11"/>
  <c r="T336" i="11"/>
  <c r="S336" i="11"/>
  <c r="R336" i="11"/>
  <c r="Q336" i="11"/>
  <c r="K336" i="11"/>
  <c r="I336" i="11"/>
  <c r="H336" i="11"/>
  <c r="G336" i="11"/>
  <c r="F336" i="11"/>
  <c r="L336" i="11"/>
  <c r="E336" i="11"/>
  <c r="C336" i="11"/>
  <c r="B336" i="11"/>
  <c r="A335" i="11"/>
  <c r="V332" i="11"/>
  <c r="U332" i="11"/>
  <c r="T332" i="11"/>
  <c r="S332" i="11"/>
  <c r="R332" i="11"/>
  <c r="Q332" i="11"/>
  <c r="L332" i="11"/>
  <c r="P333" i="11"/>
  <c r="K332" i="11"/>
  <c r="J332" i="11"/>
  <c r="O333" i="11"/>
  <c r="I332" i="11"/>
  <c r="H332" i="11"/>
  <c r="G332" i="11"/>
  <c r="F332" i="11"/>
  <c r="E332" i="11"/>
  <c r="C332" i="11"/>
  <c r="B332" i="11"/>
  <c r="V330" i="11"/>
  <c r="U330" i="11"/>
  <c r="T330" i="11"/>
  <c r="S330" i="11"/>
  <c r="R330" i="11"/>
  <c r="Q330" i="11"/>
  <c r="L330" i="11"/>
  <c r="P331" i="11"/>
  <c r="K330" i="11"/>
  <c r="J330" i="11"/>
  <c r="O331" i="11"/>
  <c r="I330" i="11"/>
  <c r="H330" i="11"/>
  <c r="G330" i="11"/>
  <c r="F330" i="11"/>
  <c r="E330" i="11"/>
  <c r="C330" i="11"/>
  <c r="B330" i="11"/>
  <c r="V328" i="11"/>
  <c r="U328" i="11"/>
  <c r="T328" i="11"/>
  <c r="S328" i="11"/>
  <c r="R328" i="11"/>
  <c r="Q328" i="11"/>
  <c r="L328" i="11"/>
  <c r="P329" i="11"/>
  <c r="K328" i="11"/>
  <c r="J328" i="11"/>
  <c r="O329" i="11"/>
  <c r="I328" i="11"/>
  <c r="H328" i="11"/>
  <c r="G328" i="11"/>
  <c r="F328" i="11"/>
  <c r="E328" i="11"/>
  <c r="C328" i="11"/>
  <c r="B328" i="11"/>
  <c r="V326" i="11"/>
  <c r="U326" i="11"/>
  <c r="T326" i="11"/>
  <c r="S326" i="11"/>
  <c r="R326" i="11"/>
  <c r="Q326" i="11"/>
  <c r="L326" i="11"/>
  <c r="P327" i="11"/>
  <c r="K326" i="11"/>
  <c r="J326" i="11"/>
  <c r="O327" i="11"/>
  <c r="I326" i="11"/>
  <c r="H326" i="11"/>
  <c r="G326" i="11"/>
  <c r="F326" i="11"/>
  <c r="E326" i="11"/>
  <c r="C326" i="11"/>
  <c r="B326" i="11"/>
  <c r="V324" i="11"/>
  <c r="U324" i="11"/>
  <c r="T324" i="11"/>
  <c r="S324" i="11"/>
  <c r="R324" i="11"/>
  <c r="Q324" i="11"/>
  <c r="L324" i="11"/>
  <c r="P325" i="11"/>
  <c r="K324" i="11"/>
  <c r="J324" i="11"/>
  <c r="O325" i="11"/>
  <c r="I324" i="11"/>
  <c r="H324" i="11"/>
  <c r="G324" i="11"/>
  <c r="F324" i="11"/>
  <c r="E324" i="11"/>
  <c r="C324" i="11"/>
  <c r="B324" i="11"/>
  <c r="V322" i="11"/>
  <c r="U322" i="11"/>
  <c r="T322" i="11"/>
  <c r="S322" i="11"/>
  <c r="R322" i="11"/>
  <c r="Q322" i="11"/>
  <c r="L322" i="11"/>
  <c r="P323" i="11"/>
  <c r="K322" i="11"/>
  <c r="J322" i="11"/>
  <c r="O323" i="11"/>
  <c r="I322" i="11"/>
  <c r="H322" i="11"/>
  <c r="G322" i="11"/>
  <c r="F322" i="11"/>
  <c r="E322" i="11"/>
  <c r="C322" i="11"/>
  <c r="B322" i="11"/>
  <c r="V320" i="11"/>
  <c r="U320" i="11"/>
  <c r="T320" i="11"/>
  <c r="S320" i="11"/>
  <c r="R320" i="11"/>
  <c r="Q320" i="11"/>
  <c r="L320" i="11"/>
  <c r="P321" i="11"/>
  <c r="K320" i="11"/>
  <c r="J320" i="11"/>
  <c r="I320" i="11"/>
  <c r="H320" i="11"/>
  <c r="G320" i="11"/>
  <c r="F320" i="11"/>
  <c r="E320" i="11"/>
  <c r="C320" i="11"/>
  <c r="B320" i="11"/>
  <c r="V318" i="11"/>
  <c r="U318" i="11"/>
  <c r="T318" i="11"/>
  <c r="S318" i="11"/>
  <c r="R318" i="11"/>
  <c r="Q318" i="11"/>
  <c r="L318" i="11"/>
  <c r="P319" i="11"/>
  <c r="K318" i="11"/>
  <c r="J318" i="11"/>
  <c r="I318" i="11"/>
  <c r="H318" i="11"/>
  <c r="G318" i="11"/>
  <c r="F318" i="11"/>
  <c r="E318" i="11"/>
  <c r="C318" i="11"/>
  <c r="B318" i="11"/>
  <c r="K314" i="11"/>
  <c r="F314" i="11"/>
  <c r="K313" i="11"/>
  <c r="K312" i="11"/>
  <c r="I313" i="11"/>
  <c r="I312" i="11"/>
  <c r="G313" i="11"/>
  <c r="G312" i="11"/>
  <c r="H312" i="11"/>
  <c r="J309" i="11"/>
  <c r="I309" i="11"/>
  <c r="H309" i="11"/>
  <c r="F309" i="11"/>
  <c r="K308" i="11"/>
  <c r="F308" i="11"/>
  <c r="K307" i="11"/>
  <c r="F307" i="11"/>
  <c r="K306" i="11"/>
  <c r="F306" i="11"/>
  <c r="V305" i="11"/>
  <c r="U305" i="11"/>
  <c r="T305" i="11"/>
  <c r="S305" i="11"/>
  <c r="R305" i="11"/>
  <c r="Q305" i="11"/>
  <c r="L305" i="11"/>
  <c r="K305" i="11"/>
  <c r="J305" i="11"/>
  <c r="I305" i="11"/>
  <c r="G305" i="11"/>
  <c r="F305" i="11"/>
  <c r="E305" i="11"/>
  <c r="C305" i="11"/>
  <c r="B305" i="11"/>
  <c r="L304" i="11"/>
  <c r="K304" i="11"/>
  <c r="J304" i="11"/>
  <c r="I304" i="11"/>
  <c r="H304" i="11"/>
  <c r="G304" i="11"/>
  <c r="K303" i="11"/>
  <c r="I303" i="11"/>
  <c r="H303" i="11"/>
  <c r="G303" i="11"/>
  <c r="K302" i="11"/>
  <c r="I302" i="11"/>
  <c r="H302" i="11"/>
  <c r="G302" i="11"/>
  <c r="L301" i="11"/>
  <c r="K301" i="11"/>
  <c r="J301" i="11"/>
  <c r="I301" i="11"/>
  <c r="H301" i="11"/>
  <c r="G301" i="11"/>
  <c r="V300" i="11"/>
  <c r="U300" i="11"/>
  <c r="T300" i="11"/>
  <c r="S300" i="11"/>
  <c r="R300" i="11"/>
  <c r="Q300" i="11"/>
  <c r="F300" i="11"/>
  <c r="E300" i="11"/>
  <c r="C300" i="11"/>
  <c r="B300" i="11"/>
  <c r="K296" i="11"/>
  <c r="F296" i="11"/>
  <c r="K295" i="11"/>
  <c r="K294" i="11"/>
  <c r="I295" i="11"/>
  <c r="I294" i="11"/>
  <c r="G295" i="11"/>
  <c r="G294" i="11"/>
  <c r="H294" i="11"/>
  <c r="J291" i="11"/>
  <c r="I291" i="11"/>
  <c r="H291" i="11"/>
  <c r="F291" i="11"/>
  <c r="K290" i="11"/>
  <c r="F290" i="11"/>
  <c r="K289" i="11"/>
  <c r="F289" i="11"/>
  <c r="K288" i="11"/>
  <c r="F288" i="11"/>
  <c r="V287" i="11"/>
  <c r="U287" i="11"/>
  <c r="T287" i="11"/>
  <c r="S287" i="11"/>
  <c r="R287" i="11"/>
  <c r="Q287" i="11"/>
  <c r="L287" i="11"/>
  <c r="K287" i="11"/>
  <c r="J287" i="11"/>
  <c r="I287" i="11"/>
  <c r="G287" i="11"/>
  <c r="F287" i="11"/>
  <c r="E287" i="11"/>
  <c r="C287" i="11"/>
  <c r="B287" i="11"/>
  <c r="L286" i="11"/>
  <c r="K286" i="11"/>
  <c r="J286" i="11"/>
  <c r="I286" i="11"/>
  <c r="H286" i="11"/>
  <c r="G286" i="11"/>
  <c r="K285" i="11"/>
  <c r="I285" i="11"/>
  <c r="H285" i="11"/>
  <c r="G285" i="11"/>
  <c r="K284" i="11"/>
  <c r="I284" i="11"/>
  <c r="H284" i="11"/>
  <c r="G284" i="11"/>
  <c r="L283" i="11"/>
  <c r="K283" i="11"/>
  <c r="J283" i="11"/>
  <c r="I283" i="11"/>
  <c r="H283" i="11"/>
  <c r="G283" i="11"/>
  <c r="V282" i="11"/>
  <c r="U282" i="11"/>
  <c r="T282" i="11"/>
  <c r="S282" i="11"/>
  <c r="R282" i="11"/>
  <c r="Q282" i="11"/>
  <c r="F282" i="11"/>
  <c r="E282" i="11"/>
  <c r="C282" i="11"/>
  <c r="B282" i="11"/>
  <c r="K278" i="11"/>
  <c r="F278" i="11"/>
  <c r="K277" i="11"/>
  <c r="K276" i="11"/>
  <c r="I277" i="11"/>
  <c r="I276" i="11"/>
  <c r="G277" i="11"/>
  <c r="G276" i="11"/>
  <c r="H276" i="11"/>
  <c r="J273" i="11"/>
  <c r="I273" i="11"/>
  <c r="H273" i="11"/>
  <c r="F273" i="11"/>
  <c r="K272" i="11"/>
  <c r="F272" i="11"/>
  <c r="K271" i="11"/>
  <c r="F271" i="11"/>
  <c r="K270" i="11"/>
  <c r="F270" i="11"/>
  <c r="V269" i="11"/>
  <c r="U269" i="11"/>
  <c r="T269" i="11"/>
  <c r="S269" i="11"/>
  <c r="R269" i="11"/>
  <c r="Q269" i="11"/>
  <c r="L269" i="11"/>
  <c r="K269" i="11"/>
  <c r="J269" i="11"/>
  <c r="I269" i="11"/>
  <c r="G269" i="11"/>
  <c r="F269" i="11"/>
  <c r="E269" i="11"/>
  <c r="C269" i="11"/>
  <c r="B269" i="11"/>
  <c r="L268" i="11"/>
  <c r="K268" i="11"/>
  <c r="J268" i="11"/>
  <c r="I268" i="11"/>
  <c r="H268" i="11"/>
  <c r="G268" i="11"/>
  <c r="K267" i="11"/>
  <c r="I267" i="11"/>
  <c r="H267" i="11"/>
  <c r="G267" i="11"/>
  <c r="K266" i="11"/>
  <c r="I266" i="11"/>
  <c r="H266" i="11"/>
  <c r="G266" i="11"/>
  <c r="L265" i="11"/>
  <c r="K265" i="11"/>
  <c r="J265" i="11"/>
  <c r="I265" i="11"/>
  <c r="H265" i="11"/>
  <c r="G265" i="11"/>
  <c r="V264" i="11"/>
  <c r="U264" i="11"/>
  <c r="T264" i="11"/>
  <c r="S264" i="11"/>
  <c r="R264" i="11"/>
  <c r="Q264" i="11"/>
  <c r="F264" i="11"/>
  <c r="E264" i="11"/>
  <c r="C264" i="11"/>
  <c r="B264" i="11"/>
  <c r="V262" i="11"/>
  <c r="U262" i="11"/>
  <c r="T262" i="11"/>
  <c r="S262" i="11"/>
  <c r="R262" i="11"/>
  <c r="Q262" i="11"/>
  <c r="L262" i="11"/>
  <c r="K263" i="11"/>
  <c r="K262" i="11"/>
  <c r="J262" i="11"/>
  <c r="I262" i="11"/>
  <c r="H262" i="11"/>
  <c r="G262" i="11"/>
  <c r="F262" i="11"/>
  <c r="E262" i="11"/>
  <c r="C262" i="11"/>
  <c r="B262" i="11"/>
  <c r="V260" i="11"/>
  <c r="U260" i="11"/>
  <c r="T260" i="11"/>
  <c r="S260" i="11"/>
  <c r="R260" i="11"/>
  <c r="Q260" i="11"/>
  <c r="K260" i="11"/>
  <c r="I260" i="11"/>
  <c r="H260" i="11"/>
  <c r="G260" i="11"/>
  <c r="F260" i="11"/>
  <c r="L260" i="11"/>
  <c r="E260" i="11"/>
  <c r="C260" i="11"/>
  <c r="B260" i="11"/>
  <c r="K256" i="11"/>
  <c r="F256" i="11"/>
  <c r="K255" i="11"/>
  <c r="K254" i="11"/>
  <c r="I255" i="11"/>
  <c r="I254" i="11"/>
  <c r="G255" i="11"/>
  <c r="G254" i="11"/>
  <c r="H254" i="11"/>
  <c r="J251" i="11"/>
  <c r="I251" i="11"/>
  <c r="H251" i="11"/>
  <c r="F251" i="11"/>
  <c r="K250" i="11"/>
  <c r="F250" i="11"/>
  <c r="K249" i="11"/>
  <c r="F249" i="11"/>
  <c r="K248" i="11"/>
  <c r="F248" i="11"/>
  <c r="L247" i="11"/>
  <c r="K247" i="11"/>
  <c r="J247" i="11"/>
  <c r="I247" i="11"/>
  <c r="H247" i="11"/>
  <c r="G247" i="11"/>
  <c r="K246" i="11"/>
  <c r="I246" i="11"/>
  <c r="H246" i="11"/>
  <c r="G246" i="11"/>
  <c r="K245" i="11"/>
  <c r="I245" i="11"/>
  <c r="H245" i="11"/>
  <c r="G245" i="11"/>
  <c r="L244" i="11"/>
  <c r="K244" i="11"/>
  <c r="J244" i="11"/>
  <c r="I244" i="11"/>
  <c r="H244" i="11"/>
  <c r="G244" i="11"/>
  <c r="V243" i="11"/>
  <c r="U243" i="11"/>
  <c r="T243" i="11"/>
  <c r="L249" i="11"/>
  <c r="S243" i="11"/>
  <c r="J249" i="11"/>
  <c r="R243" i="11"/>
  <c r="L248" i="11"/>
  <c r="Q243" i="11"/>
  <c r="J248" i="11"/>
  <c r="F243" i="11"/>
  <c r="E243" i="11"/>
  <c r="C243" i="11"/>
  <c r="B243" i="11"/>
  <c r="V241" i="11"/>
  <c r="U241" i="11"/>
  <c r="T241" i="11"/>
  <c r="S241" i="11"/>
  <c r="R241" i="11"/>
  <c r="Q241" i="11"/>
  <c r="L241" i="11"/>
  <c r="K242" i="11"/>
  <c r="K241" i="11"/>
  <c r="J241" i="11"/>
  <c r="I241" i="11"/>
  <c r="H241" i="11"/>
  <c r="G241" i="11"/>
  <c r="F241" i="11"/>
  <c r="E241" i="11"/>
  <c r="C241" i="11"/>
  <c r="B241" i="11"/>
  <c r="K237" i="11"/>
  <c r="F237" i="11"/>
  <c r="K236" i="11"/>
  <c r="K235" i="11"/>
  <c r="I236" i="11"/>
  <c r="I235" i="11"/>
  <c r="G236" i="11"/>
  <c r="G235" i="11"/>
  <c r="H235" i="11"/>
  <c r="J232" i="11"/>
  <c r="I232" i="11"/>
  <c r="H232" i="11"/>
  <c r="F232" i="11"/>
  <c r="K231" i="11"/>
  <c r="F231" i="11"/>
  <c r="K230" i="11"/>
  <c r="F230" i="11"/>
  <c r="K229" i="11"/>
  <c r="F229" i="11"/>
  <c r="L228" i="11"/>
  <c r="K228" i="11"/>
  <c r="J228" i="11"/>
  <c r="I228" i="11"/>
  <c r="H228" i="11"/>
  <c r="G228" i="11"/>
  <c r="K227" i="11"/>
  <c r="I227" i="11"/>
  <c r="H227" i="11"/>
  <c r="G227" i="11"/>
  <c r="K226" i="11"/>
  <c r="I226" i="11"/>
  <c r="H226" i="11"/>
  <c r="G226" i="11"/>
  <c r="L225" i="11"/>
  <c r="K225" i="11"/>
  <c r="J225" i="11"/>
  <c r="I225" i="11"/>
  <c r="H225" i="11"/>
  <c r="G225" i="11"/>
  <c r="V224" i="11"/>
  <c r="U224" i="11"/>
  <c r="T224" i="11"/>
  <c r="L230" i="11"/>
  <c r="S224" i="11"/>
  <c r="J230" i="11"/>
  <c r="R224" i="11"/>
  <c r="L229" i="11"/>
  <c r="Q224" i="11"/>
  <c r="J229" i="11"/>
  <c r="F224" i="11"/>
  <c r="E224" i="11"/>
  <c r="C224" i="11"/>
  <c r="B224" i="11"/>
  <c r="V222" i="11"/>
  <c r="U222" i="11"/>
  <c r="T222" i="11"/>
  <c r="S222" i="11"/>
  <c r="R222" i="11"/>
  <c r="Q222" i="11"/>
  <c r="L222" i="11"/>
  <c r="P223" i="11"/>
  <c r="K222" i="11"/>
  <c r="J222" i="11"/>
  <c r="O223" i="11"/>
  <c r="I222" i="11"/>
  <c r="H222" i="11"/>
  <c r="G222" i="11"/>
  <c r="F222" i="11"/>
  <c r="E222" i="11"/>
  <c r="C222" i="11"/>
  <c r="B222" i="11"/>
  <c r="V220" i="11"/>
  <c r="U220" i="11"/>
  <c r="T220" i="11"/>
  <c r="S220" i="11"/>
  <c r="R220" i="11"/>
  <c r="Q220" i="11"/>
  <c r="K220" i="11"/>
  <c r="I220" i="11"/>
  <c r="H220" i="11"/>
  <c r="G220" i="11"/>
  <c r="F220" i="11"/>
  <c r="L220" i="11"/>
  <c r="E220" i="11"/>
  <c r="C220" i="11"/>
  <c r="B220" i="11"/>
  <c r="K216" i="11"/>
  <c r="F216" i="11"/>
  <c r="K215" i="11"/>
  <c r="K214" i="11"/>
  <c r="I215" i="11"/>
  <c r="I214" i="11"/>
  <c r="G215" i="11"/>
  <c r="G214" i="11"/>
  <c r="H214" i="11"/>
  <c r="J211" i="11"/>
  <c r="I211" i="11"/>
  <c r="H211" i="11"/>
  <c r="F211" i="11"/>
  <c r="K210" i="11"/>
  <c r="F210" i="11"/>
  <c r="K209" i="11"/>
  <c r="F209" i="11"/>
  <c r="K208" i="11"/>
  <c r="F208" i="11"/>
  <c r="L207" i="11"/>
  <c r="K207" i="11"/>
  <c r="J207" i="11"/>
  <c r="I207" i="11"/>
  <c r="H207" i="11"/>
  <c r="G207" i="11"/>
  <c r="K206" i="11"/>
  <c r="I206" i="11"/>
  <c r="H206" i="11"/>
  <c r="G206" i="11"/>
  <c r="K205" i="11"/>
  <c r="I205" i="11"/>
  <c r="H205" i="11"/>
  <c r="G205" i="11"/>
  <c r="L204" i="11"/>
  <c r="K204" i="11"/>
  <c r="J204" i="11"/>
  <c r="I204" i="11"/>
  <c r="H204" i="11"/>
  <c r="G204" i="11"/>
  <c r="V203" i="11"/>
  <c r="U203" i="11"/>
  <c r="T203" i="11"/>
  <c r="L209" i="11"/>
  <c r="S203" i="11"/>
  <c r="J209" i="11"/>
  <c r="R203" i="11"/>
  <c r="L208" i="11"/>
  <c r="Q203" i="11"/>
  <c r="J208" i="11"/>
  <c r="F203" i="11"/>
  <c r="E203" i="11"/>
  <c r="C203" i="11"/>
  <c r="B203" i="11"/>
  <c r="V201" i="11"/>
  <c r="U201" i="11"/>
  <c r="T201" i="11"/>
  <c r="S201" i="11"/>
  <c r="R201" i="11"/>
  <c r="Q201" i="11"/>
  <c r="L201" i="11"/>
  <c r="P202" i="11"/>
  <c r="K201" i="11"/>
  <c r="J201" i="11"/>
  <c r="O202" i="11"/>
  <c r="I201" i="11"/>
  <c r="H201" i="11"/>
  <c r="G201" i="11"/>
  <c r="F201" i="11"/>
  <c r="E201" i="11"/>
  <c r="C201" i="11"/>
  <c r="B201" i="11"/>
  <c r="V199" i="11"/>
  <c r="U199" i="11"/>
  <c r="T199" i="11"/>
  <c r="S199" i="11"/>
  <c r="R199" i="11"/>
  <c r="Q199" i="11"/>
  <c r="K199" i="11"/>
  <c r="I199" i="11"/>
  <c r="H199" i="11"/>
  <c r="G199" i="11"/>
  <c r="F199" i="11"/>
  <c r="L199" i="11"/>
  <c r="E199" i="11"/>
  <c r="C199" i="11"/>
  <c r="B199" i="11"/>
  <c r="K195" i="11"/>
  <c r="F195" i="11"/>
  <c r="K194" i="11"/>
  <c r="K193" i="11"/>
  <c r="I194" i="11"/>
  <c r="I193" i="11"/>
  <c r="G194" i="11"/>
  <c r="G193" i="11"/>
  <c r="H193" i="11"/>
  <c r="J190" i="11"/>
  <c r="I190" i="11"/>
  <c r="H190" i="11"/>
  <c r="F190" i="11"/>
  <c r="K189" i="11"/>
  <c r="F189" i="11"/>
  <c r="K188" i="11"/>
  <c r="F188" i="11"/>
  <c r="K187" i="11"/>
  <c r="F187" i="11"/>
  <c r="L186" i="11"/>
  <c r="K186" i="11"/>
  <c r="J186" i="11"/>
  <c r="I186" i="11"/>
  <c r="H186" i="11"/>
  <c r="G186" i="11"/>
  <c r="K185" i="11"/>
  <c r="I185" i="11"/>
  <c r="H185" i="11"/>
  <c r="G185" i="11"/>
  <c r="K184" i="11"/>
  <c r="I184" i="11"/>
  <c r="H184" i="11"/>
  <c r="G184" i="11"/>
  <c r="L183" i="11"/>
  <c r="K183" i="11"/>
  <c r="J183" i="11"/>
  <c r="I183" i="11"/>
  <c r="H183" i="11"/>
  <c r="G183" i="11"/>
  <c r="V182" i="11"/>
  <c r="U182" i="11"/>
  <c r="T182" i="11"/>
  <c r="L188" i="11"/>
  <c r="S182" i="11"/>
  <c r="J188" i="11"/>
  <c r="R182" i="11"/>
  <c r="L187" i="11"/>
  <c r="Q182" i="11"/>
  <c r="J187" i="11"/>
  <c r="F182" i="11"/>
  <c r="E182" i="11"/>
  <c r="C182" i="11"/>
  <c r="B182" i="11"/>
  <c r="K178" i="11"/>
  <c r="F178" i="11"/>
  <c r="K177" i="11"/>
  <c r="K176" i="11"/>
  <c r="I177" i="11"/>
  <c r="I176" i="11"/>
  <c r="G177" i="11"/>
  <c r="G176" i="11"/>
  <c r="H176" i="11"/>
  <c r="J173" i="11"/>
  <c r="I173" i="11"/>
  <c r="H173" i="11"/>
  <c r="F173" i="11"/>
  <c r="K172" i="11"/>
  <c r="F172" i="11"/>
  <c r="K171" i="11"/>
  <c r="F171" i="11"/>
  <c r="K170" i="11"/>
  <c r="F170" i="11"/>
  <c r="L169" i="11"/>
  <c r="K169" i="11"/>
  <c r="J169" i="11"/>
  <c r="I169" i="11"/>
  <c r="H169" i="11"/>
  <c r="G169" i="11"/>
  <c r="K168" i="11"/>
  <c r="I168" i="11"/>
  <c r="H168" i="11"/>
  <c r="G168" i="11"/>
  <c r="K167" i="11"/>
  <c r="I167" i="11"/>
  <c r="H167" i="11"/>
  <c r="G167" i="11"/>
  <c r="L166" i="11"/>
  <c r="K166" i="11"/>
  <c r="J166" i="11"/>
  <c r="I166" i="11"/>
  <c r="H166" i="11"/>
  <c r="G166" i="11"/>
  <c r="V165" i="11"/>
  <c r="U165" i="11"/>
  <c r="T165" i="11"/>
  <c r="L171" i="11"/>
  <c r="S165" i="11"/>
  <c r="J171" i="11"/>
  <c r="R165" i="11"/>
  <c r="L170" i="11"/>
  <c r="Q165" i="11"/>
  <c r="J170" i="11"/>
  <c r="F165" i="11"/>
  <c r="E165" i="11"/>
  <c r="C165" i="11"/>
  <c r="B165" i="11"/>
  <c r="A164" i="11"/>
  <c r="K162" i="11"/>
  <c r="J162" i="11"/>
  <c r="K161" i="11"/>
  <c r="J161" i="11"/>
  <c r="A160" i="11"/>
  <c r="V157" i="11"/>
  <c r="U157" i="11"/>
  <c r="T157" i="11"/>
  <c r="S157" i="11"/>
  <c r="R157" i="11"/>
  <c r="Q157" i="11"/>
  <c r="L157" i="11"/>
  <c r="K158" i="11"/>
  <c r="K157" i="11"/>
  <c r="J157" i="11"/>
  <c r="I157" i="11"/>
  <c r="H157" i="11"/>
  <c r="G157" i="11"/>
  <c r="F157" i="11"/>
  <c r="E157" i="11"/>
  <c r="C157" i="11"/>
  <c r="B157" i="11"/>
  <c r="V155" i="11"/>
  <c r="U155" i="11"/>
  <c r="T155" i="11"/>
  <c r="S155" i="11"/>
  <c r="R155" i="11"/>
  <c r="Q155" i="11"/>
  <c r="L155" i="11"/>
  <c r="K156" i="11"/>
  <c r="K155" i="11"/>
  <c r="J155" i="11"/>
  <c r="I155" i="11"/>
  <c r="H155" i="11"/>
  <c r="G155" i="11"/>
  <c r="F155" i="11"/>
  <c r="E155" i="11"/>
  <c r="C155" i="11"/>
  <c r="B155" i="11"/>
  <c r="K151" i="11"/>
  <c r="F151" i="11"/>
  <c r="K150" i="11"/>
  <c r="K149" i="11"/>
  <c r="I150" i="11"/>
  <c r="I149" i="11"/>
  <c r="G150" i="11"/>
  <c r="G149" i="11"/>
  <c r="H149" i="11"/>
  <c r="J146" i="11"/>
  <c r="I146" i="11"/>
  <c r="H146" i="11"/>
  <c r="F146" i="11"/>
  <c r="K145" i="11"/>
  <c r="F145" i="11"/>
  <c r="K144" i="11"/>
  <c r="F144" i="11"/>
  <c r="K143" i="11"/>
  <c r="F143" i="11"/>
  <c r="V142" i="11"/>
  <c r="U142" i="11"/>
  <c r="T142" i="11"/>
  <c r="S142" i="11"/>
  <c r="R142" i="11"/>
  <c r="Q142" i="11"/>
  <c r="L142" i="11"/>
  <c r="K142" i="11"/>
  <c r="J142" i="11"/>
  <c r="I142" i="11"/>
  <c r="G142" i="11"/>
  <c r="F142" i="11"/>
  <c r="E142" i="11"/>
  <c r="C142" i="11"/>
  <c r="B142" i="11"/>
  <c r="L141" i="11"/>
  <c r="K141" i="11"/>
  <c r="J141" i="11"/>
  <c r="I141" i="11"/>
  <c r="H141" i="11"/>
  <c r="G141" i="11"/>
  <c r="K140" i="11"/>
  <c r="I140" i="11"/>
  <c r="H140" i="11"/>
  <c r="G140" i="11"/>
  <c r="K139" i="11"/>
  <c r="I139" i="11"/>
  <c r="H139" i="11"/>
  <c r="G139" i="11"/>
  <c r="L138" i="11"/>
  <c r="K138" i="11"/>
  <c r="J138" i="11"/>
  <c r="I138" i="11"/>
  <c r="H138" i="11"/>
  <c r="G138" i="11"/>
  <c r="V137" i="11"/>
  <c r="U137" i="11"/>
  <c r="T137" i="11"/>
  <c r="S137" i="11"/>
  <c r="R137" i="11"/>
  <c r="Q137" i="11"/>
  <c r="F137" i="11"/>
  <c r="E137" i="11"/>
  <c r="C137" i="11"/>
  <c r="B137" i="11"/>
  <c r="V135" i="11"/>
  <c r="U135" i="11"/>
  <c r="T135" i="11"/>
  <c r="S135" i="11"/>
  <c r="R135" i="11"/>
  <c r="Q135" i="11"/>
  <c r="L135" i="11"/>
  <c r="P136" i="11"/>
  <c r="K135" i="11"/>
  <c r="J135" i="11"/>
  <c r="O136" i="11"/>
  <c r="I135" i="11"/>
  <c r="H135" i="11"/>
  <c r="G135" i="11"/>
  <c r="F135" i="11"/>
  <c r="E135" i="11"/>
  <c r="C135" i="11"/>
  <c r="B135" i="11"/>
  <c r="V133" i="11"/>
  <c r="U133" i="11"/>
  <c r="T133" i="11"/>
  <c r="S133" i="11"/>
  <c r="R133" i="11"/>
  <c r="Q133" i="11"/>
  <c r="L133" i="11"/>
  <c r="P134" i="11"/>
  <c r="K133" i="11"/>
  <c r="J133" i="11"/>
  <c r="O134" i="11"/>
  <c r="I133" i="11"/>
  <c r="H133" i="11"/>
  <c r="G133" i="11"/>
  <c r="F133" i="11"/>
  <c r="E133" i="11"/>
  <c r="C133" i="11"/>
  <c r="B133" i="11"/>
  <c r="K129" i="11"/>
  <c r="F129" i="11"/>
  <c r="K128" i="11"/>
  <c r="K127" i="11"/>
  <c r="I128" i="11"/>
  <c r="I127" i="11"/>
  <c r="G128" i="11"/>
  <c r="G127" i="11"/>
  <c r="H127" i="11"/>
  <c r="J124" i="11"/>
  <c r="I124" i="11"/>
  <c r="H124" i="11"/>
  <c r="F124" i="11"/>
  <c r="K123" i="11"/>
  <c r="F123" i="11"/>
  <c r="K122" i="11"/>
  <c r="F122" i="11"/>
  <c r="K121" i="11"/>
  <c r="F121" i="11"/>
  <c r="L120" i="11"/>
  <c r="K120" i="11"/>
  <c r="J120" i="11"/>
  <c r="I120" i="11"/>
  <c r="H120" i="11"/>
  <c r="G120" i="11"/>
  <c r="K119" i="11"/>
  <c r="I119" i="11"/>
  <c r="H119" i="11"/>
  <c r="G119" i="11"/>
  <c r="K118" i="11"/>
  <c r="I118" i="11"/>
  <c r="H118" i="11"/>
  <c r="G118" i="11"/>
  <c r="L117" i="11"/>
  <c r="K117" i="11"/>
  <c r="J117" i="11"/>
  <c r="I117" i="11"/>
  <c r="H117" i="11"/>
  <c r="G117" i="11"/>
  <c r="V116" i="11"/>
  <c r="U116" i="11"/>
  <c r="T116" i="11"/>
  <c r="L122" i="11"/>
  <c r="S116" i="11"/>
  <c r="J122" i="11"/>
  <c r="R116" i="11"/>
  <c r="L121" i="11"/>
  <c r="Q116" i="11"/>
  <c r="J121" i="11"/>
  <c r="F116" i="11"/>
  <c r="E116" i="11"/>
  <c r="C116" i="11"/>
  <c r="B116" i="11"/>
  <c r="A115" i="11"/>
  <c r="K113" i="11"/>
  <c r="J113" i="11"/>
  <c r="K112" i="11"/>
  <c r="J112" i="11"/>
  <c r="A111" i="11"/>
  <c r="V108" i="11"/>
  <c r="U108" i="11"/>
  <c r="T108" i="11"/>
  <c r="S108" i="11"/>
  <c r="R108" i="11"/>
  <c r="Q108" i="11"/>
  <c r="L108" i="11"/>
  <c r="K109" i="11"/>
  <c r="K108" i="11"/>
  <c r="J108" i="11"/>
  <c r="O109" i="11"/>
  <c r="I108" i="11"/>
  <c r="H108" i="11"/>
  <c r="G108" i="11"/>
  <c r="F108" i="11"/>
  <c r="E108" i="11"/>
  <c r="C108" i="11"/>
  <c r="B108" i="11"/>
  <c r="V106" i="11"/>
  <c r="U106" i="11"/>
  <c r="T106" i="11"/>
  <c r="S106" i="11"/>
  <c r="R106" i="11"/>
  <c r="Q106" i="11"/>
  <c r="L106" i="11"/>
  <c r="K107" i="11"/>
  <c r="K106" i="11"/>
  <c r="J106" i="11"/>
  <c r="O107" i="11"/>
  <c r="I106" i="11"/>
  <c r="H106" i="11"/>
  <c r="G106" i="11"/>
  <c r="F106" i="11"/>
  <c r="E106" i="11"/>
  <c r="C106" i="11"/>
  <c r="B106" i="11"/>
  <c r="K102" i="11"/>
  <c r="F102" i="11"/>
  <c r="K101" i="11"/>
  <c r="K100" i="11"/>
  <c r="I101" i="11"/>
  <c r="I100" i="11"/>
  <c r="G101" i="11"/>
  <c r="G100" i="11"/>
  <c r="H100" i="11"/>
  <c r="J97" i="11"/>
  <c r="I97" i="11"/>
  <c r="H97" i="11"/>
  <c r="F97" i="11"/>
  <c r="K96" i="11"/>
  <c r="F96" i="11"/>
  <c r="K95" i="11"/>
  <c r="F95" i="11"/>
  <c r="K94" i="11"/>
  <c r="F94" i="11"/>
  <c r="V93" i="11"/>
  <c r="U93" i="11"/>
  <c r="T93" i="11"/>
  <c r="S93" i="11"/>
  <c r="R93" i="11"/>
  <c r="Q93" i="11"/>
  <c r="L93" i="11"/>
  <c r="K93" i="11"/>
  <c r="J93" i="11"/>
  <c r="I93" i="11"/>
  <c r="G93" i="11"/>
  <c r="F93" i="11"/>
  <c r="E93" i="11"/>
  <c r="C93" i="11"/>
  <c r="B93" i="11"/>
  <c r="L92" i="11"/>
  <c r="K92" i="11"/>
  <c r="J92" i="11"/>
  <c r="I92" i="11"/>
  <c r="H92" i="11"/>
  <c r="G92" i="11"/>
  <c r="K91" i="11"/>
  <c r="I91" i="11"/>
  <c r="H91" i="11"/>
  <c r="G91" i="11"/>
  <c r="K90" i="11"/>
  <c r="I90" i="11"/>
  <c r="H90" i="11"/>
  <c r="G90" i="11"/>
  <c r="L89" i="11"/>
  <c r="K89" i="11"/>
  <c r="J89" i="11"/>
  <c r="I89" i="11"/>
  <c r="H89" i="11"/>
  <c r="G89" i="11"/>
  <c r="V88" i="11"/>
  <c r="U88" i="11"/>
  <c r="T88" i="11"/>
  <c r="S88" i="11"/>
  <c r="R88" i="11"/>
  <c r="Q88" i="11"/>
  <c r="F88" i="11"/>
  <c r="E88" i="11"/>
  <c r="C88" i="11"/>
  <c r="B88" i="11"/>
  <c r="V86" i="11"/>
  <c r="U86" i="11"/>
  <c r="T86" i="11"/>
  <c r="S86" i="11"/>
  <c r="R86" i="11"/>
  <c r="Q86" i="11"/>
  <c r="L86" i="11"/>
  <c r="K87" i="11"/>
  <c r="K86" i="11"/>
  <c r="J86" i="11"/>
  <c r="O87" i="11"/>
  <c r="I86" i="11"/>
  <c r="H86" i="11"/>
  <c r="G86" i="11"/>
  <c r="F86" i="11"/>
  <c r="E86" i="11"/>
  <c r="C86" i="11"/>
  <c r="B86" i="11"/>
  <c r="V84" i="11"/>
  <c r="U84" i="11"/>
  <c r="T84" i="11"/>
  <c r="S84" i="11"/>
  <c r="R84" i="11"/>
  <c r="Q84" i="11"/>
  <c r="L84" i="11"/>
  <c r="K85" i="11"/>
  <c r="K84" i="11"/>
  <c r="J84" i="11"/>
  <c r="I85" i="11"/>
  <c r="I84" i="11"/>
  <c r="H84" i="11"/>
  <c r="G84" i="11"/>
  <c r="F84" i="11"/>
  <c r="E84" i="11"/>
  <c r="C84" i="11"/>
  <c r="B84" i="11"/>
  <c r="K80" i="11"/>
  <c r="F80" i="11"/>
  <c r="K79" i="11"/>
  <c r="K78" i="11"/>
  <c r="I79" i="11"/>
  <c r="I78" i="11"/>
  <c r="G79" i="11"/>
  <c r="G78" i="11"/>
  <c r="H78" i="11"/>
  <c r="J75" i="11"/>
  <c r="I75" i="11"/>
  <c r="H75" i="11"/>
  <c r="F75" i="11"/>
  <c r="K74" i="11"/>
  <c r="F74" i="11"/>
  <c r="K73" i="11"/>
  <c r="F73" i="11"/>
  <c r="K72" i="11"/>
  <c r="F72" i="11"/>
  <c r="V71" i="11"/>
  <c r="U71" i="11"/>
  <c r="T71" i="11"/>
  <c r="S71" i="11"/>
  <c r="R71" i="11"/>
  <c r="Q71" i="11"/>
  <c r="L71" i="11"/>
  <c r="K71" i="11"/>
  <c r="J71" i="11"/>
  <c r="I71" i="11"/>
  <c r="G71" i="11"/>
  <c r="F71" i="11"/>
  <c r="E71" i="11"/>
  <c r="C71" i="11"/>
  <c r="B71" i="11"/>
  <c r="L70" i="11"/>
  <c r="K70" i="11"/>
  <c r="J70" i="11"/>
  <c r="I70" i="11"/>
  <c r="H70" i="11"/>
  <c r="G70" i="11"/>
  <c r="K69" i="11"/>
  <c r="I69" i="11"/>
  <c r="H69" i="11"/>
  <c r="G69" i="11"/>
  <c r="K68" i="11"/>
  <c r="I68" i="11"/>
  <c r="H68" i="11"/>
  <c r="G68" i="11"/>
  <c r="L67" i="11"/>
  <c r="K67" i="11"/>
  <c r="J67" i="11"/>
  <c r="I67" i="11"/>
  <c r="H67" i="11"/>
  <c r="G67" i="11"/>
  <c r="V66" i="11"/>
  <c r="U66" i="11"/>
  <c r="T66" i="11"/>
  <c r="S66" i="11"/>
  <c r="J73" i="11"/>
  <c r="R66" i="11"/>
  <c r="Q66" i="11"/>
  <c r="F66" i="11"/>
  <c r="E66" i="11"/>
  <c r="C66" i="11"/>
  <c r="B66" i="11"/>
  <c r="V64" i="11"/>
  <c r="U64" i="11"/>
  <c r="T64" i="11"/>
  <c r="S64" i="11"/>
  <c r="R64" i="11"/>
  <c r="Q64" i="11"/>
  <c r="L64" i="11"/>
  <c r="P65" i="11"/>
  <c r="K64" i="11"/>
  <c r="J64" i="11"/>
  <c r="I65" i="11"/>
  <c r="I64" i="11"/>
  <c r="H64" i="11"/>
  <c r="G64" i="11"/>
  <c r="F64" i="11"/>
  <c r="E64" i="11"/>
  <c r="C64" i="11"/>
  <c r="B64" i="11"/>
  <c r="A63" i="11"/>
  <c r="K61" i="11"/>
  <c r="J61" i="11"/>
  <c r="K60" i="11"/>
  <c r="J60" i="11"/>
  <c r="AF59" i="11"/>
  <c r="A59" i="11"/>
  <c r="V56" i="11"/>
  <c r="U56" i="11"/>
  <c r="T56" i="11"/>
  <c r="S56" i="11"/>
  <c r="R56" i="11"/>
  <c r="Q56" i="11"/>
  <c r="L56" i="11"/>
  <c r="K57" i="11"/>
  <c r="K56" i="11"/>
  <c r="J56" i="11"/>
  <c r="I57" i="11"/>
  <c r="I56" i="11"/>
  <c r="H56" i="11"/>
  <c r="G56" i="11"/>
  <c r="F56" i="11"/>
  <c r="E56" i="11"/>
  <c r="C56" i="11"/>
  <c r="B56" i="11"/>
  <c r="K52" i="11"/>
  <c r="F52" i="11"/>
  <c r="K51" i="11"/>
  <c r="K50" i="11"/>
  <c r="I51" i="11"/>
  <c r="I50" i="11"/>
  <c r="G51" i="11"/>
  <c r="G50" i="11"/>
  <c r="H50" i="11"/>
  <c r="J47" i="11"/>
  <c r="I47" i="11"/>
  <c r="H47" i="11"/>
  <c r="F47" i="11"/>
  <c r="K46" i="11"/>
  <c r="F46" i="11"/>
  <c r="K45" i="11"/>
  <c r="F45" i="11"/>
  <c r="K44" i="11"/>
  <c r="F44" i="11"/>
  <c r="V43" i="11"/>
  <c r="U43" i="11"/>
  <c r="T43" i="11"/>
  <c r="S43" i="11"/>
  <c r="R43" i="11"/>
  <c r="Q43" i="11"/>
  <c r="L43" i="11"/>
  <c r="K43" i="11"/>
  <c r="J43" i="11"/>
  <c r="I43" i="11"/>
  <c r="G43" i="11"/>
  <c r="F43" i="11"/>
  <c r="E43" i="11"/>
  <c r="C43" i="11"/>
  <c r="B43" i="11"/>
  <c r="L42" i="11"/>
  <c r="K42" i="11"/>
  <c r="J42" i="11"/>
  <c r="I42" i="11"/>
  <c r="H42" i="11"/>
  <c r="G42" i="11"/>
  <c r="K41" i="11"/>
  <c r="I41" i="11"/>
  <c r="H41" i="11"/>
  <c r="G41" i="11"/>
  <c r="K40" i="11"/>
  <c r="I40" i="11"/>
  <c r="H40" i="11"/>
  <c r="G40" i="11"/>
  <c r="L39" i="11"/>
  <c r="K39" i="11"/>
  <c r="J39" i="11"/>
  <c r="I39" i="11"/>
  <c r="H39" i="11"/>
  <c r="G39" i="11"/>
  <c r="V38" i="11"/>
  <c r="U38" i="11"/>
  <c r="T38" i="11"/>
  <c r="S38" i="11"/>
  <c r="R38" i="11"/>
  <c r="Q38" i="11"/>
  <c r="F38" i="11"/>
  <c r="E38" i="11"/>
  <c r="C38" i="11"/>
  <c r="B38" i="11"/>
  <c r="K34" i="11"/>
  <c r="F34" i="11"/>
  <c r="K33" i="11"/>
  <c r="K32" i="11"/>
  <c r="I33" i="11"/>
  <c r="I32" i="11"/>
  <c r="G33" i="11"/>
  <c r="G32" i="11"/>
  <c r="H32" i="11"/>
  <c r="J29" i="11"/>
  <c r="I29" i="11"/>
  <c r="H29" i="11"/>
  <c r="F29" i="11"/>
  <c r="K28" i="11"/>
  <c r="F28" i="11"/>
  <c r="K27" i="11"/>
  <c r="F27" i="11"/>
  <c r="K26" i="11"/>
  <c r="F26" i="11"/>
  <c r="V25" i="11"/>
  <c r="U25" i="11"/>
  <c r="T25" i="11"/>
  <c r="S25" i="11"/>
  <c r="R25" i="11"/>
  <c r="Q25" i="11"/>
  <c r="L25" i="11"/>
  <c r="K25" i="11"/>
  <c r="J25" i="11"/>
  <c r="I25" i="11"/>
  <c r="G25" i="11"/>
  <c r="F25" i="11"/>
  <c r="E25" i="11"/>
  <c r="C25" i="11"/>
  <c r="B25" i="11"/>
  <c r="L24" i="11"/>
  <c r="K24" i="11"/>
  <c r="J24" i="11"/>
  <c r="I24" i="11"/>
  <c r="H24" i="11"/>
  <c r="G24" i="11"/>
  <c r="K23" i="11"/>
  <c r="I23" i="11"/>
  <c r="H23" i="11"/>
  <c r="G23" i="11"/>
  <c r="K22" i="11"/>
  <c r="I22" i="11"/>
  <c r="H22" i="11"/>
  <c r="G22" i="11"/>
  <c r="L21" i="11"/>
  <c r="K21" i="11"/>
  <c r="J21" i="11"/>
  <c r="I21" i="11"/>
  <c r="H21" i="11"/>
  <c r="G21" i="11"/>
  <c r="V20" i="11"/>
  <c r="U20" i="11"/>
  <c r="T20" i="11"/>
  <c r="S20" i="11"/>
  <c r="R20" i="11"/>
  <c r="Q20" i="11"/>
  <c r="F20" i="11"/>
  <c r="E20" i="11"/>
  <c r="C20" i="11"/>
  <c r="B20" i="11"/>
  <c r="A19" i="11"/>
  <c r="J494" i="11"/>
  <c r="L494" i="11"/>
  <c r="L503" i="11"/>
  <c r="G20" i="15"/>
  <c r="U20" i="15"/>
  <c r="T20" i="15"/>
  <c r="L188" i="12"/>
  <c r="L197" i="12"/>
  <c r="L193" i="12"/>
  <c r="K475" i="11"/>
  <c r="K484" i="11"/>
  <c r="L495" i="11"/>
  <c r="J27" i="11"/>
  <c r="L44" i="11"/>
  <c r="L288" i="11"/>
  <c r="L405" i="11"/>
  <c r="L404" i="11"/>
  <c r="L394" i="11"/>
  <c r="L399" i="11"/>
  <c r="J260" i="11"/>
  <c r="O261" i="11"/>
  <c r="K261" i="11"/>
  <c r="J367" i="11"/>
  <c r="I368" i="11"/>
  <c r="P368" i="11"/>
  <c r="K337" i="11"/>
  <c r="J336" i="11"/>
  <c r="O337" i="11"/>
  <c r="P221" i="11"/>
  <c r="J220" i="11"/>
  <c r="I221" i="11"/>
  <c r="J388" i="11"/>
  <c r="I389" i="11"/>
  <c r="K389" i="11"/>
  <c r="J338" i="11"/>
  <c r="O339" i="11"/>
  <c r="K339" i="11"/>
  <c r="J199" i="11"/>
  <c r="O200" i="11"/>
  <c r="P200" i="11"/>
  <c r="J33" i="11"/>
  <c r="J32" i="11"/>
  <c r="J22" i="11"/>
  <c r="L26" i="11"/>
  <c r="J44" i="11"/>
  <c r="L424" i="11"/>
  <c r="L461" i="11"/>
  <c r="L79" i="11"/>
  <c r="L80" i="11"/>
  <c r="J94" i="11"/>
  <c r="J150" i="11"/>
  <c r="J140" i="11"/>
  <c r="L144" i="11"/>
  <c r="L271" i="11"/>
  <c r="J288" i="11"/>
  <c r="J467" i="11"/>
  <c r="J468" i="11"/>
  <c r="I107" i="11"/>
  <c r="P156" i="11"/>
  <c r="J236" i="11"/>
  <c r="J235" i="11"/>
  <c r="J226" i="11"/>
  <c r="P473" i="11"/>
  <c r="L27" i="11"/>
  <c r="J26" i="11"/>
  <c r="J45" i="11"/>
  <c r="L95" i="11"/>
  <c r="L143" i="11"/>
  <c r="L306" i="11"/>
  <c r="O370" i="11"/>
  <c r="L383" i="11"/>
  <c r="L382" i="11"/>
  <c r="L373" i="11"/>
  <c r="J443" i="11"/>
  <c r="I327" i="11"/>
  <c r="L45" i="11"/>
  <c r="J72" i="11"/>
  <c r="L72" i="11"/>
  <c r="J95" i="11"/>
  <c r="J143" i="11"/>
  <c r="J194" i="11"/>
  <c r="J185" i="11"/>
  <c r="K202" i="11"/>
  <c r="J215" i="11"/>
  <c r="J214" i="11"/>
  <c r="J205" i="11"/>
  <c r="L270" i="11"/>
  <c r="L307" i="11"/>
  <c r="J362" i="11"/>
  <c r="J363" i="11"/>
  <c r="L431" i="11"/>
  <c r="L432" i="11"/>
  <c r="L425" i="11"/>
  <c r="J449" i="11"/>
  <c r="J448" i="11"/>
  <c r="J438" i="11"/>
  <c r="L443" i="11"/>
  <c r="J460" i="11"/>
  <c r="I87" i="11"/>
  <c r="L236" i="11"/>
  <c r="L237" i="11"/>
  <c r="J295" i="11"/>
  <c r="J285" i="11"/>
  <c r="L289" i="11"/>
  <c r="J306" i="11"/>
  <c r="J399" i="11"/>
  <c r="J424" i="11"/>
  <c r="J431" i="11"/>
  <c r="J430" i="11"/>
  <c r="J420" i="11"/>
  <c r="L449" i="11"/>
  <c r="L448" i="11"/>
  <c r="L438" i="11"/>
  <c r="L460" i="11"/>
  <c r="J405" i="11"/>
  <c r="J406" i="11"/>
  <c r="O411" i="11"/>
  <c r="J466" i="11"/>
  <c r="J456" i="11"/>
  <c r="P339" i="11"/>
  <c r="L51" i="11"/>
  <c r="L52" i="11"/>
  <c r="O65" i="11"/>
  <c r="O85" i="11"/>
  <c r="P158" i="11"/>
  <c r="I325" i="11"/>
  <c r="I333" i="11"/>
  <c r="P391" i="11"/>
  <c r="P475" i="11"/>
  <c r="J101" i="11"/>
  <c r="J102" i="11"/>
  <c r="I109" i="11"/>
  <c r="I134" i="11"/>
  <c r="L194" i="11"/>
  <c r="L195" i="11"/>
  <c r="L189" i="11"/>
  <c r="I223" i="11"/>
  <c r="J271" i="11"/>
  <c r="J289" i="11"/>
  <c r="K319" i="11"/>
  <c r="I329" i="11"/>
  <c r="I337" i="11"/>
  <c r="L398" i="11"/>
  <c r="L442" i="11"/>
  <c r="J51" i="11"/>
  <c r="J52" i="11"/>
  <c r="P57" i="11"/>
  <c r="L73" i="11"/>
  <c r="L94" i="11"/>
  <c r="P109" i="11"/>
  <c r="I136" i="11"/>
  <c r="L150" i="11"/>
  <c r="L149" i="11"/>
  <c r="L139" i="11"/>
  <c r="P242" i="11"/>
  <c r="P263" i="11"/>
  <c r="L277" i="11"/>
  <c r="L278" i="11"/>
  <c r="L295" i="11"/>
  <c r="L296" i="11"/>
  <c r="J313" i="11"/>
  <c r="J303" i="11"/>
  <c r="L313" i="11"/>
  <c r="L314" i="11"/>
  <c r="K315" i="11"/>
  <c r="P315" i="11"/>
  <c r="I323" i="11"/>
  <c r="I331" i="11"/>
  <c r="P337" i="11"/>
  <c r="J383" i="11"/>
  <c r="J384" i="11"/>
  <c r="P389" i="11"/>
  <c r="L467" i="11"/>
  <c r="L466" i="11"/>
  <c r="L456" i="11"/>
  <c r="L69" i="11"/>
  <c r="J34" i="11"/>
  <c r="L33" i="11"/>
  <c r="I475" i="11"/>
  <c r="O475" i="11"/>
  <c r="K136" i="11"/>
  <c r="I158" i="11"/>
  <c r="O158" i="11"/>
  <c r="J216" i="11"/>
  <c r="L227" i="11"/>
  <c r="I242" i="11"/>
  <c r="O242" i="11"/>
  <c r="O57" i="11"/>
  <c r="K65" i="11"/>
  <c r="J79" i="11"/>
  <c r="P85" i="11"/>
  <c r="P87" i="11"/>
  <c r="L101" i="11"/>
  <c r="P107" i="11"/>
  <c r="J128" i="11"/>
  <c r="J206" i="11"/>
  <c r="L255" i="11"/>
  <c r="J255" i="11"/>
  <c r="J314" i="11"/>
  <c r="J439" i="11"/>
  <c r="K134" i="11"/>
  <c r="L193" i="11"/>
  <c r="L184" i="11"/>
  <c r="L128" i="11"/>
  <c r="J144" i="11"/>
  <c r="I156" i="11"/>
  <c r="O156" i="11"/>
  <c r="L177" i="11"/>
  <c r="J177" i="11"/>
  <c r="K200" i="11"/>
  <c r="J277" i="11"/>
  <c r="P261" i="11"/>
  <c r="I263" i="11"/>
  <c r="O263" i="11"/>
  <c r="K321" i="11"/>
  <c r="K411" i="11"/>
  <c r="L421" i="11"/>
  <c r="I202" i="11"/>
  <c r="L215" i="11"/>
  <c r="K221" i="11"/>
  <c r="K223" i="11"/>
  <c r="O319" i="11"/>
  <c r="I319" i="11"/>
  <c r="K325" i="11"/>
  <c r="K329" i="11"/>
  <c r="K333" i="11"/>
  <c r="I391" i="11"/>
  <c r="O391" i="11"/>
  <c r="J461" i="11"/>
  <c r="I473" i="11"/>
  <c r="O473" i="11"/>
  <c r="J270" i="11"/>
  <c r="J307" i="11"/>
  <c r="O321" i="11"/>
  <c r="I321" i="11"/>
  <c r="K323" i="11"/>
  <c r="K327" i="11"/>
  <c r="K331" i="11"/>
  <c r="L384" i="11"/>
  <c r="J398" i="11"/>
  <c r="J425" i="11"/>
  <c r="J442" i="11"/>
  <c r="L362" i="11"/>
  <c r="K368" i="11"/>
  <c r="K370" i="11"/>
  <c r="J497" i="11"/>
  <c r="J503" i="11"/>
  <c r="J506" i="11"/>
  <c r="J512" i="11"/>
  <c r="L406" i="11"/>
  <c r="K407" i="11"/>
  <c r="P407" i="11"/>
  <c r="L506" i="11"/>
  <c r="L497" i="11"/>
  <c r="P19" i="15"/>
  <c r="I261" i="11"/>
  <c r="L267" i="11"/>
  <c r="L504" i="11"/>
  <c r="O19" i="15"/>
  <c r="L196" i="12"/>
  <c r="L294" i="11"/>
  <c r="L284" i="11"/>
  <c r="I484" i="11"/>
  <c r="J495" i="11"/>
  <c r="O389" i="11"/>
  <c r="J227" i="11"/>
  <c r="I200" i="11"/>
  <c r="J361" i="11"/>
  <c r="J352" i="11"/>
  <c r="J353" i="11"/>
  <c r="J296" i="11"/>
  <c r="I297" i="11"/>
  <c r="O297" i="11"/>
  <c r="L276" i="11"/>
  <c r="L266" i="11"/>
  <c r="I341" i="11"/>
  <c r="L395" i="11"/>
  <c r="L312" i="11"/>
  <c r="L302" i="11"/>
  <c r="J294" i="11"/>
  <c r="J284" i="11"/>
  <c r="L78" i="11"/>
  <c r="L68" i="11"/>
  <c r="O221" i="11"/>
  <c r="J374" i="11"/>
  <c r="L468" i="11"/>
  <c r="L462" i="11"/>
  <c r="P464" i="11"/>
  <c r="J462" i="11"/>
  <c r="O464" i="11"/>
  <c r="I469" i="11"/>
  <c r="O469" i="11"/>
  <c r="L430" i="11"/>
  <c r="L420" i="11"/>
  <c r="L457" i="11"/>
  <c r="L185" i="11"/>
  <c r="J193" i="11"/>
  <c r="J184" i="11"/>
  <c r="J404" i="11"/>
  <c r="J394" i="11"/>
  <c r="J23" i="11"/>
  <c r="L50" i="11"/>
  <c r="L40" i="11"/>
  <c r="J457" i="11"/>
  <c r="J149" i="11"/>
  <c r="J139" i="11"/>
  <c r="I339" i="11"/>
  <c r="P191" i="11"/>
  <c r="J432" i="11"/>
  <c r="J426" i="11"/>
  <c r="O428" i="11"/>
  <c r="L374" i="11"/>
  <c r="J195" i="11"/>
  <c r="J312" i="11"/>
  <c r="J302" i="11"/>
  <c r="K196" i="11"/>
  <c r="P196" i="11"/>
  <c r="L41" i="11"/>
  <c r="J421" i="11"/>
  <c r="J151" i="11"/>
  <c r="J145" i="11"/>
  <c r="J395" i="11"/>
  <c r="J237" i="11"/>
  <c r="J231" i="11"/>
  <c r="I233" i="11"/>
  <c r="O368" i="11"/>
  <c r="L439" i="11"/>
  <c r="J450" i="11"/>
  <c r="I451" i="11"/>
  <c r="O451" i="11"/>
  <c r="J382" i="11"/>
  <c r="J373" i="11"/>
  <c r="L235" i="11"/>
  <c r="L226" i="11"/>
  <c r="J100" i="11"/>
  <c r="J90" i="11"/>
  <c r="L450" i="11"/>
  <c r="L308" i="11"/>
  <c r="K310" i="11"/>
  <c r="K317" i="11"/>
  <c r="J91" i="11"/>
  <c r="L303" i="11"/>
  <c r="L151" i="11"/>
  <c r="L285" i="11"/>
  <c r="L140" i="11"/>
  <c r="K341" i="11"/>
  <c r="K191" i="11"/>
  <c r="J50" i="11"/>
  <c r="J40" i="11"/>
  <c r="J41" i="11"/>
  <c r="L216" i="11"/>
  <c r="L214" i="11"/>
  <c r="L205" i="11"/>
  <c r="L206" i="11"/>
  <c r="L178" i="11"/>
  <c r="L168" i="11"/>
  <c r="L176" i="11"/>
  <c r="L167" i="11"/>
  <c r="L127" i="11"/>
  <c r="L118" i="11"/>
  <c r="L119" i="11"/>
  <c r="L129" i="11"/>
  <c r="J127" i="11"/>
  <c r="J118" i="11"/>
  <c r="J119" i="11"/>
  <c r="J129" i="11"/>
  <c r="J357" i="11"/>
  <c r="O359" i="11"/>
  <c r="I364" i="11"/>
  <c r="O364" i="11"/>
  <c r="L272" i="11"/>
  <c r="K279" i="11"/>
  <c r="P279" i="11"/>
  <c r="I103" i="11"/>
  <c r="O103" i="11"/>
  <c r="J96" i="11"/>
  <c r="L363" i="11"/>
  <c r="L361" i="11"/>
  <c r="L352" i="11"/>
  <c r="L353" i="11"/>
  <c r="I407" i="11"/>
  <c r="O407" i="11"/>
  <c r="J400" i="11"/>
  <c r="J254" i="11"/>
  <c r="J245" i="11"/>
  <c r="J256" i="11"/>
  <c r="J246" i="11"/>
  <c r="L290" i="11"/>
  <c r="P292" i="11"/>
  <c r="K297" i="11"/>
  <c r="P297" i="11"/>
  <c r="J46" i="11"/>
  <c r="I53" i="11"/>
  <c r="O53" i="11"/>
  <c r="I35" i="11"/>
  <c r="O35" i="11"/>
  <c r="J28" i="11"/>
  <c r="I30" i="11"/>
  <c r="L426" i="11"/>
  <c r="K433" i="11"/>
  <c r="P433" i="11"/>
  <c r="L444" i="11"/>
  <c r="P446" i="11"/>
  <c r="K451" i="11"/>
  <c r="P451" i="11"/>
  <c r="L400" i="11"/>
  <c r="K402" i="11"/>
  <c r="L254" i="11"/>
  <c r="L245" i="11"/>
  <c r="L256" i="11"/>
  <c r="L246" i="11"/>
  <c r="L102" i="11"/>
  <c r="L91" i="11"/>
  <c r="L100" i="11"/>
  <c r="L90" i="11"/>
  <c r="J80" i="11"/>
  <c r="J69" i="11"/>
  <c r="J78" i="11"/>
  <c r="J68" i="11"/>
  <c r="L145" i="11"/>
  <c r="K147" i="11"/>
  <c r="K152" i="11"/>
  <c r="P152" i="11"/>
  <c r="K81" i="11"/>
  <c r="P81" i="11"/>
  <c r="L74" i="11"/>
  <c r="P76" i="11"/>
  <c r="K53" i="11"/>
  <c r="P53" i="11"/>
  <c r="L46" i="11"/>
  <c r="I433" i="11"/>
  <c r="O433" i="11"/>
  <c r="L378" i="11"/>
  <c r="K385" i="11"/>
  <c r="P385" i="11"/>
  <c r="J276" i="11"/>
  <c r="J266" i="11"/>
  <c r="J267" i="11"/>
  <c r="J278" i="11"/>
  <c r="J178" i="11"/>
  <c r="J176" i="11"/>
  <c r="J167" i="11"/>
  <c r="J168" i="11"/>
  <c r="I196" i="11"/>
  <c r="O196" i="11"/>
  <c r="J189" i="11"/>
  <c r="I191" i="11"/>
  <c r="I315" i="11"/>
  <c r="O315" i="11"/>
  <c r="J308" i="11"/>
  <c r="O310" i="11"/>
  <c r="I238" i="11"/>
  <c r="O238" i="11"/>
  <c r="J378" i="11"/>
  <c r="I385" i="11"/>
  <c r="O385" i="11"/>
  <c r="L231" i="11"/>
  <c r="K233" i="11"/>
  <c r="K238" i="11"/>
  <c r="P238" i="11"/>
  <c r="J210" i="11"/>
  <c r="I217" i="11"/>
  <c r="O217" i="11"/>
  <c r="L34" i="11"/>
  <c r="L23" i="11"/>
  <c r="L32" i="11"/>
  <c r="L22" i="11"/>
  <c r="J290" i="11"/>
  <c r="O292" i="11"/>
  <c r="I98" i="11"/>
  <c r="Q19" i="15"/>
  <c r="R19" i="15"/>
  <c r="G16" i="14"/>
  <c r="J504" i="11"/>
  <c r="N19" i="15"/>
  <c r="L512" i="11"/>
  <c r="O98" i="11"/>
  <c r="J444" i="11"/>
  <c r="I446" i="11"/>
  <c r="I453" i="11"/>
  <c r="K198" i="11"/>
  <c r="I152" i="11"/>
  <c r="O152" i="11"/>
  <c r="O380" i="11"/>
  <c r="K469" i="11"/>
  <c r="P469" i="11"/>
  <c r="K428" i="11"/>
  <c r="K435" i="11"/>
  <c r="I402" i="11"/>
  <c r="I409" i="11"/>
  <c r="O147" i="11"/>
  <c r="O233" i="11"/>
  <c r="I464" i="11"/>
  <c r="I471" i="11"/>
  <c r="I147" i="11"/>
  <c r="P310" i="11"/>
  <c r="O30" i="11"/>
  <c r="I198" i="11"/>
  <c r="I240" i="11"/>
  <c r="O402" i="11"/>
  <c r="I37" i="11"/>
  <c r="I105" i="11"/>
  <c r="K464" i="11"/>
  <c r="K240" i="11"/>
  <c r="K154" i="11"/>
  <c r="K257" i="11"/>
  <c r="P257" i="11"/>
  <c r="L250" i="11"/>
  <c r="P252" i="11"/>
  <c r="K409" i="11"/>
  <c r="O48" i="11"/>
  <c r="I48" i="11"/>
  <c r="I55" i="11"/>
  <c r="I257" i="11"/>
  <c r="O257" i="11"/>
  <c r="J250" i="11"/>
  <c r="I252" i="11"/>
  <c r="O446" i="11"/>
  <c r="I477" i="11"/>
  <c r="K76" i="11"/>
  <c r="K83" i="11"/>
  <c r="I130" i="11"/>
  <c r="O130" i="11"/>
  <c r="J123" i="11"/>
  <c r="O125" i="11"/>
  <c r="I292" i="11"/>
  <c r="I299" i="11"/>
  <c r="L28" i="11"/>
  <c r="P30" i="11"/>
  <c r="K35" i="11"/>
  <c r="P35" i="11"/>
  <c r="P233" i="11"/>
  <c r="O191" i="11"/>
  <c r="P274" i="11"/>
  <c r="K274" i="11"/>
  <c r="K281" i="11"/>
  <c r="P402" i="11"/>
  <c r="K292" i="11"/>
  <c r="K299" i="11"/>
  <c r="I359" i="11"/>
  <c r="I366" i="11"/>
  <c r="I212" i="11"/>
  <c r="I219" i="11"/>
  <c r="O212" i="11"/>
  <c r="I179" i="11"/>
  <c r="O179" i="11"/>
  <c r="J172" i="11"/>
  <c r="I174" i="11"/>
  <c r="P48" i="11"/>
  <c r="K48" i="11"/>
  <c r="K55" i="11"/>
  <c r="K103" i="11"/>
  <c r="P103" i="11"/>
  <c r="L96" i="11"/>
  <c r="K98" i="11"/>
  <c r="I380" i="11"/>
  <c r="I387" i="11"/>
  <c r="L123" i="11"/>
  <c r="K125" i="11"/>
  <c r="K130" i="11"/>
  <c r="P130" i="11"/>
  <c r="P147" i="11"/>
  <c r="I310" i="11"/>
  <c r="I317" i="11"/>
  <c r="K446" i="11"/>
  <c r="K453" i="11"/>
  <c r="K30" i="11"/>
  <c r="I279" i="11"/>
  <c r="O279" i="11"/>
  <c r="J272" i="11"/>
  <c r="I274" i="11"/>
  <c r="K380" i="11"/>
  <c r="K387" i="11"/>
  <c r="P380" i="11"/>
  <c r="I81" i="11"/>
  <c r="O81" i="11"/>
  <c r="J74" i="11"/>
  <c r="I76" i="11"/>
  <c r="K364" i="11"/>
  <c r="P364" i="11"/>
  <c r="L357" i="11"/>
  <c r="K359" i="11"/>
  <c r="K179" i="11"/>
  <c r="P179" i="11"/>
  <c r="L172" i="11"/>
  <c r="P174" i="11"/>
  <c r="K217" i="11"/>
  <c r="P217" i="11"/>
  <c r="L210" i="11"/>
  <c r="P212" i="11"/>
  <c r="P428" i="11"/>
  <c r="K477" i="11"/>
  <c r="I428" i="11"/>
  <c r="I435" i="11"/>
  <c r="I154" i="11"/>
  <c r="O252" i="11"/>
  <c r="K471" i="11"/>
  <c r="I413" i="11"/>
  <c r="K37" i="11"/>
  <c r="I59" i="11"/>
  <c r="K252" i="11"/>
  <c r="K259" i="11"/>
  <c r="K366" i="11"/>
  <c r="K105" i="11"/>
  <c r="I160" i="11"/>
  <c r="I259" i="11"/>
  <c r="K345" i="11"/>
  <c r="K212" i="11"/>
  <c r="K219" i="11"/>
  <c r="I125" i="11"/>
  <c r="I132" i="11"/>
  <c r="I181" i="11"/>
  <c r="I83" i="11"/>
  <c r="I281" i="11"/>
  <c r="K132" i="11"/>
  <c r="P359" i="11"/>
  <c r="K413" i="11"/>
  <c r="K174" i="11"/>
  <c r="K181" i="11"/>
  <c r="O174" i="11"/>
  <c r="P125" i="11"/>
  <c r="K160" i="11"/>
  <c r="K59" i="11"/>
  <c r="O274" i="11"/>
  <c r="O76" i="11"/>
  <c r="P98" i="11"/>
  <c r="K111" i="11"/>
  <c r="I345" i="11"/>
  <c r="I111" i="11"/>
  <c r="I481" i="11"/>
  <c r="J492" i="11"/>
  <c r="J501" i="11"/>
  <c r="K481" i="11"/>
  <c r="L492" i="11"/>
  <c r="F19" i="15"/>
  <c r="L501" i="11"/>
  <c r="F16" i="14"/>
  <c r="E16" i="14"/>
  <c r="L493" i="11"/>
  <c r="L498" i="11"/>
  <c r="E19" i="15"/>
  <c r="S19" i="15"/>
  <c r="J493" i="11"/>
  <c r="J498" i="11"/>
  <c r="K157" i="10"/>
  <c r="I157" i="10"/>
  <c r="D157" i="10"/>
  <c r="K156" i="10"/>
  <c r="I156" i="10"/>
  <c r="D156" i="10"/>
  <c r="D155" i="10"/>
  <c r="K154" i="10"/>
  <c r="J154" i="10"/>
  <c r="K153" i="10"/>
  <c r="J153" i="10"/>
  <c r="AF152" i="10"/>
  <c r="A152" i="10"/>
  <c r="K150" i="10"/>
  <c r="J150" i="10"/>
  <c r="K149" i="10"/>
  <c r="J149" i="10"/>
  <c r="AF148" i="10"/>
  <c r="A148" i="10"/>
  <c r="K143" i="10"/>
  <c r="F143" i="10"/>
  <c r="K142" i="10"/>
  <c r="K141" i="10"/>
  <c r="I142" i="10"/>
  <c r="I141" i="10"/>
  <c r="G142" i="10"/>
  <c r="G141" i="10"/>
  <c r="H141" i="10"/>
  <c r="J138" i="10"/>
  <c r="I138" i="10"/>
  <c r="H138" i="10"/>
  <c r="F138" i="10"/>
  <c r="K137" i="10"/>
  <c r="F137" i="10"/>
  <c r="K136" i="10"/>
  <c r="F136" i="10"/>
  <c r="K135" i="10"/>
  <c r="F135" i="10"/>
  <c r="V134" i="10"/>
  <c r="U134" i="10"/>
  <c r="T134" i="10"/>
  <c r="S134" i="10"/>
  <c r="R134" i="10"/>
  <c r="Q134" i="10"/>
  <c r="L134" i="10"/>
  <c r="K134" i="10"/>
  <c r="J134" i="10"/>
  <c r="I134" i="10"/>
  <c r="G134" i="10"/>
  <c r="F134" i="10"/>
  <c r="E134" i="10"/>
  <c r="C134" i="10"/>
  <c r="B134" i="10"/>
  <c r="L133" i="10"/>
  <c r="K133" i="10"/>
  <c r="J133" i="10"/>
  <c r="I133" i="10"/>
  <c r="H133" i="10"/>
  <c r="G133" i="10"/>
  <c r="K132" i="10"/>
  <c r="I132" i="10"/>
  <c r="H132" i="10"/>
  <c r="G132" i="10"/>
  <c r="K131" i="10"/>
  <c r="I131" i="10"/>
  <c r="H131" i="10"/>
  <c r="G131" i="10"/>
  <c r="L130" i="10"/>
  <c r="K130" i="10"/>
  <c r="J130" i="10"/>
  <c r="I130" i="10"/>
  <c r="H130" i="10"/>
  <c r="G130" i="10"/>
  <c r="V129" i="10"/>
  <c r="U129" i="10"/>
  <c r="T129" i="10"/>
  <c r="S129" i="10"/>
  <c r="R129" i="10"/>
  <c r="Q129" i="10"/>
  <c r="F129" i="10"/>
  <c r="E129" i="10"/>
  <c r="C129" i="10"/>
  <c r="B129" i="10"/>
  <c r="V127" i="10"/>
  <c r="U127" i="10"/>
  <c r="T127" i="10"/>
  <c r="S127" i="10"/>
  <c r="R127" i="10"/>
  <c r="Q127" i="10"/>
  <c r="L127" i="10"/>
  <c r="P128" i="10"/>
  <c r="K127" i="10"/>
  <c r="J127" i="10"/>
  <c r="O128" i="10"/>
  <c r="I127" i="10"/>
  <c r="H127" i="10"/>
  <c r="G127" i="10"/>
  <c r="F127" i="10"/>
  <c r="E127" i="10"/>
  <c r="C127" i="10"/>
  <c r="B127" i="10"/>
  <c r="V125" i="10"/>
  <c r="U125" i="10"/>
  <c r="T125" i="10"/>
  <c r="S125" i="10"/>
  <c r="R125" i="10"/>
  <c r="Q125" i="10"/>
  <c r="L125" i="10"/>
  <c r="P126" i="10"/>
  <c r="K125" i="10"/>
  <c r="J125" i="10"/>
  <c r="O126" i="10"/>
  <c r="I125" i="10"/>
  <c r="H125" i="10"/>
  <c r="G125" i="10"/>
  <c r="F125" i="10"/>
  <c r="E125" i="10"/>
  <c r="C125" i="10"/>
  <c r="B125" i="10"/>
  <c r="V123" i="10"/>
  <c r="U123" i="10"/>
  <c r="T123" i="10"/>
  <c r="S123" i="10"/>
  <c r="R123" i="10"/>
  <c r="Q123" i="10"/>
  <c r="L123" i="10"/>
  <c r="P124" i="10"/>
  <c r="K123" i="10"/>
  <c r="J123" i="10"/>
  <c r="O124" i="10"/>
  <c r="I123" i="10"/>
  <c r="H123" i="10"/>
  <c r="G123" i="10"/>
  <c r="F123" i="10"/>
  <c r="E123" i="10"/>
  <c r="C123" i="10"/>
  <c r="B123" i="10"/>
  <c r="V121" i="10"/>
  <c r="U121" i="10"/>
  <c r="T121" i="10"/>
  <c r="S121" i="10"/>
  <c r="R121" i="10"/>
  <c r="Q121" i="10"/>
  <c r="L121" i="10"/>
  <c r="P122" i="10"/>
  <c r="K121" i="10"/>
  <c r="J121" i="10"/>
  <c r="O122" i="10"/>
  <c r="I121" i="10"/>
  <c r="H121" i="10"/>
  <c r="G121" i="10"/>
  <c r="F121" i="10"/>
  <c r="E121" i="10"/>
  <c r="C121" i="10"/>
  <c r="B121" i="10"/>
  <c r="V119" i="10"/>
  <c r="U119" i="10"/>
  <c r="T119" i="10"/>
  <c r="S119" i="10"/>
  <c r="R119" i="10"/>
  <c r="Q119" i="10"/>
  <c r="L119" i="10"/>
  <c r="P120" i="10"/>
  <c r="K119" i="10"/>
  <c r="J119" i="10"/>
  <c r="O120" i="10"/>
  <c r="I119" i="10"/>
  <c r="H119" i="10"/>
  <c r="G119" i="10"/>
  <c r="F119" i="10"/>
  <c r="E119" i="10"/>
  <c r="C119" i="10"/>
  <c r="B119" i="10"/>
  <c r="K115" i="10"/>
  <c r="F115" i="10"/>
  <c r="K114" i="10"/>
  <c r="K113" i="10"/>
  <c r="I114" i="10"/>
  <c r="I113" i="10"/>
  <c r="G114" i="10"/>
  <c r="G113" i="10"/>
  <c r="H113" i="10"/>
  <c r="J110" i="10"/>
  <c r="I110" i="10"/>
  <c r="H110" i="10"/>
  <c r="F110" i="10"/>
  <c r="K109" i="10"/>
  <c r="F109" i="10"/>
  <c r="K108" i="10"/>
  <c r="F108" i="10"/>
  <c r="K107" i="10"/>
  <c r="F107" i="10"/>
  <c r="V106" i="10"/>
  <c r="U106" i="10"/>
  <c r="T106" i="10"/>
  <c r="S106" i="10"/>
  <c r="R106" i="10"/>
  <c r="Q106" i="10"/>
  <c r="L106" i="10"/>
  <c r="K106" i="10"/>
  <c r="J106" i="10"/>
  <c r="I106" i="10"/>
  <c r="G106" i="10"/>
  <c r="F106" i="10"/>
  <c r="E106" i="10"/>
  <c r="C106" i="10"/>
  <c r="B106" i="10"/>
  <c r="L105" i="10"/>
  <c r="K105" i="10"/>
  <c r="J105" i="10"/>
  <c r="I105" i="10"/>
  <c r="H105" i="10"/>
  <c r="G105" i="10"/>
  <c r="K104" i="10"/>
  <c r="I104" i="10"/>
  <c r="H104" i="10"/>
  <c r="G104" i="10"/>
  <c r="K103" i="10"/>
  <c r="I103" i="10"/>
  <c r="H103" i="10"/>
  <c r="G103" i="10"/>
  <c r="L102" i="10"/>
  <c r="K102" i="10"/>
  <c r="J102" i="10"/>
  <c r="I102" i="10"/>
  <c r="H102" i="10"/>
  <c r="G102" i="10"/>
  <c r="V101" i="10"/>
  <c r="U101" i="10"/>
  <c r="T101" i="10"/>
  <c r="S101" i="10"/>
  <c r="R101" i="10"/>
  <c r="Q101" i="10"/>
  <c r="F101" i="10"/>
  <c r="E101" i="10"/>
  <c r="C101" i="10"/>
  <c r="B101" i="10"/>
  <c r="V99" i="10"/>
  <c r="U99" i="10"/>
  <c r="T99" i="10"/>
  <c r="S99" i="10"/>
  <c r="R99" i="10"/>
  <c r="Q99" i="10"/>
  <c r="L99" i="10"/>
  <c r="K100" i="10"/>
  <c r="K99" i="10"/>
  <c r="J99" i="10"/>
  <c r="I100" i="10"/>
  <c r="I99" i="10"/>
  <c r="H99" i="10"/>
  <c r="G99" i="10"/>
  <c r="F99" i="10"/>
  <c r="E99" i="10"/>
  <c r="C99" i="10"/>
  <c r="B99" i="10"/>
  <c r="K95" i="10"/>
  <c r="F95" i="10"/>
  <c r="K94" i="10"/>
  <c r="K93" i="10"/>
  <c r="I94" i="10"/>
  <c r="I93" i="10"/>
  <c r="G94" i="10"/>
  <c r="G93" i="10"/>
  <c r="H93" i="10"/>
  <c r="J90" i="10"/>
  <c r="I90" i="10"/>
  <c r="H90" i="10"/>
  <c r="F90" i="10"/>
  <c r="K89" i="10"/>
  <c r="F89" i="10"/>
  <c r="K88" i="10"/>
  <c r="F88" i="10"/>
  <c r="K87" i="10"/>
  <c r="F87" i="10"/>
  <c r="L86" i="10"/>
  <c r="K86" i="10"/>
  <c r="J86" i="10"/>
  <c r="I86" i="10"/>
  <c r="H86" i="10"/>
  <c r="G86" i="10"/>
  <c r="K85" i="10"/>
  <c r="I85" i="10"/>
  <c r="H85" i="10"/>
  <c r="G85" i="10"/>
  <c r="K84" i="10"/>
  <c r="I84" i="10"/>
  <c r="H84" i="10"/>
  <c r="G84" i="10"/>
  <c r="L83" i="10"/>
  <c r="K83" i="10"/>
  <c r="J83" i="10"/>
  <c r="I83" i="10"/>
  <c r="H83" i="10"/>
  <c r="G83" i="10"/>
  <c r="V82" i="10"/>
  <c r="U82" i="10"/>
  <c r="T82" i="10"/>
  <c r="L88" i="10"/>
  <c r="S82" i="10"/>
  <c r="J88" i="10"/>
  <c r="R82" i="10"/>
  <c r="L87" i="10"/>
  <c r="Q82" i="10"/>
  <c r="J87" i="10"/>
  <c r="F82" i="10"/>
  <c r="E82" i="10"/>
  <c r="C82" i="10"/>
  <c r="B82" i="10"/>
  <c r="AE81" i="10"/>
  <c r="A81" i="10"/>
  <c r="K79" i="10"/>
  <c r="J79" i="10"/>
  <c r="K78" i="10"/>
  <c r="J78" i="10"/>
  <c r="AF77" i="10"/>
  <c r="A77" i="10"/>
  <c r="K72" i="10"/>
  <c r="F72" i="10"/>
  <c r="K71" i="10"/>
  <c r="K70" i="10"/>
  <c r="I71" i="10"/>
  <c r="I70" i="10"/>
  <c r="G71" i="10"/>
  <c r="G70" i="10"/>
  <c r="H70" i="10"/>
  <c r="J67" i="10"/>
  <c r="I67" i="10"/>
  <c r="H67" i="10"/>
  <c r="F67" i="10"/>
  <c r="K66" i="10"/>
  <c r="F66" i="10"/>
  <c r="K65" i="10"/>
  <c r="F65" i="10"/>
  <c r="K64" i="10"/>
  <c r="F64" i="10"/>
  <c r="V63" i="10"/>
  <c r="U63" i="10"/>
  <c r="T63" i="10"/>
  <c r="S63" i="10"/>
  <c r="R63" i="10"/>
  <c r="Q63" i="10"/>
  <c r="L63" i="10"/>
  <c r="K63" i="10"/>
  <c r="J63" i="10"/>
  <c r="I63" i="10"/>
  <c r="G63" i="10"/>
  <c r="F63" i="10"/>
  <c r="E63" i="10"/>
  <c r="C63" i="10"/>
  <c r="B63" i="10"/>
  <c r="L62" i="10"/>
  <c r="K62" i="10"/>
  <c r="J62" i="10"/>
  <c r="I62" i="10"/>
  <c r="H62" i="10"/>
  <c r="G62" i="10"/>
  <c r="K61" i="10"/>
  <c r="I61" i="10"/>
  <c r="H61" i="10"/>
  <c r="G61" i="10"/>
  <c r="K60" i="10"/>
  <c r="I60" i="10"/>
  <c r="H60" i="10"/>
  <c r="G60" i="10"/>
  <c r="L59" i="10"/>
  <c r="K59" i="10"/>
  <c r="J59" i="10"/>
  <c r="I59" i="10"/>
  <c r="H59" i="10"/>
  <c r="G59" i="10"/>
  <c r="V58" i="10"/>
  <c r="U58" i="10"/>
  <c r="T58" i="10"/>
  <c r="S58" i="10"/>
  <c r="R58" i="10"/>
  <c r="Q58" i="10"/>
  <c r="F58" i="10"/>
  <c r="E58" i="10"/>
  <c r="C58" i="10"/>
  <c r="B58" i="10"/>
  <c r="V56" i="10"/>
  <c r="U56" i="10"/>
  <c r="T56" i="10"/>
  <c r="S56" i="10"/>
  <c r="R56" i="10"/>
  <c r="Q56" i="10"/>
  <c r="L56" i="10"/>
  <c r="P57" i="10"/>
  <c r="K56" i="10"/>
  <c r="J56" i="10"/>
  <c r="I57" i="10"/>
  <c r="I56" i="10"/>
  <c r="H56" i="10"/>
  <c r="G56" i="10"/>
  <c r="F56" i="10"/>
  <c r="E56" i="10"/>
  <c r="C56" i="10"/>
  <c r="B56" i="10"/>
  <c r="V54" i="10"/>
  <c r="U54" i="10"/>
  <c r="T54" i="10"/>
  <c r="S54" i="10"/>
  <c r="R54" i="10"/>
  <c r="Q54" i="10"/>
  <c r="L54" i="10"/>
  <c r="P55" i="10"/>
  <c r="K54" i="10"/>
  <c r="J54" i="10"/>
  <c r="I55" i="10"/>
  <c r="I54" i="10"/>
  <c r="H54" i="10"/>
  <c r="G54" i="10"/>
  <c r="F54" i="10"/>
  <c r="E54" i="10"/>
  <c r="C54" i="10"/>
  <c r="B54" i="10"/>
  <c r="V52" i="10"/>
  <c r="U52" i="10"/>
  <c r="T52" i="10"/>
  <c r="S52" i="10"/>
  <c r="R52" i="10"/>
  <c r="Q52" i="10"/>
  <c r="L52" i="10"/>
  <c r="P53" i="10"/>
  <c r="K52" i="10"/>
  <c r="J52" i="10"/>
  <c r="O53" i="10"/>
  <c r="I52" i="10"/>
  <c r="H52" i="10"/>
  <c r="G52" i="10"/>
  <c r="F52" i="10"/>
  <c r="E52" i="10"/>
  <c r="C52" i="10"/>
  <c r="B52" i="10"/>
  <c r="V50" i="10"/>
  <c r="U50" i="10"/>
  <c r="T50" i="10"/>
  <c r="S50" i="10"/>
  <c r="R50" i="10"/>
  <c r="Q50" i="10"/>
  <c r="L50" i="10"/>
  <c r="P51" i="10"/>
  <c r="K50" i="10"/>
  <c r="J50" i="10"/>
  <c r="O51" i="10"/>
  <c r="I50" i="10"/>
  <c r="H50" i="10"/>
  <c r="G50" i="10"/>
  <c r="F50" i="10"/>
  <c r="E50" i="10"/>
  <c r="C50" i="10"/>
  <c r="B50" i="10"/>
  <c r="V48" i="10"/>
  <c r="U48" i="10"/>
  <c r="T48" i="10"/>
  <c r="S48" i="10"/>
  <c r="R48" i="10"/>
  <c r="Q48" i="10"/>
  <c r="L48" i="10"/>
  <c r="P49" i="10"/>
  <c r="K48" i="10"/>
  <c r="J48" i="10"/>
  <c r="O49" i="10"/>
  <c r="I48" i="10"/>
  <c r="H48" i="10"/>
  <c r="G48" i="10"/>
  <c r="F48" i="10"/>
  <c r="E48" i="10"/>
  <c r="C48" i="10"/>
  <c r="B48" i="10"/>
  <c r="V46" i="10"/>
  <c r="U46" i="10"/>
  <c r="T46" i="10"/>
  <c r="S46" i="10"/>
  <c r="R46" i="10"/>
  <c r="Q46" i="10"/>
  <c r="L46" i="10"/>
  <c r="P47" i="10"/>
  <c r="K46" i="10"/>
  <c r="J46" i="10"/>
  <c r="O47" i="10"/>
  <c r="I46" i="10"/>
  <c r="H46" i="10"/>
  <c r="G46" i="10"/>
  <c r="F46" i="10"/>
  <c r="E46" i="10"/>
  <c r="C46" i="10"/>
  <c r="B46" i="10"/>
  <c r="K42" i="10"/>
  <c r="F42" i="10"/>
  <c r="K41" i="10"/>
  <c r="K40" i="10"/>
  <c r="I41" i="10"/>
  <c r="I40" i="10"/>
  <c r="G41" i="10"/>
  <c r="G40" i="10"/>
  <c r="H40" i="10"/>
  <c r="J37" i="10"/>
  <c r="I37" i="10"/>
  <c r="H37" i="10"/>
  <c r="F37" i="10"/>
  <c r="K36" i="10"/>
  <c r="F36" i="10"/>
  <c r="K35" i="10"/>
  <c r="F35" i="10"/>
  <c r="K34" i="10"/>
  <c r="F34" i="10"/>
  <c r="L33" i="10"/>
  <c r="K33" i="10"/>
  <c r="J33" i="10"/>
  <c r="I33" i="10"/>
  <c r="H33" i="10"/>
  <c r="G33" i="10"/>
  <c r="K32" i="10"/>
  <c r="I32" i="10"/>
  <c r="H32" i="10"/>
  <c r="G32" i="10"/>
  <c r="K31" i="10"/>
  <c r="I31" i="10"/>
  <c r="H31" i="10"/>
  <c r="G31" i="10"/>
  <c r="L30" i="10"/>
  <c r="K30" i="10"/>
  <c r="J30" i="10"/>
  <c r="I30" i="10"/>
  <c r="H30" i="10"/>
  <c r="G30" i="10"/>
  <c r="V29" i="10"/>
  <c r="U29" i="10"/>
  <c r="T29" i="10"/>
  <c r="L35" i="10"/>
  <c r="S29" i="10"/>
  <c r="J35" i="10"/>
  <c r="R29" i="10"/>
  <c r="L34" i="10"/>
  <c r="Q29" i="10"/>
  <c r="J34" i="10"/>
  <c r="F29" i="10"/>
  <c r="E29" i="10"/>
  <c r="C29" i="10"/>
  <c r="B29" i="10"/>
  <c r="V27" i="10"/>
  <c r="U27" i="10"/>
  <c r="T27" i="10"/>
  <c r="S27" i="10"/>
  <c r="R27" i="10"/>
  <c r="Q27" i="10"/>
  <c r="L27" i="10"/>
  <c r="P28" i="10"/>
  <c r="K27" i="10"/>
  <c r="J27" i="10"/>
  <c r="O28" i="10"/>
  <c r="I27" i="10"/>
  <c r="H27" i="10"/>
  <c r="G27" i="10"/>
  <c r="F27" i="10"/>
  <c r="E27" i="10"/>
  <c r="C27" i="10"/>
  <c r="B27" i="10"/>
  <c r="V25" i="10"/>
  <c r="U25" i="10"/>
  <c r="T25" i="10"/>
  <c r="S25" i="10"/>
  <c r="R25" i="10"/>
  <c r="Q25" i="10"/>
  <c r="L25" i="10"/>
  <c r="P26" i="10"/>
  <c r="K25" i="10"/>
  <c r="J25" i="10"/>
  <c r="O26" i="10"/>
  <c r="I25" i="10"/>
  <c r="H25" i="10"/>
  <c r="G25" i="10"/>
  <c r="F25" i="10"/>
  <c r="E25" i="10"/>
  <c r="C25" i="10"/>
  <c r="B25" i="10"/>
  <c r="V23" i="10"/>
  <c r="U23" i="10"/>
  <c r="T23" i="10"/>
  <c r="S23" i="10"/>
  <c r="R23" i="10"/>
  <c r="Q23" i="10"/>
  <c r="I23" i="10"/>
  <c r="F23" i="10"/>
  <c r="L23" i="10"/>
  <c r="E23" i="10"/>
  <c r="C23" i="10"/>
  <c r="B23" i="10"/>
  <c r="V21" i="10"/>
  <c r="U21" i="10"/>
  <c r="T21" i="10"/>
  <c r="S21" i="10"/>
  <c r="R21" i="10"/>
  <c r="Q21" i="10"/>
  <c r="L21" i="10"/>
  <c r="P22" i="10"/>
  <c r="K21" i="10"/>
  <c r="J21" i="10"/>
  <c r="O22" i="10"/>
  <c r="I21" i="10"/>
  <c r="H21" i="10"/>
  <c r="G21" i="10"/>
  <c r="F21" i="10"/>
  <c r="E21" i="10"/>
  <c r="C21" i="10"/>
  <c r="B21" i="10"/>
  <c r="D20" i="10"/>
  <c r="AE19" i="10"/>
  <c r="A19" i="10"/>
  <c r="J165" i="10"/>
  <c r="J174" i="10"/>
  <c r="J177" i="10"/>
  <c r="J168" i="10"/>
  <c r="P18" i="15"/>
  <c r="L65" i="10"/>
  <c r="J107" i="10"/>
  <c r="L136" i="10"/>
  <c r="L502" i="11"/>
  <c r="L511" i="11"/>
  <c r="L507" i="11"/>
  <c r="L510" i="11"/>
  <c r="J502" i="11"/>
  <c r="J511" i="11"/>
  <c r="J507" i="11"/>
  <c r="J510" i="11"/>
  <c r="J94" i="10"/>
  <c r="J95" i="10"/>
  <c r="I96" i="10"/>
  <c r="O96" i="10"/>
  <c r="J135" i="10"/>
  <c r="L165" i="10"/>
  <c r="G19" i="15"/>
  <c r="U19" i="15"/>
  <c r="T19" i="15"/>
  <c r="I53" i="10"/>
  <c r="J142" i="10"/>
  <c r="J141" i="10"/>
  <c r="J131" i="10"/>
  <c r="J108" i="10"/>
  <c r="L135" i="10"/>
  <c r="K155" i="10"/>
  <c r="L166" i="10"/>
  <c r="J23" i="10"/>
  <c r="O24" i="10"/>
  <c r="K24" i="10"/>
  <c r="J64" i="10"/>
  <c r="L107" i="10"/>
  <c r="J41" i="10"/>
  <c r="J32" i="10"/>
  <c r="I49" i="10"/>
  <c r="J65" i="10"/>
  <c r="P100" i="10"/>
  <c r="J136" i="10"/>
  <c r="L64" i="10"/>
  <c r="J114" i="10"/>
  <c r="J104" i="10"/>
  <c r="L108" i="10"/>
  <c r="I47" i="10"/>
  <c r="I51" i="10"/>
  <c r="O55" i="10"/>
  <c r="L94" i="10"/>
  <c r="L85" i="10"/>
  <c r="O57" i="10"/>
  <c r="L71" i="10"/>
  <c r="L72" i="10"/>
  <c r="L142" i="10"/>
  <c r="L143" i="10"/>
  <c r="J40" i="10"/>
  <c r="J31" i="10"/>
  <c r="K22" i="10"/>
  <c r="K26" i="10"/>
  <c r="K28" i="10"/>
  <c r="L114" i="10"/>
  <c r="P24" i="10"/>
  <c r="I22" i="10"/>
  <c r="I26" i="10"/>
  <c r="I28" i="10"/>
  <c r="L41" i="10"/>
  <c r="K47" i="10"/>
  <c r="K49" i="10"/>
  <c r="K51" i="10"/>
  <c r="K53" i="10"/>
  <c r="K55" i="10"/>
  <c r="K57" i="10"/>
  <c r="J71" i="10"/>
  <c r="J85" i="10"/>
  <c r="O100" i="10"/>
  <c r="I120" i="10"/>
  <c r="I122" i="10"/>
  <c r="I124" i="10"/>
  <c r="I126" i="10"/>
  <c r="I128" i="10"/>
  <c r="K120" i="10"/>
  <c r="K122" i="10"/>
  <c r="K124" i="10"/>
  <c r="K126" i="10"/>
  <c r="K128" i="10"/>
  <c r="J115" i="10"/>
  <c r="L175" i="10"/>
  <c r="O18" i="15"/>
  <c r="J93" i="10"/>
  <c r="J84" i="10"/>
  <c r="J89" i="10"/>
  <c r="L174" i="10"/>
  <c r="L177" i="10"/>
  <c r="L168" i="10"/>
  <c r="J183" i="10"/>
  <c r="J113" i="10"/>
  <c r="J103" i="10"/>
  <c r="J132" i="10"/>
  <c r="I155" i="10"/>
  <c r="J166" i="10"/>
  <c r="I24" i="10"/>
  <c r="J143" i="10"/>
  <c r="L132" i="10"/>
  <c r="L141" i="10"/>
  <c r="L131" i="10"/>
  <c r="J42" i="10"/>
  <c r="J36" i="10"/>
  <c r="L61" i="10"/>
  <c r="L93" i="10"/>
  <c r="L84" i="10"/>
  <c r="L95" i="10"/>
  <c r="K96" i="10"/>
  <c r="P96" i="10"/>
  <c r="L70" i="10"/>
  <c r="L60" i="10"/>
  <c r="L115" i="10"/>
  <c r="L113" i="10"/>
  <c r="L103" i="10"/>
  <c r="L104" i="10"/>
  <c r="J70" i="10"/>
  <c r="J60" i="10"/>
  <c r="J72" i="10"/>
  <c r="J61" i="10"/>
  <c r="L32" i="10"/>
  <c r="L42" i="10"/>
  <c r="L40" i="10"/>
  <c r="L31" i="10"/>
  <c r="L66" i="10"/>
  <c r="K73" i="10"/>
  <c r="P73" i="10"/>
  <c r="I116" i="10"/>
  <c r="O116" i="10"/>
  <c r="J109" i="10"/>
  <c r="K144" i="10"/>
  <c r="P144" i="10"/>
  <c r="L137" i="10"/>
  <c r="P139" i="10"/>
  <c r="O91" i="10"/>
  <c r="I43" i="10"/>
  <c r="O43" i="10"/>
  <c r="I91" i="10"/>
  <c r="I98" i="10"/>
  <c r="Q18" i="15"/>
  <c r="R18" i="15"/>
  <c r="G15" i="14"/>
  <c r="J175" i="10"/>
  <c r="N18" i="15"/>
  <c r="L183" i="10"/>
  <c r="I111" i="10"/>
  <c r="I118" i="10"/>
  <c r="J137" i="10"/>
  <c r="I144" i="10"/>
  <c r="O144" i="10"/>
  <c r="L89" i="10"/>
  <c r="K91" i="10"/>
  <c r="K98" i="10"/>
  <c r="P68" i="10"/>
  <c r="O38" i="10"/>
  <c r="I38" i="10"/>
  <c r="K68" i="10"/>
  <c r="K75" i="10"/>
  <c r="O111" i="10"/>
  <c r="I73" i="10"/>
  <c r="O73" i="10"/>
  <c r="J66" i="10"/>
  <c r="O68" i="10"/>
  <c r="K43" i="10"/>
  <c r="P43" i="10"/>
  <c r="L36" i="10"/>
  <c r="P38" i="10"/>
  <c r="K139" i="10"/>
  <c r="K146" i="10"/>
  <c r="K116" i="10"/>
  <c r="P116" i="10"/>
  <c r="L109" i="10"/>
  <c r="P111" i="10"/>
  <c r="I45" i="10"/>
  <c r="P91" i="10"/>
  <c r="I68" i="10"/>
  <c r="I139" i="10"/>
  <c r="I146" i="10"/>
  <c r="O139" i="10"/>
  <c r="I152" i="10"/>
  <c r="J163" i="10"/>
  <c r="J172" i="10"/>
  <c r="I75" i="10"/>
  <c r="I77" i="10"/>
  <c r="K111" i="10"/>
  <c r="K118" i="10"/>
  <c r="K38" i="10"/>
  <c r="K45" i="10"/>
  <c r="K152" i="10"/>
  <c r="L163" i="10"/>
  <c r="K77" i="10"/>
  <c r="K148" i="10"/>
  <c r="I148" i="10"/>
  <c r="F18" i="15"/>
  <c r="F15" i="14"/>
  <c r="E15" i="14"/>
  <c r="L172" i="10"/>
  <c r="L169" i="10"/>
  <c r="L164" i="10"/>
  <c r="E18" i="15"/>
  <c r="S18" i="15"/>
  <c r="J169" i="10"/>
  <c r="J164" i="10"/>
  <c r="K59" i="9"/>
  <c r="I59" i="9"/>
  <c r="D59" i="9"/>
  <c r="K58" i="9"/>
  <c r="I58" i="9"/>
  <c r="D58" i="9"/>
  <c r="D57" i="9"/>
  <c r="K56" i="9"/>
  <c r="J56" i="9"/>
  <c r="K55" i="9"/>
  <c r="J55" i="9"/>
  <c r="AF54" i="9"/>
  <c r="A54" i="9"/>
  <c r="K52" i="9"/>
  <c r="J52" i="9"/>
  <c r="K51" i="9"/>
  <c r="J51" i="9"/>
  <c r="A50" i="9"/>
  <c r="K45" i="9"/>
  <c r="F45" i="9"/>
  <c r="K44" i="9"/>
  <c r="K43" i="9"/>
  <c r="I44" i="9"/>
  <c r="I43" i="9"/>
  <c r="G44" i="9"/>
  <c r="G43" i="9"/>
  <c r="H43" i="9"/>
  <c r="J40" i="9"/>
  <c r="I40" i="9"/>
  <c r="H40" i="9"/>
  <c r="F40" i="9"/>
  <c r="K39" i="9"/>
  <c r="F39" i="9"/>
  <c r="K38" i="9"/>
  <c r="F38" i="9"/>
  <c r="K37" i="9"/>
  <c r="F37" i="9"/>
  <c r="L36" i="9"/>
  <c r="K36" i="9"/>
  <c r="J36" i="9"/>
  <c r="I36" i="9"/>
  <c r="H36" i="9"/>
  <c r="G36" i="9"/>
  <c r="K35" i="9"/>
  <c r="I35" i="9"/>
  <c r="H35" i="9"/>
  <c r="G35" i="9"/>
  <c r="K34" i="9"/>
  <c r="I34" i="9"/>
  <c r="H34" i="9"/>
  <c r="G34" i="9"/>
  <c r="L33" i="9"/>
  <c r="K33" i="9"/>
  <c r="J33" i="9"/>
  <c r="I33" i="9"/>
  <c r="H33" i="9"/>
  <c r="G33" i="9"/>
  <c r="V32" i="9"/>
  <c r="U32" i="9"/>
  <c r="T32" i="9"/>
  <c r="L38" i="9"/>
  <c r="S32" i="9"/>
  <c r="J38" i="9"/>
  <c r="R32" i="9"/>
  <c r="L37" i="9"/>
  <c r="Q32" i="9"/>
  <c r="J37" i="9"/>
  <c r="F32" i="9"/>
  <c r="E32" i="9"/>
  <c r="C32" i="9"/>
  <c r="B32" i="9"/>
  <c r="D31" i="9"/>
  <c r="A30" i="9"/>
  <c r="K28" i="9"/>
  <c r="J28" i="9"/>
  <c r="K27" i="9"/>
  <c r="J27" i="9"/>
  <c r="AF26" i="9"/>
  <c r="A26" i="9"/>
  <c r="V23" i="9"/>
  <c r="U23" i="9"/>
  <c r="T23" i="9"/>
  <c r="S23" i="9"/>
  <c r="R23" i="9"/>
  <c r="Q23" i="9"/>
  <c r="L23" i="9"/>
  <c r="P24" i="9"/>
  <c r="K23" i="9"/>
  <c r="J23" i="9"/>
  <c r="I24" i="9"/>
  <c r="I23" i="9"/>
  <c r="H23" i="9"/>
  <c r="G23" i="9"/>
  <c r="F23" i="9"/>
  <c r="E23" i="9"/>
  <c r="C23" i="9"/>
  <c r="B23" i="9"/>
  <c r="V21" i="9"/>
  <c r="U21" i="9"/>
  <c r="T21" i="9"/>
  <c r="S21" i="9"/>
  <c r="R21" i="9"/>
  <c r="Q21" i="9"/>
  <c r="K21" i="9"/>
  <c r="I21" i="9"/>
  <c r="H21" i="9"/>
  <c r="G21" i="9"/>
  <c r="F21" i="9"/>
  <c r="L21" i="9"/>
  <c r="E21" i="9"/>
  <c r="C21" i="9"/>
  <c r="B21" i="9"/>
  <c r="D20" i="9"/>
  <c r="AE19" i="9"/>
  <c r="A19" i="9"/>
  <c r="J67" i="9"/>
  <c r="J76" i="9"/>
  <c r="J79" i="9"/>
  <c r="J70" i="9"/>
  <c r="L173" i="10"/>
  <c r="L182" i="10"/>
  <c r="L178" i="10"/>
  <c r="L181" i="10"/>
  <c r="L67" i="9"/>
  <c r="J173" i="10"/>
  <c r="J182" i="10"/>
  <c r="J178" i="10"/>
  <c r="J181" i="10"/>
  <c r="G18" i="15"/>
  <c r="U18" i="15"/>
  <c r="T18" i="15"/>
  <c r="K57" i="9"/>
  <c r="L68" i="9"/>
  <c r="J21" i="9"/>
  <c r="I22" i="9"/>
  <c r="P22" i="9"/>
  <c r="K26" i="9"/>
  <c r="O24" i="9"/>
  <c r="L44" i="9"/>
  <c r="L45" i="9"/>
  <c r="J44" i="9"/>
  <c r="J43" i="9"/>
  <c r="J34" i="9"/>
  <c r="K22" i="9"/>
  <c r="K24" i="9"/>
  <c r="L77" i="9"/>
  <c r="O17" i="15"/>
  <c r="P17" i="15"/>
  <c r="O22" i="9"/>
  <c r="I26" i="9"/>
  <c r="L76" i="9"/>
  <c r="L79" i="9"/>
  <c r="L70" i="9"/>
  <c r="J85" i="9"/>
  <c r="L35" i="9"/>
  <c r="I57" i="9"/>
  <c r="J68" i="9"/>
  <c r="L43" i="9"/>
  <c r="L34" i="9"/>
  <c r="J45" i="9"/>
  <c r="I46" i="9"/>
  <c r="O46" i="9"/>
  <c r="J35" i="9"/>
  <c r="L39" i="9"/>
  <c r="K46" i="9"/>
  <c r="P46" i="9"/>
  <c r="L85" i="9"/>
  <c r="N17" i="15"/>
  <c r="J77" i="9"/>
  <c r="Q17" i="15"/>
  <c r="R17" i="15"/>
  <c r="G14" i="14"/>
  <c r="J39" i="9"/>
  <c r="I41" i="9"/>
  <c r="I48" i="9"/>
  <c r="K41" i="9"/>
  <c r="K48" i="9"/>
  <c r="P41" i="9"/>
  <c r="O41" i="9"/>
  <c r="I50" i="9"/>
  <c r="K50" i="9"/>
  <c r="K54" i="9"/>
  <c r="L65" i="9"/>
  <c r="F17" i="15"/>
  <c r="L74" i="9"/>
  <c r="F14" i="14"/>
  <c r="E14" i="14"/>
  <c r="L66" i="9"/>
  <c r="L71" i="9"/>
  <c r="I54" i="9"/>
  <c r="J65" i="9"/>
  <c r="J74" i="9"/>
  <c r="K50" i="8"/>
  <c r="I50" i="8"/>
  <c r="D50" i="8"/>
  <c r="K49" i="8"/>
  <c r="I49" i="8"/>
  <c r="D49" i="8"/>
  <c r="D48" i="8"/>
  <c r="K47" i="8"/>
  <c r="L59" i="8"/>
  <c r="I47" i="8"/>
  <c r="J59" i="8"/>
  <c r="D47" i="8"/>
  <c r="K46" i="8"/>
  <c r="J46" i="8"/>
  <c r="K45" i="8"/>
  <c r="J45" i="8"/>
  <c r="AF44" i="8"/>
  <c r="A44" i="8"/>
  <c r="K42" i="8"/>
  <c r="J42" i="8"/>
  <c r="K41" i="8"/>
  <c r="J41" i="8"/>
  <c r="A40" i="8"/>
  <c r="V37" i="8"/>
  <c r="U37" i="8"/>
  <c r="T37" i="8"/>
  <c r="S37" i="8"/>
  <c r="R37" i="8"/>
  <c r="Q37" i="8"/>
  <c r="K37" i="8"/>
  <c r="J37" i="8"/>
  <c r="G37" i="8"/>
  <c r="I37" i="8"/>
  <c r="F37" i="8"/>
  <c r="E37" i="8"/>
  <c r="B37" i="8"/>
  <c r="K33" i="8"/>
  <c r="F33" i="8"/>
  <c r="K32" i="8"/>
  <c r="K31" i="8"/>
  <c r="I32" i="8"/>
  <c r="I31" i="8"/>
  <c r="G32" i="8"/>
  <c r="G31" i="8"/>
  <c r="H31" i="8"/>
  <c r="J28" i="8"/>
  <c r="I28" i="8"/>
  <c r="H28" i="8"/>
  <c r="F28" i="8"/>
  <c r="K27" i="8"/>
  <c r="F27" i="8"/>
  <c r="K26" i="8"/>
  <c r="F26" i="8"/>
  <c r="K25" i="8"/>
  <c r="F25" i="8"/>
  <c r="L24" i="8"/>
  <c r="K24" i="8"/>
  <c r="J24" i="8"/>
  <c r="I24" i="8"/>
  <c r="H24" i="8"/>
  <c r="G24" i="8"/>
  <c r="K23" i="8"/>
  <c r="I23" i="8"/>
  <c r="H23" i="8"/>
  <c r="G23" i="8"/>
  <c r="K22" i="8"/>
  <c r="I22" i="8"/>
  <c r="H22" i="8"/>
  <c r="G22" i="8"/>
  <c r="L21" i="8"/>
  <c r="K21" i="8"/>
  <c r="J21" i="8"/>
  <c r="I21" i="8"/>
  <c r="H21" i="8"/>
  <c r="G21" i="8"/>
  <c r="V20" i="8"/>
  <c r="U20" i="8"/>
  <c r="T20" i="8"/>
  <c r="L26" i="8"/>
  <c r="S20" i="8"/>
  <c r="J26" i="8"/>
  <c r="R20" i="8"/>
  <c r="L25" i="8"/>
  <c r="Q20" i="8"/>
  <c r="J25" i="8"/>
  <c r="F20" i="8"/>
  <c r="E20" i="8"/>
  <c r="C20" i="8"/>
  <c r="B20" i="8"/>
  <c r="A19" i="8"/>
  <c r="J58" i="8"/>
  <c r="J67" i="8"/>
  <c r="L68" i="8"/>
  <c r="O16" i="15"/>
  <c r="L58" i="8"/>
  <c r="E17" i="15"/>
  <c r="S17" i="15"/>
  <c r="J66" i="9"/>
  <c r="J71" i="9"/>
  <c r="L75" i="9"/>
  <c r="L84" i="9"/>
  <c r="L80" i="9"/>
  <c r="L83" i="9"/>
  <c r="N16" i="15"/>
  <c r="J68" i="8"/>
  <c r="T17" i="15"/>
  <c r="G17" i="15"/>
  <c r="U17" i="15"/>
  <c r="K48" i="8"/>
  <c r="L53" i="8"/>
  <c r="P38" i="8"/>
  <c r="J32" i="8"/>
  <c r="J31" i="8"/>
  <c r="J22" i="8"/>
  <c r="I38" i="8"/>
  <c r="L32" i="8"/>
  <c r="K38" i="8"/>
  <c r="L54" i="8"/>
  <c r="H60" i="13"/>
  <c r="F60" i="13"/>
  <c r="D60" i="13"/>
  <c r="L67" i="8"/>
  <c r="L70" i="8"/>
  <c r="L76" i="8"/>
  <c r="L61" i="8"/>
  <c r="J75" i="9"/>
  <c r="J84" i="9"/>
  <c r="J80" i="9"/>
  <c r="J83" i="9"/>
  <c r="J70" i="8"/>
  <c r="J76" i="8"/>
  <c r="J61" i="8"/>
  <c r="P16" i="15"/>
  <c r="I48" i="8"/>
  <c r="J53" i="8"/>
  <c r="O38" i="8"/>
  <c r="J23" i="8"/>
  <c r="J33" i="8"/>
  <c r="I34" i="8"/>
  <c r="O34" i="8"/>
  <c r="L31" i="8"/>
  <c r="L22" i="8"/>
  <c r="L33" i="8"/>
  <c r="L23" i="8"/>
  <c r="Q16" i="15"/>
  <c r="R16" i="15"/>
  <c r="G13" i="14"/>
  <c r="J54" i="8"/>
  <c r="G60" i="13"/>
  <c r="E60" i="13"/>
  <c r="C60" i="13"/>
  <c r="J27" i="8"/>
  <c r="O29" i="8"/>
  <c r="I40" i="8"/>
  <c r="K34" i="8"/>
  <c r="P34" i="8"/>
  <c r="L27" i="8"/>
  <c r="P29" i="8"/>
  <c r="I44" i="8"/>
  <c r="J56" i="8"/>
  <c r="J65" i="8"/>
  <c r="I29" i="8"/>
  <c r="I36" i="8"/>
  <c r="K29" i="8"/>
  <c r="K36" i="8"/>
  <c r="K40" i="8"/>
  <c r="K44" i="8"/>
  <c r="L56" i="8"/>
  <c r="L62" i="8"/>
  <c r="F16" i="15"/>
  <c r="L65" i="8"/>
  <c r="F13" i="14"/>
  <c r="L57" i="8"/>
  <c r="E16" i="15"/>
  <c r="J57" i="8"/>
  <c r="J62" i="8"/>
  <c r="K133" i="6"/>
  <c r="I133" i="6"/>
  <c r="D133" i="6"/>
  <c r="K132" i="6"/>
  <c r="I132" i="6"/>
  <c r="D132" i="6"/>
  <c r="K131" i="6"/>
  <c r="L142" i="6"/>
  <c r="I131" i="6"/>
  <c r="J142" i="6"/>
  <c r="J151" i="6"/>
  <c r="D131" i="6"/>
  <c r="K130" i="6"/>
  <c r="J130" i="6"/>
  <c r="K129" i="6"/>
  <c r="L136" i="6"/>
  <c r="L137" i="6"/>
  <c r="J129" i="6"/>
  <c r="A128" i="6"/>
  <c r="K126" i="6"/>
  <c r="J126" i="6"/>
  <c r="K125" i="6"/>
  <c r="J125" i="6"/>
  <c r="AF124" i="6"/>
  <c r="A124" i="6"/>
  <c r="V121" i="6"/>
  <c r="U121" i="6"/>
  <c r="T121" i="6"/>
  <c r="S121" i="6"/>
  <c r="R121" i="6"/>
  <c r="Q121" i="6"/>
  <c r="L121" i="6"/>
  <c r="P122" i="6"/>
  <c r="K121" i="6"/>
  <c r="J121" i="6"/>
  <c r="I122" i="6"/>
  <c r="I121" i="6"/>
  <c r="H121" i="6"/>
  <c r="G121" i="6"/>
  <c r="F121" i="6"/>
  <c r="E121" i="6"/>
  <c r="C121" i="6"/>
  <c r="K117" i="6"/>
  <c r="F117" i="6"/>
  <c r="K116" i="6"/>
  <c r="K115" i="6"/>
  <c r="I116" i="6"/>
  <c r="I115" i="6"/>
  <c r="G116" i="6"/>
  <c r="G115" i="6"/>
  <c r="H115" i="6"/>
  <c r="J112" i="6"/>
  <c r="I112" i="6"/>
  <c r="H112" i="6"/>
  <c r="F112" i="6"/>
  <c r="K111" i="6"/>
  <c r="F111" i="6"/>
  <c r="K110" i="6"/>
  <c r="F110" i="6"/>
  <c r="K109" i="6"/>
  <c r="F109" i="6"/>
  <c r="K108" i="6"/>
  <c r="I108" i="6"/>
  <c r="H108" i="6"/>
  <c r="G108" i="6"/>
  <c r="K107" i="6"/>
  <c r="I107" i="6"/>
  <c r="H107" i="6"/>
  <c r="G107" i="6"/>
  <c r="L106" i="6"/>
  <c r="K106" i="6"/>
  <c r="J106" i="6"/>
  <c r="I106" i="6"/>
  <c r="H106" i="6"/>
  <c r="G106" i="6"/>
  <c r="V105" i="6"/>
  <c r="U105" i="6"/>
  <c r="T105" i="6"/>
  <c r="L110" i="6"/>
  <c r="S105" i="6"/>
  <c r="J110" i="6"/>
  <c r="R105" i="6"/>
  <c r="L109" i="6"/>
  <c r="Q105" i="6"/>
  <c r="J109" i="6"/>
  <c r="F105" i="6"/>
  <c r="E105" i="6"/>
  <c r="C105" i="6"/>
  <c r="V103" i="6"/>
  <c r="U103" i="6"/>
  <c r="T103" i="6"/>
  <c r="S103" i="6"/>
  <c r="R103" i="6"/>
  <c r="Q103" i="6"/>
  <c r="L103" i="6"/>
  <c r="K104" i="6"/>
  <c r="K103" i="6"/>
  <c r="J103" i="6"/>
  <c r="I104" i="6"/>
  <c r="I103" i="6"/>
  <c r="H103" i="6"/>
  <c r="G103" i="6"/>
  <c r="F103" i="6"/>
  <c r="E103" i="6"/>
  <c r="C103" i="6"/>
  <c r="V101" i="6"/>
  <c r="U101" i="6"/>
  <c r="T101" i="6"/>
  <c r="S101" i="6"/>
  <c r="R101" i="6"/>
  <c r="Q101" i="6"/>
  <c r="L101" i="6"/>
  <c r="K102" i="6"/>
  <c r="K101" i="6"/>
  <c r="J101" i="6"/>
  <c r="I102" i="6"/>
  <c r="I101" i="6"/>
  <c r="H101" i="6"/>
  <c r="G101" i="6"/>
  <c r="F101" i="6"/>
  <c r="E101" i="6"/>
  <c r="C101" i="6"/>
  <c r="K97" i="6"/>
  <c r="F97" i="6"/>
  <c r="K96" i="6"/>
  <c r="K95" i="6"/>
  <c r="I96" i="6"/>
  <c r="I95" i="6"/>
  <c r="G96" i="6"/>
  <c r="G95" i="6"/>
  <c r="H95" i="6"/>
  <c r="J92" i="6"/>
  <c r="I92" i="6"/>
  <c r="H92" i="6"/>
  <c r="F92" i="6"/>
  <c r="K91" i="6"/>
  <c r="F91" i="6"/>
  <c r="K90" i="6"/>
  <c r="F90" i="6"/>
  <c r="K89" i="6"/>
  <c r="F89" i="6"/>
  <c r="K88" i="6"/>
  <c r="I88" i="6"/>
  <c r="H88" i="6"/>
  <c r="G88" i="6"/>
  <c r="K87" i="6"/>
  <c r="I87" i="6"/>
  <c r="H87" i="6"/>
  <c r="G87" i="6"/>
  <c r="L86" i="6"/>
  <c r="K86" i="6"/>
  <c r="J86" i="6"/>
  <c r="I86" i="6"/>
  <c r="H86" i="6"/>
  <c r="G86" i="6"/>
  <c r="V85" i="6"/>
  <c r="U85" i="6"/>
  <c r="T85" i="6"/>
  <c r="L90" i="6"/>
  <c r="S85" i="6"/>
  <c r="J90" i="6"/>
  <c r="R85" i="6"/>
  <c r="L89" i="6"/>
  <c r="Q85" i="6"/>
  <c r="J89" i="6"/>
  <c r="F85" i="6"/>
  <c r="E85" i="6"/>
  <c r="C85" i="6"/>
  <c r="V83" i="6"/>
  <c r="U83" i="6"/>
  <c r="T83" i="6"/>
  <c r="S83" i="6"/>
  <c r="R83" i="6"/>
  <c r="Q83" i="6"/>
  <c r="L83" i="6"/>
  <c r="K84" i="6"/>
  <c r="K83" i="6"/>
  <c r="J83" i="6"/>
  <c r="I84" i="6"/>
  <c r="I83" i="6"/>
  <c r="H83" i="6"/>
  <c r="G83" i="6"/>
  <c r="F83" i="6"/>
  <c r="E83" i="6"/>
  <c r="C83" i="6"/>
  <c r="V81" i="6"/>
  <c r="U81" i="6"/>
  <c r="T81" i="6"/>
  <c r="S81" i="6"/>
  <c r="R81" i="6"/>
  <c r="Q81" i="6"/>
  <c r="L81" i="6"/>
  <c r="K82" i="6"/>
  <c r="K81" i="6"/>
  <c r="J81" i="6"/>
  <c r="I82" i="6"/>
  <c r="I81" i="6"/>
  <c r="H81" i="6"/>
  <c r="G81" i="6"/>
  <c r="F81" i="6"/>
  <c r="E81" i="6"/>
  <c r="C81" i="6"/>
  <c r="V79" i="6"/>
  <c r="U79" i="6"/>
  <c r="T79" i="6"/>
  <c r="S79" i="6"/>
  <c r="R79" i="6"/>
  <c r="Q79" i="6"/>
  <c r="L79" i="6"/>
  <c r="K80" i="6"/>
  <c r="K79" i="6"/>
  <c r="J79" i="6"/>
  <c r="I80" i="6"/>
  <c r="I79" i="6"/>
  <c r="H79" i="6"/>
  <c r="G79" i="6"/>
  <c r="F79" i="6"/>
  <c r="E79" i="6"/>
  <c r="C79" i="6"/>
  <c r="V77" i="6"/>
  <c r="U77" i="6"/>
  <c r="T77" i="6"/>
  <c r="S77" i="6"/>
  <c r="R77" i="6"/>
  <c r="Q77" i="6"/>
  <c r="L77" i="6"/>
  <c r="K78" i="6"/>
  <c r="K77" i="6"/>
  <c r="J77" i="6"/>
  <c r="I78" i="6"/>
  <c r="I77" i="6"/>
  <c r="H77" i="6"/>
  <c r="G77" i="6"/>
  <c r="F77" i="6"/>
  <c r="E77" i="6"/>
  <c r="C77" i="6"/>
  <c r="K73" i="6"/>
  <c r="F73" i="6"/>
  <c r="K72" i="6"/>
  <c r="K71" i="6"/>
  <c r="I72" i="6"/>
  <c r="I71" i="6"/>
  <c r="G72" i="6"/>
  <c r="G71" i="6"/>
  <c r="H71" i="6"/>
  <c r="J68" i="6"/>
  <c r="I68" i="6"/>
  <c r="H68" i="6"/>
  <c r="F68" i="6"/>
  <c r="K67" i="6"/>
  <c r="F67" i="6"/>
  <c r="K66" i="6"/>
  <c r="F66" i="6"/>
  <c r="K65" i="6"/>
  <c r="F65" i="6"/>
  <c r="V64" i="6"/>
  <c r="U64" i="6"/>
  <c r="T64" i="6"/>
  <c r="S64" i="6"/>
  <c r="R64" i="6"/>
  <c r="Q64" i="6"/>
  <c r="L64" i="6"/>
  <c r="K64" i="6"/>
  <c r="J64" i="6"/>
  <c r="I64" i="6"/>
  <c r="G64" i="6"/>
  <c r="F64" i="6"/>
  <c r="E64" i="6"/>
  <c r="C64" i="6"/>
  <c r="L63" i="6"/>
  <c r="K63" i="6"/>
  <c r="J63" i="6"/>
  <c r="I63" i="6"/>
  <c r="H63" i="6"/>
  <c r="G63" i="6"/>
  <c r="K62" i="6"/>
  <c r="I62" i="6"/>
  <c r="H62" i="6"/>
  <c r="G62" i="6"/>
  <c r="K61" i="6"/>
  <c r="I61" i="6"/>
  <c r="H61" i="6"/>
  <c r="G61" i="6"/>
  <c r="L60" i="6"/>
  <c r="K60" i="6"/>
  <c r="J60" i="6"/>
  <c r="I60" i="6"/>
  <c r="H60" i="6"/>
  <c r="G60" i="6"/>
  <c r="V59" i="6"/>
  <c r="U59" i="6"/>
  <c r="T59" i="6"/>
  <c r="S59" i="6"/>
  <c r="R59" i="6"/>
  <c r="Q59" i="6"/>
  <c r="F59" i="6"/>
  <c r="E59" i="6"/>
  <c r="C59" i="6"/>
  <c r="V57" i="6"/>
  <c r="U57" i="6"/>
  <c r="T57" i="6"/>
  <c r="S57" i="6"/>
  <c r="R57" i="6"/>
  <c r="Q57" i="6"/>
  <c r="L57" i="6"/>
  <c r="P58" i="6"/>
  <c r="K57" i="6"/>
  <c r="J57" i="6"/>
  <c r="O58" i="6"/>
  <c r="I57" i="6"/>
  <c r="H57" i="6"/>
  <c r="G57" i="6"/>
  <c r="F57" i="6"/>
  <c r="E57" i="6"/>
  <c r="C57" i="6"/>
  <c r="K53" i="6"/>
  <c r="F53" i="6"/>
  <c r="K52" i="6"/>
  <c r="K51" i="6"/>
  <c r="I52" i="6"/>
  <c r="I51" i="6"/>
  <c r="G52" i="6"/>
  <c r="H51" i="6"/>
  <c r="J48" i="6"/>
  <c r="I48" i="6"/>
  <c r="H48" i="6"/>
  <c r="F48" i="6"/>
  <c r="K47" i="6"/>
  <c r="F47" i="6"/>
  <c r="K46" i="6"/>
  <c r="F46" i="6"/>
  <c r="K45" i="6"/>
  <c r="F45" i="6"/>
  <c r="L44" i="6"/>
  <c r="K44" i="6"/>
  <c r="J44" i="6"/>
  <c r="I44" i="6"/>
  <c r="H44" i="6"/>
  <c r="G44" i="6"/>
  <c r="K43" i="6"/>
  <c r="I43" i="6"/>
  <c r="H43" i="6"/>
  <c r="G43" i="6"/>
  <c r="K42" i="6"/>
  <c r="I42" i="6"/>
  <c r="H42" i="6"/>
  <c r="G42" i="6"/>
  <c r="L41" i="6"/>
  <c r="K41" i="6"/>
  <c r="J41" i="6"/>
  <c r="I41" i="6"/>
  <c r="H41" i="6"/>
  <c r="G41" i="6"/>
  <c r="V40" i="6"/>
  <c r="U40" i="6"/>
  <c r="T40" i="6"/>
  <c r="L46" i="6"/>
  <c r="S40" i="6"/>
  <c r="J46" i="6"/>
  <c r="R40" i="6"/>
  <c r="L45" i="6"/>
  <c r="Q40" i="6"/>
  <c r="J45" i="6"/>
  <c r="F40" i="6"/>
  <c r="E40" i="6"/>
  <c r="C40" i="6"/>
  <c r="V38" i="6"/>
  <c r="U38" i="6"/>
  <c r="T38" i="6"/>
  <c r="S38" i="6"/>
  <c r="R38" i="6"/>
  <c r="Q38" i="6"/>
  <c r="L38" i="6"/>
  <c r="K39" i="6"/>
  <c r="K38" i="6"/>
  <c r="J38" i="6"/>
  <c r="I39" i="6"/>
  <c r="I38" i="6"/>
  <c r="H38" i="6"/>
  <c r="G38" i="6"/>
  <c r="F38" i="6"/>
  <c r="E38" i="6"/>
  <c r="C38" i="6"/>
  <c r="B38" i="6"/>
  <c r="K34" i="6"/>
  <c r="F34" i="6"/>
  <c r="K33" i="6"/>
  <c r="K32" i="6"/>
  <c r="I33" i="6"/>
  <c r="I32" i="6"/>
  <c r="G33" i="6"/>
  <c r="G32" i="6"/>
  <c r="H32" i="6"/>
  <c r="J29" i="6"/>
  <c r="I29" i="6"/>
  <c r="H29" i="6"/>
  <c r="F29" i="6"/>
  <c r="K28" i="6"/>
  <c r="F28" i="6"/>
  <c r="K27" i="6"/>
  <c r="F27" i="6"/>
  <c r="K26" i="6"/>
  <c r="F26" i="6"/>
  <c r="L25" i="6"/>
  <c r="K25" i="6"/>
  <c r="J25" i="6"/>
  <c r="I25" i="6"/>
  <c r="H25" i="6"/>
  <c r="G25" i="6"/>
  <c r="K24" i="6"/>
  <c r="I24" i="6"/>
  <c r="H24" i="6"/>
  <c r="G24" i="6"/>
  <c r="K23" i="6"/>
  <c r="I23" i="6"/>
  <c r="H23" i="6"/>
  <c r="G23" i="6"/>
  <c r="L22" i="6"/>
  <c r="K22" i="6"/>
  <c r="J22" i="6"/>
  <c r="I22" i="6"/>
  <c r="H22" i="6"/>
  <c r="G22" i="6"/>
  <c r="V21" i="6"/>
  <c r="U21" i="6"/>
  <c r="T21" i="6"/>
  <c r="L27" i="6"/>
  <c r="S21" i="6"/>
  <c r="J27" i="6"/>
  <c r="R21" i="6"/>
  <c r="L26" i="6"/>
  <c r="Q21" i="6"/>
  <c r="J26" i="6"/>
  <c r="F21" i="6"/>
  <c r="E21" i="6"/>
  <c r="C21" i="6"/>
  <c r="B21" i="6"/>
  <c r="AE20" i="6"/>
  <c r="A20" i="6"/>
  <c r="J141" i="6"/>
  <c r="J150" i="6"/>
  <c r="L151" i="6"/>
  <c r="O15" i="15"/>
  <c r="J153" i="6"/>
  <c r="J144" i="6"/>
  <c r="N15" i="15"/>
  <c r="L141" i="6"/>
  <c r="E13" i="14"/>
  <c r="L66" i="8"/>
  <c r="L75" i="8"/>
  <c r="L71" i="8"/>
  <c r="L74" i="8"/>
  <c r="J66" i="8"/>
  <c r="J75" i="8"/>
  <c r="J71" i="8"/>
  <c r="J74" i="8"/>
  <c r="G16" i="15"/>
  <c r="T16" i="15"/>
  <c r="S16" i="15"/>
  <c r="J65" i="6"/>
  <c r="O102" i="6"/>
  <c r="J66" i="6"/>
  <c r="L65" i="6"/>
  <c r="P78" i="6"/>
  <c r="J52" i="6"/>
  <c r="J51" i="6"/>
  <c r="J42" i="6"/>
  <c r="L72" i="6"/>
  <c r="L73" i="6"/>
  <c r="L66" i="6"/>
  <c r="L33" i="6"/>
  <c r="L32" i="6"/>
  <c r="L23" i="6"/>
  <c r="J116" i="6"/>
  <c r="J117" i="6"/>
  <c r="J72" i="6"/>
  <c r="J71" i="6"/>
  <c r="J61" i="6"/>
  <c r="O39" i="6"/>
  <c r="P84" i="6"/>
  <c r="J96" i="6"/>
  <c r="J97" i="6"/>
  <c r="P104" i="6"/>
  <c r="P80" i="6"/>
  <c r="P102" i="6"/>
  <c r="P82" i="6"/>
  <c r="O104" i="6"/>
  <c r="O122" i="6"/>
  <c r="L52" i="6"/>
  <c r="K58" i="6"/>
  <c r="J33" i="6"/>
  <c r="P39" i="6"/>
  <c r="I58" i="6"/>
  <c r="O78" i="6"/>
  <c r="O80" i="6"/>
  <c r="O82" i="6"/>
  <c r="O84" i="6"/>
  <c r="L96" i="6"/>
  <c r="L116" i="6"/>
  <c r="K122" i="6"/>
  <c r="G51" i="6"/>
  <c r="L24" i="6"/>
  <c r="P15" i="15"/>
  <c r="L150" i="6"/>
  <c r="L153" i="6"/>
  <c r="L144" i="6"/>
  <c r="L34" i="6"/>
  <c r="J159" i="6"/>
  <c r="U16" i="15"/>
  <c r="L71" i="6"/>
  <c r="L61" i="6"/>
  <c r="L62" i="6"/>
  <c r="J95" i="6"/>
  <c r="J87" i="6"/>
  <c r="J53" i="6"/>
  <c r="I54" i="6"/>
  <c r="O54" i="6"/>
  <c r="J108" i="6"/>
  <c r="J115" i="6"/>
  <c r="J107" i="6"/>
  <c r="J43" i="6"/>
  <c r="J88" i="6"/>
  <c r="J73" i="6"/>
  <c r="J62" i="6"/>
  <c r="L95" i="6"/>
  <c r="L87" i="6"/>
  <c r="L97" i="6"/>
  <c r="L88" i="6"/>
  <c r="L53" i="6"/>
  <c r="L51" i="6"/>
  <c r="L42" i="6"/>
  <c r="L43" i="6"/>
  <c r="J91" i="6"/>
  <c r="I98" i="6"/>
  <c r="O98" i="6"/>
  <c r="J32" i="6"/>
  <c r="J23" i="6"/>
  <c r="J24" i="6"/>
  <c r="J34" i="6"/>
  <c r="L28" i="6"/>
  <c r="P30" i="6"/>
  <c r="K35" i="6"/>
  <c r="P35" i="6"/>
  <c r="L117" i="6"/>
  <c r="L108" i="6"/>
  <c r="L115" i="6"/>
  <c r="L107" i="6"/>
  <c r="K74" i="6"/>
  <c r="P74" i="6"/>
  <c r="L67" i="6"/>
  <c r="I118" i="6"/>
  <c r="O118" i="6"/>
  <c r="J111" i="6"/>
  <c r="Q15" i="15"/>
  <c r="R15" i="15"/>
  <c r="G12" i="14"/>
  <c r="L159" i="6"/>
  <c r="J47" i="6"/>
  <c r="I49" i="6"/>
  <c r="I56" i="6"/>
  <c r="O113" i="6"/>
  <c r="K69" i="6"/>
  <c r="K76" i="6"/>
  <c r="O93" i="6"/>
  <c r="I113" i="6"/>
  <c r="I120" i="6"/>
  <c r="K30" i="6"/>
  <c r="K37" i="6"/>
  <c r="I74" i="6"/>
  <c r="O74" i="6"/>
  <c r="J67" i="6"/>
  <c r="I93" i="6"/>
  <c r="I100" i="6"/>
  <c r="K118" i="6"/>
  <c r="P118" i="6"/>
  <c r="L111" i="6"/>
  <c r="K113" i="6"/>
  <c r="K54" i="6"/>
  <c r="P54" i="6"/>
  <c r="L47" i="6"/>
  <c r="P49" i="6"/>
  <c r="I35" i="6"/>
  <c r="O35" i="6"/>
  <c r="J28" i="6"/>
  <c r="I30" i="6"/>
  <c r="K98" i="6"/>
  <c r="P98" i="6"/>
  <c r="L91" i="6"/>
  <c r="K93" i="6"/>
  <c r="P69" i="6"/>
  <c r="O49" i="6"/>
  <c r="P113" i="6"/>
  <c r="K49" i="6"/>
  <c r="K56" i="6"/>
  <c r="K100" i="6"/>
  <c r="I37" i="6"/>
  <c r="K120" i="6"/>
  <c r="O69" i="6"/>
  <c r="I69" i="6"/>
  <c r="I76" i="6"/>
  <c r="O30" i="6"/>
  <c r="P93" i="6"/>
  <c r="K128" i="6"/>
  <c r="L139" i="6"/>
  <c r="L148" i="6"/>
  <c r="F15" i="15"/>
  <c r="F12" i="14"/>
  <c r="E12" i="14"/>
  <c r="L140" i="6"/>
  <c r="L145" i="6"/>
  <c r="I128" i="6"/>
  <c r="J139" i="6"/>
  <c r="J148" i="6"/>
  <c r="I124" i="6"/>
  <c r="K124" i="6"/>
  <c r="L149" i="6"/>
  <c r="L158" i="6"/>
  <c r="L154" i="6"/>
  <c r="L157" i="6"/>
  <c r="E15" i="15"/>
  <c r="S15" i="15"/>
  <c r="J140" i="6"/>
  <c r="J145" i="6"/>
  <c r="G15" i="15"/>
  <c r="U15" i="15"/>
  <c r="T15" i="15"/>
  <c r="J149" i="6"/>
  <c r="J158" i="6"/>
  <c r="J154" i="6"/>
  <c r="J157" i="6"/>
  <c r="L26" i="4"/>
  <c r="K166" i="4"/>
  <c r="I166" i="4"/>
  <c r="D166" i="4"/>
  <c r="K165" i="4"/>
  <c r="L174" i="4"/>
  <c r="L177" i="4"/>
  <c r="I165" i="4"/>
  <c r="D165" i="4"/>
  <c r="K164" i="4"/>
  <c r="L175" i="4"/>
  <c r="I164" i="4"/>
  <c r="J175" i="4"/>
  <c r="J184" i="4"/>
  <c r="D164" i="4"/>
  <c r="K163" i="4"/>
  <c r="J163" i="4"/>
  <c r="K162" i="4"/>
  <c r="L169" i="4"/>
  <c r="L170" i="4"/>
  <c r="J162" i="4"/>
  <c r="AF161" i="4"/>
  <c r="A161" i="4"/>
  <c r="K159" i="4"/>
  <c r="J159" i="4"/>
  <c r="K158" i="4"/>
  <c r="J158" i="4"/>
  <c r="A157" i="4"/>
  <c r="K155" i="4"/>
  <c r="J155" i="4"/>
  <c r="K154" i="4"/>
  <c r="J154" i="4"/>
  <c r="A153" i="4"/>
  <c r="K148" i="4"/>
  <c r="F148" i="4"/>
  <c r="K147" i="4"/>
  <c r="K146" i="4"/>
  <c r="I147" i="4"/>
  <c r="I146" i="4"/>
  <c r="G147" i="4"/>
  <c r="G146" i="4"/>
  <c r="H146" i="4"/>
  <c r="J143" i="4"/>
  <c r="I143" i="4"/>
  <c r="H143" i="4"/>
  <c r="F143" i="4"/>
  <c r="K142" i="4"/>
  <c r="F142" i="4"/>
  <c r="K141" i="4"/>
  <c r="F141" i="4"/>
  <c r="K140" i="4"/>
  <c r="F140" i="4"/>
  <c r="V139" i="4"/>
  <c r="U139" i="4"/>
  <c r="T139" i="4"/>
  <c r="S139" i="4"/>
  <c r="R139" i="4"/>
  <c r="Q139" i="4"/>
  <c r="L139" i="4"/>
  <c r="K139" i="4"/>
  <c r="J139" i="4"/>
  <c r="I139" i="4"/>
  <c r="G139" i="4"/>
  <c r="F139" i="4"/>
  <c r="E139" i="4"/>
  <c r="C139" i="4"/>
  <c r="B139" i="4"/>
  <c r="L138" i="4"/>
  <c r="K138" i="4"/>
  <c r="J138" i="4"/>
  <c r="I138" i="4"/>
  <c r="H138" i="4"/>
  <c r="G138" i="4"/>
  <c r="K137" i="4"/>
  <c r="I137" i="4"/>
  <c r="H137" i="4"/>
  <c r="G137" i="4"/>
  <c r="K136" i="4"/>
  <c r="I136" i="4"/>
  <c r="H136" i="4"/>
  <c r="G136" i="4"/>
  <c r="L135" i="4"/>
  <c r="K135" i="4"/>
  <c r="J135" i="4"/>
  <c r="I135" i="4"/>
  <c r="H135" i="4"/>
  <c r="G135" i="4"/>
  <c r="V134" i="4"/>
  <c r="U134" i="4"/>
  <c r="T134" i="4"/>
  <c r="S134" i="4"/>
  <c r="J141" i="4"/>
  <c r="R134" i="4"/>
  <c r="Q134" i="4"/>
  <c r="F134" i="4"/>
  <c r="E134" i="4"/>
  <c r="C134" i="4"/>
  <c r="B134" i="4"/>
  <c r="K130" i="4"/>
  <c r="F130" i="4"/>
  <c r="K129" i="4"/>
  <c r="K128" i="4"/>
  <c r="I129" i="4"/>
  <c r="I128" i="4"/>
  <c r="G129" i="4"/>
  <c r="G128" i="4"/>
  <c r="H128" i="4"/>
  <c r="J125" i="4"/>
  <c r="I125" i="4"/>
  <c r="H125" i="4"/>
  <c r="F125" i="4"/>
  <c r="K124" i="4"/>
  <c r="F124" i="4"/>
  <c r="K123" i="4"/>
  <c r="F123" i="4"/>
  <c r="K122" i="4"/>
  <c r="F122" i="4"/>
  <c r="V121" i="4"/>
  <c r="U121" i="4"/>
  <c r="T121" i="4"/>
  <c r="S121" i="4"/>
  <c r="R121" i="4"/>
  <c r="Q121" i="4"/>
  <c r="L121" i="4"/>
  <c r="K121" i="4"/>
  <c r="J121" i="4"/>
  <c r="I121" i="4"/>
  <c r="G121" i="4"/>
  <c r="F121" i="4"/>
  <c r="E121" i="4"/>
  <c r="C121" i="4"/>
  <c r="B121" i="4"/>
  <c r="L120" i="4"/>
  <c r="K120" i="4"/>
  <c r="J120" i="4"/>
  <c r="I120" i="4"/>
  <c r="H120" i="4"/>
  <c r="G120" i="4"/>
  <c r="K119" i="4"/>
  <c r="I119" i="4"/>
  <c r="H119" i="4"/>
  <c r="G119" i="4"/>
  <c r="K118" i="4"/>
  <c r="I118" i="4"/>
  <c r="H118" i="4"/>
  <c r="G118" i="4"/>
  <c r="L117" i="4"/>
  <c r="K117" i="4"/>
  <c r="J117" i="4"/>
  <c r="I117" i="4"/>
  <c r="H117" i="4"/>
  <c r="G117" i="4"/>
  <c r="V116" i="4"/>
  <c r="U116" i="4"/>
  <c r="T116" i="4"/>
  <c r="L123" i="4"/>
  <c r="S116" i="4"/>
  <c r="R116" i="4"/>
  <c r="Q116" i="4"/>
  <c r="F116" i="4"/>
  <c r="E116" i="4"/>
  <c r="C116" i="4"/>
  <c r="B116" i="4"/>
  <c r="K112" i="4"/>
  <c r="F112" i="4"/>
  <c r="K111" i="4"/>
  <c r="K110" i="4"/>
  <c r="I111" i="4"/>
  <c r="I110" i="4"/>
  <c r="G111" i="4"/>
  <c r="G110" i="4"/>
  <c r="H110" i="4"/>
  <c r="J107" i="4"/>
  <c r="I107" i="4"/>
  <c r="H107" i="4"/>
  <c r="F107" i="4"/>
  <c r="K106" i="4"/>
  <c r="F106" i="4"/>
  <c r="K105" i="4"/>
  <c r="F105" i="4"/>
  <c r="K104" i="4"/>
  <c r="F104" i="4"/>
  <c r="V103" i="4"/>
  <c r="U103" i="4"/>
  <c r="T103" i="4"/>
  <c r="S103" i="4"/>
  <c r="R103" i="4"/>
  <c r="Q103" i="4"/>
  <c r="L103" i="4"/>
  <c r="K103" i="4"/>
  <c r="J103" i="4"/>
  <c r="I103" i="4"/>
  <c r="G103" i="4"/>
  <c r="F103" i="4"/>
  <c r="E103" i="4"/>
  <c r="C103" i="4"/>
  <c r="B103" i="4"/>
  <c r="L102" i="4"/>
  <c r="K102" i="4"/>
  <c r="J102" i="4"/>
  <c r="I102" i="4"/>
  <c r="H102" i="4"/>
  <c r="G102" i="4"/>
  <c r="K101" i="4"/>
  <c r="I101" i="4"/>
  <c r="H101" i="4"/>
  <c r="G101" i="4"/>
  <c r="K100" i="4"/>
  <c r="I100" i="4"/>
  <c r="H100" i="4"/>
  <c r="G100" i="4"/>
  <c r="L99" i="4"/>
  <c r="K99" i="4"/>
  <c r="J99" i="4"/>
  <c r="I99" i="4"/>
  <c r="H99" i="4"/>
  <c r="G99" i="4"/>
  <c r="V98" i="4"/>
  <c r="U98" i="4"/>
  <c r="T98" i="4"/>
  <c r="S98" i="4"/>
  <c r="R98" i="4"/>
  <c r="Q98" i="4"/>
  <c r="J104" i="4"/>
  <c r="F98" i="4"/>
  <c r="E98" i="4"/>
  <c r="C98" i="4"/>
  <c r="B98" i="4"/>
  <c r="K94" i="4"/>
  <c r="F94" i="4"/>
  <c r="K93" i="4"/>
  <c r="K92" i="4"/>
  <c r="I93" i="4"/>
  <c r="I92" i="4"/>
  <c r="G93" i="4"/>
  <c r="G92" i="4"/>
  <c r="H92" i="4"/>
  <c r="J89" i="4"/>
  <c r="I89" i="4"/>
  <c r="H89" i="4"/>
  <c r="F89" i="4"/>
  <c r="K88" i="4"/>
  <c r="F88" i="4"/>
  <c r="K87" i="4"/>
  <c r="F87" i="4"/>
  <c r="K86" i="4"/>
  <c r="F86" i="4"/>
  <c r="V85" i="4"/>
  <c r="U85" i="4"/>
  <c r="T85" i="4"/>
  <c r="S85" i="4"/>
  <c r="R85" i="4"/>
  <c r="Q85" i="4"/>
  <c r="L85" i="4"/>
  <c r="K85" i="4"/>
  <c r="J85" i="4"/>
  <c r="I85" i="4"/>
  <c r="G85" i="4"/>
  <c r="F85" i="4"/>
  <c r="E85" i="4"/>
  <c r="C85" i="4"/>
  <c r="B85" i="4"/>
  <c r="L84" i="4"/>
  <c r="K84" i="4"/>
  <c r="J84" i="4"/>
  <c r="I84" i="4"/>
  <c r="H84" i="4"/>
  <c r="G84" i="4"/>
  <c r="K83" i="4"/>
  <c r="I83" i="4"/>
  <c r="H83" i="4"/>
  <c r="G83" i="4"/>
  <c r="K82" i="4"/>
  <c r="I82" i="4"/>
  <c r="H82" i="4"/>
  <c r="G82" i="4"/>
  <c r="L81" i="4"/>
  <c r="K81" i="4"/>
  <c r="J81" i="4"/>
  <c r="I81" i="4"/>
  <c r="H81" i="4"/>
  <c r="G81" i="4"/>
  <c r="V80" i="4"/>
  <c r="U80" i="4"/>
  <c r="T80" i="4"/>
  <c r="S80" i="4"/>
  <c r="R80" i="4"/>
  <c r="Q80" i="4"/>
  <c r="F80" i="4"/>
  <c r="E80" i="4"/>
  <c r="C80" i="4"/>
  <c r="B80" i="4"/>
  <c r="K76" i="4"/>
  <c r="F76" i="4"/>
  <c r="K75" i="4"/>
  <c r="K74" i="4"/>
  <c r="I75" i="4"/>
  <c r="I74" i="4"/>
  <c r="G75" i="4"/>
  <c r="G74" i="4"/>
  <c r="H74" i="4"/>
  <c r="J71" i="4"/>
  <c r="I71" i="4"/>
  <c r="H71" i="4"/>
  <c r="F71" i="4"/>
  <c r="K70" i="4"/>
  <c r="F70" i="4"/>
  <c r="K69" i="4"/>
  <c r="F69" i="4"/>
  <c r="K68" i="4"/>
  <c r="F68" i="4"/>
  <c r="V67" i="4"/>
  <c r="U67" i="4"/>
  <c r="T67" i="4"/>
  <c r="S67" i="4"/>
  <c r="R67" i="4"/>
  <c r="Q67" i="4"/>
  <c r="L67" i="4"/>
  <c r="K67" i="4"/>
  <c r="J67" i="4"/>
  <c r="I67" i="4"/>
  <c r="G67" i="4"/>
  <c r="F67" i="4"/>
  <c r="E67" i="4"/>
  <c r="C67" i="4"/>
  <c r="B67" i="4"/>
  <c r="L66" i="4"/>
  <c r="K66" i="4"/>
  <c r="J66" i="4"/>
  <c r="I66" i="4"/>
  <c r="H66" i="4"/>
  <c r="G66" i="4"/>
  <c r="K65" i="4"/>
  <c r="I65" i="4"/>
  <c r="H65" i="4"/>
  <c r="G65" i="4"/>
  <c r="K64" i="4"/>
  <c r="I64" i="4"/>
  <c r="H64" i="4"/>
  <c r="G64" i="4"/>
  <c r="L63" i="4"/>
  <c r="K63" i="4"/>
  <c r="J63" i="4"/>
  <c r="I63" i="4"/>
  <c r="H63" i="4"/>
  <c r="G63" i="4"/>
  <c r="V62" i="4"/>
  <c r="U62" i="4"/>
  <c r="T62" i="4"/>
  <c r="S62" i="4"/>
  <c r="R62" i="4"/>
  <c r="Q62" i="4"/>
  <c r="F62" i="4"/>
  <c r="E62" i="4"/>
  <c r="C62" i="4"/>
  <c r="B62" i="4"/>
  <c r="V60" i="4"/>
  <c r="U60" i="4"/>
  <c r="T60" i="4"/>
  <c r="S60" i="4"/>
  <c r="R60" i="4"/>
  <c r="Q60" i="4"/>
  <c r="L60" i="4"/>
  <c r="P61" i="4"/>
  <c r="K60" i="4"/>
  <c r="J60" i="4"/>
  <c r="O61" i="4"/>
  <c r="I60" i="4"/>
  <c r="H60" i="4"/>
  <c r="G60" i="4"/>
  <c r="F60" i="4"/>
  <c r="E60" i="4"/>
  <c r="C60" i="4"/>
  <c r="B60" i="4"/>
  <c r="V58" i="4"/>
  <c r="U58" i="4"/>
  <c r="T58" i="4"/>
  <c r="S58" i="4"/>
  <c r="R58" i="4"/>
  <c r="Q58" i="4"/>
  <c r="L58" i="4"/>
  <c r="P59" i="4"/>
  <c r="K58" i="4"/>
  <c r="J58" i="4"/>
  <c r="I59" i="4"/>
  <c r="I58" i="4"/>
  <c r="H58" i="4"/>
  <c r="G58" i="4"/>
  <c r="F58" i="4"/>
  <c r="E58" i="4"/>
  <c r="C58" i="4"/>
  <c r="B58" i="4"/>
  <c r="V56" i="4"/>
  <c r="U56" i="4"/>
  <c r="T56" i="4"/>
  <c r="S56" i="4"/>
  <c r="R56" i="4"/>
  <c r="Q56" i="4"/>
  <c r="L56" i="4"/>
  <c r="P57" i="4"/>
  <c r="K56" i="4"/>
  <c r="J56" i="4"/>
  <c r="O57" i="4"/>
  <c r="I56" i="4"/>
  <c r="H56" i="4"/>
  <c r="G56" i="4"/>
  <c r="F56" i="4"/>
  <c r="E56" i="4"/>
  <c r="C56" i="4"/>
  <c r="B56" i="4"/>
  <c r="V54" i="4"/>
  <c r="U54" i="4"/>
  <c r="T54" i="4"/>
  <c r="S54" i="4"/>
  <c r="R54" i="4"/>
  <c r="Q54" i="4"/>
  <c r="L54" i="4"/>
  <c r="P55" i="4"/>
  <c r="K54" i="4"/>
  <c r="J54" i="4"/>
  <c r="I55" i="4"/>
  <c r="I54" i="4"/>
  <c r="H54" i="4"/>
  <c r="G54" i="4"/>
  <c r="F54" i="4"/>
  <c r="E54" i="4"/>
  <c r="C54" i="4"/>
  <c r="B54" i="4"/>
  <c r="V52" i="4"/>
  <c r="U52" i="4"/>
  <c r="T52" i="4"/>
  <c r="S52" i="4"/>
  <c r="R52" i="4"/>
  <c r="Q52" i="4"/>
  <c r="L52" i="4"/>
  <c r="P53" i="4"/>
  <c r="K52" i="4"/>
  <c r="J52" i="4"/>
  <c r="O53" i="4"/>
  <c r="I52" i="4"/>
  <c r="H52" i="4"/>
  <c r="G52" i="4"/>
  <c r="F52" i="4"/>
  <c r="E52" i="4"/>
  <c r="C52" i="4"/>
  <c r="B52" i="4"/>
  <c r="A51" i="4"/>
  <c r="A49" i="4"/>
  <c r="J174" i="4"/>
  <c r="J183" i="4"/>
  <c r="N13" i="15"/>
  <c r="L183" i="4"/>
  <c r="L186" i="4"/>
  <c r="L184" i="4"/>
  <c r="O13" i="15"/>
  <c r="J68" i="4"/>
  <c r="L87" i="4"/>
  <c r="J105" i="4"/>
  <c r="J140" i="4"/>
  <c r="J186" i="4"/>
  <c r="J177" i="4"/>
  <c r="L69" i="4"/>
  <c r="J87" i="4"/>
  <c r="L104" i="4"/>
  <c r="J122" i="4"/>
  <c r="J129" i="4"/>
  <c r="L75" i="4"/>
  <c r="L74" i="4"/>
  <c r="L64" i="4"/>
  <c r="L68" i="4"/>
  <c r="J86" i="4"/>
  <c r="L111" i="4"/>
  <c r="L101" i="4"/>
  <c r="L105" i="4"/>
  <c r="J123" i="4"/>
  <c r="L140" i="4"/>
  <c r="O55" i="4"/>
  <c r="O59" i="4"/>
  <c r="L122" i="4"/>
  <c r="I53" i="4"/>
  <c r="I57" i="4"/>
  <c r="I61" i="4"/>
  <c r="J69" i="4"/>
  <c r="J93" i="4"/>
  <c r="J92" i="4"/>
  <c r="J82" i="4"/>
  <c r="L147" i="4"/>
  <c r="L148" i="4"/>
  <c r="L141" i="4"/>
  <c r="L86" i="4"/>
  <c r="L65" i="4"/>
  <c r="J128" i="4"/>
  <c r="J118" i="4"/>
  <c r="J130" i="4"/>
  <c r="J119" i="4"/>
  <c r="K53" i="4"/>
  <c r="K55" i="4"/>
  <c r="K57" i="4"/>
  <c r="K59" i="4"/>
  <c r="K61" i="4"/>
  <c r="J75" i="4"/>
  <c r="L93" i="4"/>
  <c r="J111" i="4"/>
  <c r="L129" i="4"/>
  <c r="J147" i="4"/>
  <c r="L112" i="4"/>
  <c r="L110" i="4"/>
  <c r="L100" i="4"/>
  <c r="L76" i="4"/>
  <c r="Q13" i="15"/>
  <c r="G9" i="14"/>
  <c r="J192" i="4"/>
  <c r="L192" i="4"/>
  <c r="L146" i="4"/>
  <c r="L136" i="4"/>
  <c r="J83" i="4"/>
  <c r="L137" i="4"/>
  <c r="J94" i="4"/>
  <c r="I95" i="4"/>
  <c r="O95" i="4"/>
  <c r="L142" i="4"/>
  <c r="K149" i="4"/>
  <c r="P149" i="4"/>
  <c r="J146" i="4"/>
  <c r="J136" i="4"/>
  <c r="J148" i="4"/>
  <c r="J137" i="4"/>
  <c r="J110" i="4"/>
  <c r="J100" i="4"/>
  <c r="J112" i="4"/>
  <c r="J101" i="4"/>
  <c r="J74" i="4"/>
  <c r="J64" i="4"/>
  <c r="J76" i="4"/>
  <c r="J65" i="4"/>
  <c r="J124" i="4"/>
  <c r="I126" i="4"/>
  <c r="I131" i="4"/>
  <c r="O131" i="4"/>
  <c r="L106" i="4"/>
  <c r="K113" i="4"/>
  <c r="P113" i="4"/>
  <c r="J88" i="4"/>
  <c r="L128" i="4"/>
  <c r="L118" i="4"/>
  <c r="L130" i="4"/>
  <c r="L119" i="4"/>
  <c r="L92" i="4"/>
  <c r="L82" i="4"/>
  <c r="L94" i="4"/>
  <c r="L83" i="4"/>
  <c r="L70" i="4"/>
  <c r="P72" i="4"/>
  <c r="K77" i="4"/>
  <c r="P77" i="4"/>
  <c r="K144" i="4"/>
  <c r="K151" i="4"/>
  <c r="P108" i="4"/>
  <c r="P144" i="4"/>
  <c r="K108" i="4"/>
  <c r="K115" i="4"/>
  <c r="I133" i="4"/>
  <c r="R13" i="15"/>
  <c r="O126" i="4"/>
  <c r="L88" i="4"/>
  <c r="K90" i="4"/>
  <c r="K95" i="4"/>
  <c r="P95" i="4"/>
  <c r="I149" i="4"/>
  <c r="O149" i="4"/>
  <c r="J142" i="4"/>
  <c r="O144" i="4"/>
  <c r="I113" i="4"/>
  <c r="O113" i="4"/>
  <c r="J106" i="4"/>
  <c r="O108" i="4"/>
  <c r="K72" i="4"/>
  <c r="K79" i="4"/>
  <c r="I77" i="4"/>
  <c r="O77" i="4"/>
  <c r="J70" i="4"/>
  <c r="I72" i="4"/>
  <c r="K131" i="4"/>
  <c r="P131" i="4"/>
  <c r="L124" i="4"/>
  <c r="P126" i="4"/>
  <c r="I90" i="4"/>
  <c r="I97" i="4"/>
  <c r="O90" i="4"/>
  <c r="I79" i="4"/>
  <c r="K97" i="4"/>
  <c r="O72" i="4"/>
  <c r="I157" i="4"/>
  <c r="I144" i="4"/>
  <c r="I151" i="4"/>
  <c r="P90" i="4"/>
  <c r="K157" i="4"/>
  <c r="I108" i="4"/>
  <c r="I115" i="4"/>
  <c r="K126" i="4"/>
  <c r="K133" i="4"/>
  <c r="I153" i="4"/>
  <c r="I161" i="4"/>
  <c r="J172" i="4"/>
  <c r="J181" i="4"/>
  <c r="J187" i="4"/>
  <c r="J190" i="4"/>
  <c r="J178" i="4"/>
  <c r="K153" i="4"/>
  <c r="K161" i="4"/>
  <c r="L172" i="4"/>
  <c r="J173" i="4"/>
  <c r="E13" i="15"/>
  <c r="S13" i="15"/>
  <c r="L181" i="4"/>
  <c r="L187" i="4"/>
  <c r="L178" i="4"/>
  <c r="L173" i="4"/>
  <c r="F9" i="14"/>
  <c r="F13" i="15"/>
  <c r="T13" i="15"/>
  <c r="J182" i="4"/>
  <c r="J191" i="4"/>
  <c r="AF146" i="1"/>
  <c r="A146" i="1"/>
  <c r="K144" i="1"/>
  <c r="J144" i="1"/>
  <c r="K143" i="1"/>
  <c r="J143" i="1"/>
  <c r="A142" i="1"/>
  <c r="V139" i="1"/>
  <c r="U139" i="1"/>
  <c r="T139" i="1"/>
  <c r="S139" i="1"/>
  <c r="R139" i="1"/>
  <c r="Q139" i="1"/>
  <c r="L139" i="1"/>
  <c r="K140" i="1"/>
  <c r="K139" i="1"/>
  <c r="J139" i="1"/>
  <c r="I140" i="1"/>
  <c r="I139" i="1"/>
  <c r="H139" i="1"/>
  <c r="G139" i="1"/>
  <c r="F139" i="1"/>
  <c r="E139" i="1"/>
  <c r="C139" i="1"/>
  <c r="V137" i="1"/>
  <c r="U137" i="1"/>
  <c r="T137" i="1"/>
  <c r="S137" i="1"/>
  <c r="R137" i="1"/>
  <c r="Q137" i="1"/>
  <c r="L137" i="1"/>
  <c r="P138" i="1"/>
  <c r="K137" i="1"/>
  <c r="J137" i="1"/>
  <c r="I138" i="1"/>
  <c r="I137" i="1"/>
  <c r="H137" i="1"/>
  <c r="G137" i="1"/>
  <c r="F137" i="1"/>
  <c r="E137" i="1"/>
  <c r="C137" i="1"/>
  <c r="V135" i="1"/>
  <c r="U135" i="1"/>
  <c r="T135" i="1"/>
  <c r="S135" i="1"/>
  <c r="R135" i="1"/>
  <c r="Q135" i="1"/>
  <c r="K135" i="1"/>
  <c r="I135" i="1"/>
  <c r="H135" i="1"/>
  <c r="G135" i="1"/>
  <c r="F135" i="1"/>
  <c r="L135" i="1"/>
  <c r="K136" i="1"/>
  <c r="E135" i="1"/>
  <c r="C135" i="1"/>
  <c r="V133" i="1"/>
  <c r="U133" i="1"/>
  <c r="T133" i="1"/>
  <c r="S133" i="1"/>
  <c r="R133" i="1"/>
  <c r="Q133" i="1"/>
  <c r="L133" i="1"/>
  <c r="K134" i="1"/>
  <c r="K133" i="1"/>
  <c r="J133" i="1"/>
  <c r="O134" i="1"/>
  <c r="I133" i="1"/>
  <c r="H133" i="1"/>
  <c r="G133" i="1"/>
  <c r="F133" i="1"/>
  <c r="E133" i="1"/>
  <c r="C133" i="1"/>
  <c r="V131" i="1"/>
  <c r="U131" i="1"/>
  <c r="T131" i="1"/>
  <c r="S131" i="1"/>
  <c r="R131" i="1"/>
  <c r="Q131" i="1"/>
  <c r="L131" i="1"/>
  <c r="K132" i="1"/>
  <c r="K131" i="1"/>
  <c r="J131" i="1"/>
  <c r="I132" i="1"/>
  <c r="I131" i="1"/>
  <c r="H131" i="1"/>
  <c r="G131" i="1"/>
  <c r="F131" i="1"/>
  <c r="E131" i="1"/>
  <c r="C131" i="1"/>
  <c r="V129" i="1"/>
  <c r="U129" i="1"/>
  <c r="T129" i="1"/>
  <c r="S129" i="1"/>
  <c r="R129" i="1"/>
  <c r="Q129" i="1"/>
  <c r="L129" i="1"/>
  <c r="P130" i="1"/>
  <c r="K129" i="1"/>
  <c r="J129" i="1"/>
  <c r="I130" i="1"/>
  <c r="I129" i="1"/>
  <c r="H129" i="1"/>
  <c r="G129" i="1"/>
  <c r="F129" i="1"/>
  <c r="E129" i="1"/>
  <c r="C129" i="1"/>
  <c r="V127" i="1"/>
  <c r="U127" i="1"/>
  <c r="T127" i="1"/>
  <c r="S127" i="1"/>
  <c r="R127" i="1"/>
  <c r="Q127" i="1"/>
  <c r="L127" i="1"/>
  <c r="K128" i="1"/>
  <c r="K127" i="1"/>
  <c r="J127" i="1"/>
  <c r="I128" i="1"/>
  <c r="I127" i="1"/>
  <c r="H127" i="1"/>
  <c r="G127" i="1"/>
  <c r="F127" i="1"/>
  <c r="E127" i="1"/>
  <c r="C127" i="1"/>
  <c r="V125" i="1"/>
  <c r="U125" i="1"/>
  <c r="T125" i="1"/>
  <c r="S125" i="1"/>
  <c r="R125" i="1"/>
  <c r="Q125" i="1"/>
  <c r="K125" i="1"/>
  <c r="I125" i="1"/>
  <c r="H125" i="1"/>
  <c r="G125" i="1"/>
  <c r="F125" i="1"/>
  <c r="L125" i="1"/>
  <c r="E125" i="1"/>
  <c r="C125" i="1"/>
  <c r="A124" i="1"/>
  <c r="K119" i="1"/>
  <c r="F119" i="1"/>
  <c r="K118" i="1"/>
  <c r="K117" i="1"/>
  <c r="I118" i="1"/>
  <c r="I117" i="1"/>
  <c r="G118" i="1"/>
  <c r="G117" i="1"/>
  <c r="H117" i="1"/>
  <c r="J114" i="1"/>
  <c r="I114" i="1"/>
  <c r="H114" i="1"/>
  <c r="F114" i="1"/>
  <c r="K113" i="1"/>
  <c r="F113" i="1"/>
  <c r="K112" i="1"/>
  <c r="F112" i="1"/>
  <c r="K111" i="1"/>
  <c r="F111" i="1"/>
  <c r="L110" i="1"/>
  <c r="K110" i="1"/>
  <c r="J110" i="1"/>
  <c r="I110" i="1"/>
  <c r="H110" i="1"/>
  <c r="G110" i="1"/>
  <c r="K109" i="1"/>
  <c r="I109" i="1"/>
  <c r="H109" i="1"/>
  <c r="G109" i="1"/>
  <c r="K108" i="1"/>
  <c r="I108" i="1"/>
  <c r="H108" i="1"/>
  <c r="G108" i="1"/>
  <c r="L107" i="1"/>
  <c r="K107" i="1"/>
  <c r="J107" i="1"/>
  <c r="I107" i="1"/>
  <c r="H107" i="1"/>
  <c r="G107" i="1"/>
  <c r="V106" i="1"/>
  <c r="U106" i="1"/>
  <c r="T106" i="1"/>
  <c r="L112" i="1"/>
  <c r="S106" i="1"/>
  <c r="J112" i="1"/>
  <c r="R106" i="1"/>
  <c r="L111" i="1"/>
  <c r="Q106" i="1"/>
  <c r="J111" i="1"/>
  <c r="F106" i="1"/>
  <c r="E106" i="1"/>
  <c r="C106" i="1"/>
  <c r="K102" i="1"/>
  <c r="F102" i="1"/>
  <c r="K101" i="1"/>
  <c r="K100" i="1"/>
  <c r="I101" i="1"/>
  <c r="I100" i="1"/>
  <c r="G101" i="1"/>
  <c r="G100" i="1"/>
  <c r="H100" i="1"/>
  <c r="J97" i="1"/>
  <c r="I97" i="1"/>
  <c r="H97" i="1"/>
  <c r="F97" i="1"/>
  <c r="K96" i="1"/>
  <c r="F96" i="1"/>
  <c r="K95" i="1"/>
  <c r="F95" i="1"/>
  <c r="K94" i="1"/>
  <c r="F94" i="1"/>
  <c r="L93" i="1"/>
  <c r="K93" i="1"/>
  <c r="J93" i="1"/>
  <c r="I93" i="1"/>
  <c r="H93" i="1"/>
  <c r="G93" i="1"/>
  <c r="K92" i="1"/>
  <c r="I92" i="1"/>
  <c r="H92" i="1"/>
  <c r="G92" i="1"/>
  <c r="K91" i="1"/>
  <c r="I91" i="1"/>
  <c r="H91" i="1"/>
  <c r="G91" i="1"/>
  <c r="L90" i="1"/>
  <c r="K90" i="1"/>
  <c r="J90" i="1"/>
  <c r="I90" i="1"/>
  <c r="H90" i="1"/>
  <c r="G90" i="1"/>
  <c r="V89" i="1"/>
  <c r="U89" i="1"/>
  <c r="T89" i="1"/>
  <c r="L95" i="1"/>
  <c r="S89" i="1"/>
  <c r="J95" i="1"/>
  <c r="R89" i="1"/>
  <c r="L94" i="1"/>
  <c r="Q89" i="1"/>
  <c r="J94" i="1"/>
  <c r="F89" i="1"/>
  <c r="E89" i="1"/>
  <c r="C89" i="1"/>
  <c r="K85" i="1"/>
  <c r="F85" i="1"/>
  <c r="K84" i="1"/>
  <c r="K83" i="1"/>
  <c r="I84" i="1"/>
  <c r="I83" i="1"/>
  <c r="G84" i="1"/>
  <c r="G83" i="1"/>
  <c r="H83" i="1"/>
  <c r="J80" i="1"/>
  <c r="I80" i="1"/>
  <c r="H80" i="1"/>
  <c r="F80" i="1"/>
  <c r="K79" i="1"/>
  <c r="F79" i="1"/>
  <c r="K78" i="1"/>
  <c r="F78" i="1"/>
  <c r="K77" i="1"/>
  <c r="F77" i="1"/>
  <c r="L76" i="1"/>
  <c r="K76" i="1"/>
  <c r="J76" i="1"/>
  <c r="I76" i="1"/>
  <c r="H76" i="1"/>
  <c r="G76" i="1"/>
  <c r="K75" i="1"/>
  <c r="I75" i="1"/>
  <c r="H75" i="1"/>
  <c r="G75" i="1"/>
  <c r="K74" i="1"/>
  <c r="I74" i="1"/>
  <c r="H74" i="1"/>
  <c r="G74" i="1"/>
  <c r="L73" i="1"/>
  <c r="K73" i="1"/>
  <c r="J73" i="1"/>
  <c r="I73" i="1"/>
  <c r="H73" i="1"/>
  <c r="G73" i="1"/>
  <c r="V72" i="1"/>
  <c r="U72" i="1"/>
  <c r="T72" i="1"/>
  <c r="L78" i="1"/>
  <c r="S72" i="1"/>
  <c r="J78" i="1"/>
  <c r="R72" i="1"/>
  <c r="L77" i="1"/>
  <c r="Q72" i="1"/>
  <c r="J77" i="1"/>
  <c r="F72" i="1"/>
  <c r="E72" i="1"/>
  <c r="C72" i="1"/>
  <c r="V70" i="1"/>
  <c r="U70" i="1"/>
  <c r="T70" i="1"/>
  <c r="S70" i="1"/>
  <c r="R70" i="1"/>
  <c r="Q70" i="1"/>
  <c r="L70" i="1"/>
  <c r="P71" i="1"/>
  <c r="K70" i="1"/>
  <c r="J70" i="1"/>
  <c r="I71" i="1"/>
  <c r="I70" i="1"/>
  <c r="H70" i="1"/>
  <c r="G70" i="1"/>
  <c r="F70" i="1"/>
  <c r="E70" i="1"/>
  <c r="C70" i="1"/>
  <c r="K66" i="1"/>
  <c r="F66" i="1"/>
  <c r="K65" i="1"/>
  <c r="K64" i="1"/>
  <c r="I65" i="1"/>
  <c r="I64" i="1"/>
  <c r="G65" i="1"/>
  <c r="G64" i="1"/>
  <c r="H64" i="1"/>
  <c r="J61" i="1"/>
  <c r="I61" i="1"/>
  <c r="H61" i="1"/>
  <c r="F61" i="1"/>
  <c r="K60" i="1"/>
  <c r="F60" i="1"/>
  <c r="K59" i="1"/>
  <c r="F59" i="1"/>
  <c r="K58" i="1"/>
  <c r="F58" i="1"/>
  <c r="L57" i="1"/>
  <c r="K57" i="1"/>
  <c r="J57" i="1"/>
  <c r="I57" i="1"/>
  <c r="H57" i="1"/>
  <c r="G57" i="1"/>
  <c r="K56" i="1"/>
  <c r="I56" i="1"/>
  <c r="H56" i="1"/>
  <c r="G56" i="1"/>
  <c r="K55" i="1"/>
  <c r="I55" i="1"/>
  <c r="H55" i="1"/>
  <c r="G55" i="1"/>
  <c r="L54" i="1"/>
  <c r="K54" i="1"/>
  <c r="J54" i="1"/>
  <c r="I54" i="1"/>
  <c r="H54" i="1"/>
  <c r="G54" i="1"/>
  <c r="V53" i="1"/>
  <c r="U53" i="1"/>
  <c r="T53" i="1"/>
  <c r="L59" i="1"/>
  <c r="S53" i="1"/>
  <c r="J59" i="1"/>
  <c r="R53" i="1"/>
  <c r="L58" i="1"/>
  <c r="Q53" i="1"/>
  <c r="J58" i="1"/>
  <c r="F53" i="1"/>
  <c r="E53" i="1"/>
  <c r="C53" i="1"/>
  <c r="B53" i="1"/>
  <c r="K49" i="1"/>
  <c r="F49" i="1"/>
  <c r="K48" i="1"/>
  <c r="K47" i="1"/>
  <c r="I48" i="1"/>
  <c r="I47" i="1"/>
  <c r="G48" i="1"/>
  <c r="G47" i="1"/>
  <c r="H47" i="1"/>
  <c r="J44" i="1"/>
  <c r="I44" i="1"/>
  <c r="H44" i="1"/>
  <c r="F44" i="1"/>
  <c r="K43" i="1"/>
  <c r="F43" i="1"/>
  <c r="K42" i="1"/>
  <c r="F42" i="1"/>
  <c r="K41" i="1"/>
  <c r="F41" i="1"/>
  <c r="L40" i="1"/>
  <c r="K40" i="1"/>
  <c r="J40" i="1"/>
  <c r="I40" i="1"/>
  <c r="H40" i="1"/>
  <c r="G40" i="1"/>
  <c r="K39" i="1"/>
  <c r="I39" i="1"/>
  <c r="H39" i="1"/>
  <c r="G39" i="1"/>
  <c r="K38" i="1"/>
  <c r="I38" i="1"/>
  <c r="H38" i="1"/>
  <c r="G38" i="1"/>
  <c r="L37" i="1"/>
  <c r="K37" i="1"/>
  <c r="J37" i="1"/>
  <c r="I37" i="1"/>
  <c r="H37" i="1"/>
  <c r="G37" i="1"/>
  <c r="V36" i="1"/>
  <c r="U36" i="1"/>
  <c r="T36" i="1"/>
  <c r="L42" i="1"/>
  <c r="S36" i="1"/>
  <c r="J42" i="1"/>
  <c r="R36" i="1"/>
  <c r="L41" i="1"/>
  <c r="Q36" i="1"/>
  <c r="J41" i="1"/>
  <c r="F36" i="1"/>
  <c r="E36" i="1"/>
  <c r="C36" i="1"/>
  <c r="B36" i="1"/>
  <c r="K32" i="1"/>
  <c r="F32" i="1"/>
  <c r="K31" i="1"/>
  <c r="K30" i="1"/>
  <c r="I31" i="1"/>
  <c r="I30" i="1"/>
  <c r="G31" i="1"/>
  <c r="G30" i="1"/>
  <c r="H30" i="1"/>
  <c r="J27" i="1"/>
  <c r="I27" i="1"/>
  <c r="H27" i="1"/>
  <c r="F27" i="1"/>
  <c r="K26" i="1"/>
  <c r="F26" i="1"/>
  <c r="K25" i="1"/>
  <c r="F25" i="1"/>
  <c r="K24" i="1"/>
  <c r="F24" i="1"/>
  <c r="L23" i="1"/>
  <c r="K23" i="1"/>
  <c r="J23" i="1"/>
  <c r="I23" i="1"/>
  <c r="H23" i="1"/>
  <c r="G23" i="1"/>
  <c r="K22" i="1"/>
  <c r="I22" i="1"/>
  <c r="H22" i="1"/>
  <c r="G22" i="1"/>
  <c r="K21" i="1"/>
  <c r="I21" i="1"/>
  <c r="H21" i="1"/>
  <c r="G21" i="1"/>
  <c r="L20" i="1"/>
  <c r="K20" i="1"/>
  <c r="J20" i="1"/>
  <c r="I20" i="1"/>
  <c r="H20" i="1"/>
  <c r="G20" i="1"/>
  <c r="V19" i="1"/>
  <c r="U19" i="1"/>
  <c r="T19" i="1"/>
  <c r="L25" i="1"/>
  <c r="S19" i="1"/>
  <c r="J25" i="1"/>
  <c r="R19" i="1"/>
  <c r="L24" i="1"/>
  <c r="Q19" i="1"/>
  <c r="J24" i="1"/>
  <c r="F19" i="1"/>
  <c r="E19" i="1"/>
  <c r="C19" i="1"/>
  <c r="B19" i="1"/>
  <c r="E9" i="14"/>
  <c r="L182" i="4"/>
  <c r="L191" i="4"/>
  <c r="G13" i="15"/>
  <c r="K149" i="1"/>
  <c r="I149" i="1"/>
  <c r="J101" i="1"/>
  <c r="J102" i="1"/>
  <c r="L118" i="1"/>
  <c r="L117" i="1"/>
  <c r="L108" i="1"/>
  <c r="L65" i="1"/>
  <c r="L66" i="1"/>
  <c r="O128" i="1"/>
  <c r="O130" i="1"/>
  <c r="P132" i="1"/>
  <c r="I134" i="1"/>
  <c r="J31" i="1"/>
  <c r="J22" i="1"/>
  <c r="L48" i="1"/>
  <c r="L39" i="1"/>
  <c r="L84" i="1"/>
  <c r="L85" i="1"/>
  <c r="O138" i="1"/>
  <c r="P140" i="1"/>
  <c r="O71" i="1"/>
  <c r="P134" i="1"/>
  <c r="L119" i="1"/>
  <c r="K126" i="1"/>
  <c r="P126" i="1"/>
  <c r="J125" i="1"/>
  <c r="L31" i="1"/>
  <c r="J65" i="1"/>
  <c r="P128" i="1"/>
  <c r="J135" i="1"/>
  <c r="P136" i="1"/>
  <c r="J48" i="1"/>
  <c r="K71" i="1"/>
  <c r="J84" i="1"/>
  <c r="L101" i="1"/>
  <c r="J118" i="1"/>
  <c r="K130" i="1"/>
  <c r="O132" i="1"/>
  <c r="K138" i="1"/>
  <c r="O140" i="1"/>
  <c r="L109" i="1"/>
  <c r="L64" i="1"/>
  <c r="L55" i="1"/>
  <c r="U13" i="15"/>
  <c r="L190" i="4"/>
  <c r="J92" i="1"/>
  <c r="J100" i="1"/>
  <c r="J91" i="1"/>
  <c r="L83" i="1"/>
  <c r="L74" i="1"/>
  <c r="L56" i="1"/>
  <c r="J30" i="1"/>
  <c r="J21" i="1"/>
  <c r="J32" i="1"/>
  <c r="I33" i="1"/>
  <c r="O33" i="1"/>
  <c r="L47" i="1"/>
  <c r="L38" i="1"/>
  <c r="L49" i="1"/>
  <c r="K50" i="1"/>
  <c r="P50" i="1"/>
  <c r="L75" i="1"/>
  <c r="J119" i="1"/>
  <c r="J117" i="1"/>
  <c r="J108" i="1"/>
  <c r="J109" i="1"/>
  <c r="L30" i="1"/>
  <c r="L21" i="1"/>
  <c r="L22" i="1"/>
  <c r="L32" i="1"/>
  <c r="K142" i="1"/>
  <c r="K147" i="1"/>
  <c r="L158" i="1"/>
  <c r="L167" i="1"/>
  <c r="L102" i="1"/>
  <c r="L100" i="1"/>
  <c r="L91" i="1"/>
  <c r="L92" i="1"/>
  <c r="O136" i="1"/>
  <c r="I136" i="1"/>
  <c r="J64" i="1"/>
  <c r="J55" i="1"/>
  <c r="J56" i="1"/>
  <c r="J66" i="1"/>
  <c r="L60" i="1"/>
  <c r="K67" i="1"/>
  <c r="P67" i="1"/>
  <c r="K120" i="1"/>
  <c r="P120" i="1"/>
  <c r="L113" i="1"/>
  <c r="I103" i="1"/>
  <c r="O103" i="1"/>
  <c r="J96" i="1"/>
  <c r="K86" i="1"/>
  <c r="P86" i="1"/>
  <c r="L79" i="1"/>
  <c r="J85" i="1"/>
  <c r="J83" i="1"/>
  <c r="J74" i="1"/>
  <c r="J75" i="1"/>
  <c r="J49" i="1"/>
  <c r="J47" i="1"/>
  <c r="J38" i="1"/>
  <c r="J39" i="1"/>
  <c r="I126" i="1"/>
  <c r="O126" i="1"/>
  <c r="K148" i="1"/>
  <c r="L157" i="1"/>
  <c r="O14" i="15"/>
  <c r="O21" i="15"/>
  <c r="O26" i="15"/>
  <c r="O23" i="15"/>
  <c r="I148" i="1"/>
  <c r="J157" i="1"/>
  <c r="J166" i="1"/>
  <c r="J169" i="1"/>
  <c r="L166" i="1"/>
  <c r="L169" i="1"/>
  <c r="L175" i="1"/>
  <c r="L160" i="1"/>
  <c r="J26" i="1"/>
  <c r="O28" i="1"/>
  <c r="I142" i="1"/>
  <c r="I147" i="1"/>
  <c r="J158" i="1"/>
  <c r="J167" i="1"/>
  <c r="L43" i="1"/>
  <c r="P45" i="1"/>
  <c r="J79" i="1"/>
  <c r="I81" i="1"/>
  <c r="I86" i="1"/>
  <c r="O86" i="1"/>
  <c r="I98" i="1"/>
  <c r="I105" i="1"/>
  <c r="O98" i="1"/>
  <c r="J43" i="1"/>
  <c r="O45" i="1"/>
  <c r="I50" i="1"/>
  <c r="O50" i="1"/>
  <c r="P62" i="1"/>
  <c r="K62" i="1"/>
  <c r="K69" i="1"/>
  <c r="K103" i="1"/>
  <c r="P103" i="1"/>
  <c r="L96" i="1"/>
  <c r="K98" i="1"/>
  <c r="K33" i="1"/>
  <c r="P33" i="1"/>
  <c r="L26" i="1"/>
  <c r="P28" i="1"/>
  <c r="K81" i="1"/>
  <c r="K88" i="1"/>
  <c r="P81" i="1"/>
  <c r="P115" i="1"/>
  <c r="K115" i="1"/>
  <c r="K122" i="1"/>
  <c r="I67" i="1"/>
  <c r="O67" i="1"/>
  <c r="J60" i="1"/>
  <c r="I62" i="1"/>
  <c r="J113" i="1"/>
  <c r="I115" i="1"/>
  <c r="I120" i="1"/>
  <c r="O120" i="1"/>
  <c r="I28" i="1"/>
  <c r="I35" i="1"/>
  <c r="K45" i="1"/>
  <c r="K52" i="1"/>
  <c r="N14" i="15"/>
  <c r="N21" i="15"/>
  <c r="N26" i="15"/>
  <c r="N23" i="15"/>
  <c r="J160" i="1"/>
  <c r="Q14" i="15"/>
  <c r="G10" i="14"/>
  <c r="G21" i="14"/>
  <c r="G22" i="14"/>
  <c r="K205" i="12"/>
  <c r="O81" i="1"/>
  <c r="I122" i="1"/>
  <c r="I88" i="1"/>
  <c r="K28" i="1"/>
  <c r="K35" i="1"/>
  <c r="K105" i="1"/>
  <c r="I69" i="1"/>
  <c r="O115" i="1"/>
  <c r="P98" i="1"/>
  <c r="O62" i="1"/>
  <c r="I45" i="1"/>
  <c r="I52" i="1"/>
  <c r="J175" i="1"/>
  <c r="R14" i="15"/>
  <c r="Q21" i="15"/>
  <c r="Q26" i="15"/>
  <c r="Q25" i="15"/>
  <c r="T25" i="15"/>
  <c r="P14" i="15"/>
  <c r="P21" i="15"/>
  <c r="P26" i="15"/>
  <c r="P25" i="15"/>
  <c r="S25" i="15"/>
  <c r="AK206" i="12"/>
  <c r="G50" i="13"/>
  <c r="K146" i="1"/>
  <c r="L155" i="1"/>
  <c r="L164" i="1"/>
  <c r="I146" i="1"/>
  <c r="J155" i="1"/>
  <c r="J164" i="1"/>
  <c r="C50" i="13"/>
  <c r="E50" i="13"/>
  <c r="F14" i="15"/>
  <c r="F10" i="14"/>
  <c r="L156" i="1"/>
  <c r="L161" i="1"/>
  <c r="R21" i="15"/>
  <c r="E14" i="15"/>
  <c r="J156" i="1"/>
  <c r="J161" i="1"/>
  <c r="G14" i="15"/>
  <c r="T14" i="15"/>
  <c r="T21" i="15"/>
  <c r="T26" i="15"/>
  <c r="F21" i="15"/>
  <c r="F26" i="15"/>
  <c r="F22" i="15"/>
  <c r="T22" i="15"/>
  <c r="J165" i="1"/>
  <c r="J174" i="1"/>
  <c r="J170" i="1"/>
  <c r="J173" i="1"/>
  <c r="R26" i="15"/>
  <c r="R25" i="15"/>
  <c r="U25" i="15"/>
  <c r="H50" i="13"/>
  <c r="E10" i="14"/>
  <c r="E21" i="14"/>
  <c r="E22" i="14"/>
  <c r="F21" i="14"/>
  <c r="F22" i="14"/>
  <c r="AK205" i="12"/>
  <c r="L165" i="1"/>
  <c r="L174" i="1"/>
  <c r="L170" i="1"/>
  <c r="S14" i="15"/>
  <c r="S21" i="15"/>
  <c r="S26" i="15"/>
  <c r="E21" i="15"/>
  <c r="K203" i="12"/>
  <c r="K204" i="12"/>
  <c r="D50" i="13"/>
  <c r="H51" i="13"/>
  <c r="H52" i="13"/>
  <c r="F50" i="13"/>
  <c r="E26" i="15"/>
  <c r="E22" i="15"/>
  <c r="S22" i="15"/>
  <c r="L173" i="1"/>
  <c r="J44" i="13"/>
  <c r="G21" i="15"/>
  <c r="H46" i="13"/>
  <c r="U14" i="15"/>
  <c r="U21" i="15"/>
  <c r="U26" i="15"/>
  <c r="H44" i="13"/>
  <c r="H56" i="13"/>
  <c r="H62" i="13"/>
  <c r="H47" i="13"/>
  <c r="H57" i="13"/>
  <c r="G26" i="15"/>
  <c r="G22" i="15"/>
  <c r="U22" i="15"/>
  <c r="D51" i="13"/>
  <c r="F51" i="13"/>
  <c r="D52" i="13"/>
  <c r="F52" i="13"/>
  <c r="H48" i="13"/>
  <c r="H63" i="13"/>
  <c r="H64" i="13"/>
  <c r="H65" i="13"/>
  <c r="H68" i="13"/>
  <c r="D46" i="13"/>
  <c r="D56" i="13"/>
  <c r="D62" i="13"/>
  <c r="F46" i="13"/>
  <c r="F56" i="13"/>
  <c r="F62" i="13"/>
  <c r="H66" i="13"/>
  <c r="H69" i="13"/>
  <c r="F48" i="13"/>
  <c r="F58" i="13"/>
  <c r="H58" i="13"/>
  <c r="D58" i="13"/>
  <c r="F47" i="13"/>
  <c r="F57" i="13"/>
  <c r="D57" i="13"/>
  <c r="D65" i="13"/>
  <c r="D68" i="13"/>
  <c r="D63" i="13"/>
  <c r="D66" i="13"/>
  <c r="F65" i="13"/>
  <c r="F68" i="13"/>
  <c r="F63" i="13"/>
  <c r="F66" i="13"/>
  <c r="F44" i="13"/>
  <c r="D44" i="13"/>
  <c r="F64" i="13"/>
  <c r="F67" i="13"/>
  <c r="H67" i="13"/>
  <c r="H70" i="13"/>
  <c r="D69" i="13"/>
  <c r="D64" i="13"/>
  <c r="D67" i="13"/>
  <c r="D70" i="13"/>
  <c r="F69" i="13"/>
  <c r="F70" i="13"/>
  <c r="G44" i="13" l="1"/>
  <c r="C46" i="13"/>
  <c r="C44" i="13" s="1"/>
  <c r="E46" i="13"/>
  <c r="E44" i="13" s="1"/>
</calcChain>
</file>

<file path=xl/sharedStrings.xml><?xml version="1.0" encoding="utf-8"?>
<sst xmlns="http://schemas.openxmlformats.org/spreadsheetml/2006/main" count="1891" uniqueCount="405">
  <si>
    <t>Форма по ОКУД</t>
  </si>
  <si>
    <t>по ОКПО</t>
  </si>
  <si>
    <t>дата</t>
  </si>
  <si>
    <t>Отчетный период</t>
  </si>
  <si>
    <t>с</t>
  </si>
  <si>
    <t>по</t>
  </si>
  <si>
    <t>Составлен(а) в уровне текущих (прогнозных) цен ТСН МГЭ строительство №164 май 2020 года</t>
  </si>
  <si>
    <t>Номер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</si>
  <si>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</si>
  <si>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</si>
  <si>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</si>
  <si>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</si>
  <si>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</si>
  <si>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</si>
  <si>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</si>
  <si>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Всего в ценах на январь 2000 года, руб.</t>
  </si>
  <si>
    <t>Коэфф. пересчета и нормы НР и СП</t>
  </si>
  <si>
    <t>Всего в текущем уровне цен, руб.</t>
  </si>
  <si>
    <t>п/п</t>
  </si>
  <si>
    <t>поз. по сме-те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</si>
  <si>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</si>
  <si>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</si>
  <si>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</si>
  <si>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</si>
  <si>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</si>
  <si>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</si>
  <si>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</si>
  <si>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</si>
  <si>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</si>
  <si>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</si>
  <si>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>Доплата к эксплуатации строительных машин (от ЗПМ)</t>
  </si>
  <si>
    <t>)*(1.67-1)</t>
  </si>
  <si>
    <t>Всего с доплатой</t>
  </si>
  <si>
    <t>Конструкции металлические кабельные, полка кабельная, устанавливаемая на стойках, масса до 0,7 кг</t>
  </si>
  <si>
    <t>Конструкции металлические кабельные, полка кабельная, устанавливаемая на стойках, масса до 0,4 кг</t>
  </si>
  <si>
    <t>Конструкции металлические кабельные, стойка сборных кабельных конструкций (без полок), масса до 1,6 кг</t>
  </si>
  <si>
    <t>Анкер-шпилька распорный, высокоэффективный, с шестигранной гайкой и шайбой, из оцинкованной стали, для использования в бетоне с трещинами, диаметр 10 мм, длина 90 мм, толщина прикрепляемой детали минимальная/максимальная 10/30 мм</t>
  </si>
  <si>
    <t>Профиль перфорированный монтажный длиной 2 м (BPM-29, К239ц)</t>
  </si>
  <si>
    <t>Проводник заземляющий открыто по строительным основаниям из полосовой стали, сечением 160 мм2</t>
  </si>
  <si>
    <t>Трубы стальные по установленным конструкциям, трубы по стенам с креплением скобами, диаметр до 50 мм</t>
  </si>
  <si>
    <t>Прижим оцинкованный для крепления лотков; марка НЛ-ПР УТ2,5;  размер 30х20х30 мм; в комплекте с метизами; вес 0,034 кг                                               Цена: 7,98:5,48=1,46</t>
  </si>
  <si>
    <t>Полки кабельные стальные, тип К1163УЗ</t>
  </si>
  <si>
    <t>Полки кабельные стальные, тип К1161УЗ</t>
  </si>
  <si>
    <t>Стойки кабельные стальные, тип К1150УЗ</t>
  </si>
  <si>
    <t>Скоба стальная, для крепления кабельных стоек К1157У3</t>
  </si>
  <si>
    <t>Профиль монтажный К239 Z-образный,  габаритные размеры (ШхДхВ) 40х2000х97мм, вес 5,2 кг                            Цена: 460,62:5,48=84,05</t>
  </si>
  <si>
    <t>Трубы стальные бесшовные горячедеформированные со снятой фаской из стали марок 15, 20, 25, ГОСТ 8732-78, наружный диаметр 57 мм, толщина стенки 3,5 мм</t>
  </si>
  <si>
    <t>Анкер-шуруп из оцинкованной стали, с цилиндрической головкой, диаметр 6 мм, длина 40 мм, толщина прикрепляемой детали 5 мм</t>
  </si>
  <si>
    <t xml:space="preserve">   Итого по ТСН-2001.16</t>
  </si>
  <si>
    <t xml:space="preserve">   Итого возвратных сумм</t>
  </si>
  <si>
    <t>Инвестор-Застройщик:</t>
  </si>
  <si>
    <t>03997784</t>
  </si>
  <si>
    <t>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</si>
  <si>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Станционный комплекс "Аминьевское шоссе". Вестибюль №2, камера съездов, ТПП.  Внутренние инженерные системы (не включая ТПП). Электрооборудование. Кабельные контрукции</t>
  </si>
  <si>
    <t>Стоимость материалов (всего)</t>
  </si>
  <si>
    <t>ЗП машинистов</t>
  </si>
  <si>
    <t>Основная ЗП рабочих</t>
  </si>
  <si>
    <t xml:space="preserve">ГЛАВА 2 ССР </t>
  </si>
  <si>
    <t>Локальная смета №12-4017-Л-Р-11.4.3.3-ЭК1-СМ1</t>
  </si>
  <si>
    <t xml:space="preserve">Рег. №49996-ТПК_5-1293-Р-ССР2 </t>
  </si>
  <si>
    <t xml:space="preserve">Том </t>
  </si>
  <si>
    <t>Подраздел</t>
  </si>
  <si>
    <t xml:space="preserve">Локальная смета № </t>
  </si>
  <si>
    <t>Работы выполнены в мае 2020г</t>
  </si>
  <si>
    <t>Унифицированная форма № КС-2</t>
  </si>
  <si>
    <t>Утверждена постановлением Госкомстата России</t>
  </si>
  <si>
    <t>от 11.11.99. № 100</t>
  </si>
  <si>
    <t>Код</t>
  </si>
  <si>
    <t>0322005</t>
  </si>
  <si>
    <t>организация, адрес, телефон, факс</t>
  </si>
  <si>
    <t>Подрядчик</t>
  </si>
  <si>
    <t>Стройка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</si>
  <si>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</si>
  <si>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</si>
  <si>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</si>
  <si>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</si>
  <si>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</si>
  <si>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</si>
  <si>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 xml:space="preserve">Вид операции  </t>
  </si>
  <si>
    <t>Номер документа</t>
  </si>
  <si>
    <t>Дата составления</t>
  </si>
  <si>
    <t>О ПРИЕМКЕ ВЫПОЛНЕННЫХ РАБОТ</t>
  </si>
  <si>
    <t>Составлен(а) в уровне текущих (прогнозных) цен Глава 13-2 март 2020 года и ТСН МГЭ строительство №163 апрель 2020 года</t>
  </si>
  <si>
    <t>Дроссель-клапаны для регулирования расхода воздуха, в обечайке, с сектором управления, из оцинкованной стали, круглые, диаметр 250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</si>
  <si>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700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</si>
  <si>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1000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</si>
  <si>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1300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</si>
  <si>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2000 мм</t>
  </si>
  <si>
    <t>Прокладка воздуховодов из черной, оцинкованной стали и алюминия толщиной 0,5 мм диаметром до 200 мм</t>
  </si>
  <si>
    <t>Воздуховоды круглого сечения из оцинкованной стали, толщина стенки до 1,2 мм, диаметр до 200 мм</t>
  </si>
  <si>
    <t/>
  </si>
  <si>
    <t>Прокладка воздуховодов из черной, оцинкованной стали и алюминия толщиной 0,6 мм диаметром до 250 мм</t>
  </si>
  <si>
    <t>Воздуховоды круглого сечения из оцинкованной стали, толщина стенки до 1,2 мм, диаметр 250-450 мм</t>
  </si>
  <si>
    <t>Прокладка воздуховодов из черной, оцинкованной стали и алюминия толщиной 0,5 мм периметром 800 мм, 1000 мм</t>
  </si>
  <si>
    <t>Воздуховоды прямоугольного сечения из оцинкованной стали, толщина стенки до 1,2 мм, периметр до 1000 мм</t>
  </si>
  <si>
    <t>Прокладка воздуховодов из черной, оцинкованной стали и алюминия толщиной 0,6 мм диаметром до 450 мм</t>
  </si>
  <si>
    <t>Прокладка воздуховодов из черной, оцинкованной стали и алюминия толщиной 0,7 мм периметром до 2400 мм</t>
  </si>
  <si>
    <t>Воздуховоды прямоугольного сечения из оцинкованной стали, толщина стенки до 1,2 мм, периметр до 4000 мм</t>
  </si>
  <si>
    <t>04741510</t>
  </si>
  <si>
    <t>ГУП "Московский метрополитен" 129110, г.Москва, проспект Мира, д. 41 стр.2</t>
  </si>
  <si>
    <t>Заказчик-Генподрядчик:</t>
  </si>
  <si>
    <t>АО "Мосинжпроект" 101000, г.Москва, Сверчков пер., д.4/1</t>
  </si>
  <si>
    <t>ООО "МИП-Строй №1", 101000, г. Москва, Девяткин пер., д.5, стр.3., комн.204</t>
  </si>
  <si>
    <t>Главстройгрупп (к0,7)</t>
  </si>
  <si>
    <t xml:space="preserve">AKT </t>
  </si>
  <si>
    <t>Локальная смета №КМЛ-433РД-23-4.2.1-ОС1-СМ3 (рег. №48751-КМЛ-0338-Р-ССР8)</t>
  </si>
  <si>
    <t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t>
  </si>
  <si>
    <t>Составлен(а) в уровне текущих (прогнозных) цен ТСН МГЭ строительство №163 апрель 2020 года</t>
  </si>
  <si>
    <t>Станционный комплекс "Аминьевское шоссе". Инженерные системы ТПП. Электрооборудование. Кабельные контрукции.</t>
  </si>
  <si>
    <t>Прокладка трубопроводов отопления и водоснабжения из стальных электросварных труб диаметром 100 мм</t>
  </si>
  <si>
    <t>Трубы бесшовные горячедеформированные из коррозионностойкой стали, ГОСТ 9940-81, наружный диаметр 108 мм, толщина стенки 5 мм</t>
  </si>
  <si>
    <t>Прокладка трубопроводов отопления и водоснабжения из стальных электросварных труб диаметром 80 мм</t>
  </si>
  <si>
    <t>Трубы бесшовные горячедеформированные из коррозионностойкой стали, ГОСТ 9940-81, наружный диаметр 89 мм, толщина стенки 4,5 мм</t>
  </si>
  <si>
    <t>Окраска металлических огрунтованных поверхностей органосиликатной композицией ОС-12-01 (за 2 раза)</t>
  </si>
  <si>
    <t>Композиция (краска) органосиликатная, марка ОС-12-03, для окраски огрунтованных металлических поверхностей</t>
  </si>
  <si>
    <t>)*(1.67-1)*2</t>
  </si>
  <si>
    <t>Отдельные конструктивные элементы с преобладанием горячекатаных профилей, средняя масса сборочной единицы до 0,05 т</t>
  </si>
  <si>
    <t>Резина листовая вулканизированная</t>
  </si>
  <si>
    <t>Гайки шестигранные из нержавеющей стали, диаметр 12 мм</t>
  </si>
  <si>
    <t>Шайбы плоские из нержавеющей стали, диаметр 12 мм</t>
  </si>
  <si>
    <t>Установка распорных анкеров в готовые отверстия</t>
  </si>
  <si>
    <t>Анкер клиновый, из нержавеющей стали, для установки в бетон и природный камень, BZ 8-10/75 HCR</t>
  </si>
  <si>
    <t>Перегон от ст."Аминьевское шоссе"  до переходной камеры. Инженерные системы. Тоннельный водопровод. Тоннельный водопровод и водоотвод</t>
  </si>
  <si>
    <t>Локальная смета №12-4017-Л-Р-12.3.1-ВК-СМ1</t>
  </si>
  <si>
    <t>Рег. №48824-ТПК_5-0687-Р-ССР2</t>
  </si>
  <si>
    <t>35а</t>
  </si>
  <si>
    <t>Прокладка трубопроводов отопления и газоснабжения из стальных бесшовных труб диаметром 150 мм</t>
  </si>
  <si>
    <t>Трубы бесшовные горячедеформированные из коррозионностойкой стали, ГОСТ 9940-81, наружный диаметр 159 мм, толщина стенки 6 мм</t>
  </si>
  <si>
    <t>Окраска металлических огрунтованных поверхностей органосиликатной композицией ОС-12-01</t>
  </si>
  <si>
    <t>к нр *2</t>
  </si>
  <si>
    <t>Анкер-шпилька распорный, высокоэффективный, с шестигранной гайкой и шайбой, из оцинкованной стали, для использования в бетоне с трещинами, диаметр 10 мм, длина 110 мм, толщина прикрепляемой детали минимальная/максимальная 30/50 мм</t>
  </si>
  <si>
    <t>Ревизии чугунные, ГОСТ 694224-80, диаметр условного прохода 100 мм</t>
  </si>
  <si>
    <t>Прокладка по стенам зданий и в каналах трубопроводов из чугунных канализационных труб диаметром 100 мм</t>
  </si>
  <si>
    <t>Узлы трубопроводов из чугунных канализационных труб с фасонными частями, диаметр условного прохода 100 мм</t>
  </si>
  <si>
    <t>Отводы чугунные под углом 135°, диаметр 100 мм</t>
  </si>
  <si>
    <t>Тройники косые чугунные под углом 45°, диаметр 100x100 мм</t>
  </si>
  <si>
    <t>Анкер-гильза распорный из оцинкованной стали, с шестигранной головкой, установка в бетон и кирпич, диаметр 12 мм, длина 75 мм, толщина прикрепляемой детали 35 мм</t>
  </si>
  <si>
    <t>Опорные части трубопроводов стальные огрунтованные</t>
  </si>
  <si>
    <t>Прокладка трубопроводов отопления и газоснабжения из стальных бесшовных труб диаметром 100 мм</t>
  </si>
  <si>
    <t>Отводы крутоизогнутые из стали 20, ГОСТ 17375-01, наружный диаметр 108 мм, толщина стенки 4,0 мм, под углом 90°, 60°, 45°</t>
  </si>
  <si>
    <t>Установка насосов центробежных с электродвигателем массой агрегата до 0,3 т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</si>
  <si>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диаметром, мм, до 65</t>
  </si>
  <si>
    <t>Фланцы стальные плоские приварные с соединительным выступом, из стали ВСт3СП, ГОСТ 12820-80, условное давление 1 (10) МПа (кгс/см2), диаметр условного прохода 50 мм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</si>
  <si>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100 мм</t>
  </si>
  <si>
    <t>Фланцы стальные плоские приварные с соединительным выступом, из стали ВСт3СП, ГОСТ 12820-80, условное давление 1 (10) МПа (кгс/см2), диаметр условного прохода 100 мм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</si>
  <si>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150 мм</t>
  </si>
  <si>
    <t>Фланцы стальные плоские приварные с соединительным выступом, из стали ВСт3СП, ГОСТ 12820-80, условное давление 1 (10) МПа (кгс/см2), диаметр условного прохода 150 мм</t>
  </si>
  <si>
    <t>Прокладка трубопроводов отопления и газоснабжения из стальных бесшовных труб диаметром 65 мм</t>
  </si>
  <si>
    <t>Трубы стальные бесшовные горячедеформированные со снятой фаской из стали марок 15, 20, 25, ГОСТ 8732-78, наружный диаметр 108 мм, толщина стенки 4 мм</t>
  </si>
  <si>
    <t>Прокладка трубопроводов отопления и газоснабжения из стальных бесшовных труб диаметром 200 мм</t>
  </si>
  <si>
    <t>Трубы стальные бесшовные горячедеформированные со снятой фаской из стали марок 15, 20, 25, ГОСТ 8732-78, наружный диаметр 159 мм, толщина стенки 5,5 мм</t>
  </si>
  <si>
    <t>Отводы крутоизогнутые из стали 20, ГОСТ 17375-01, наружный диаметр 57 мм, толщина стенки 3,0-3,5 мм, под углом 90°, 60°, 45°</t>
  </si>
  <si>
    <t>Тройники сварные, сталь марка СТ 20, диаметр 108 мм, толщина стенки 5 мм</t>
  </si>
  <si>
    <t>Переходы концентрические из стали 20, ГОСТ 17378-01, диаметр 108х57 мм, толщина стенки 4,0х3,0 мм</t>
  </si>
  <si>
    <t>Переходы концентрические из стали 20, ГОСТ 17378-01, диаметр 159х89 мм, толщина стенки 4,5х3,5 мм</t>
  </si>
  <si>
    <t>Фланцы ответные стальные приварные в комплекте (фланцев – 2 шт., прокладок – 2 шт., болты, гайки), из стали марки 12х18Н9Т, условное давление 2,5 (25) МПа (кгс/см2), диаметр условного прохода 50 мм</t>
  </si>
  <si>
    <t>Фланцы ответные стальные приварные в комплекте (фланцев – 2 шт., прокладок – 2 шт., болты, гайки), из стали марки 12х18Н9Т, условное давление 2,5 (25) МПа (кгс/см2), диаметр условного прохода 80 мм</t>
  </si>
  <si>
    <t>Болты строительные с шестигранной головкой, диаметр резьбы 16 мм</t>
  </si>
  <si>
    <t>Окраска металлических огрунтованных поверхностей лаком ХВ-784</t>
  </si>
  <si>
    <t>Краска, марка БТ-177, серебристая</t>
  </si>
  <si>
    <t>*1,02</t>
  </si>
  <si>
    <t>Клапаны КПВС сечение 3650 х 3650 мм</t>
  </si>
  <si>
    <t>Рег. №48129-ТПК_5-0452-Р-ССР2</t>
  </si>
  <si>
    <t>Кран шаровой фланцевый из нержавеющей стали, диаметр 80 мм, с рукояткой, давление до 1,6МПа, артикул BV18.04.080.16.Ф/Ф</t>
  </si>
  <si>
    <t>Фланцы ответные стальные приварные в комплекте (фланцев-2, прокладок-2, болты, гайки), из стали марки 12Х18Н9Т, номинальное давление PN 0,25 (2,5) МПа (кгс/см2), номинальный диаметр DN 80 мм</t>
  </si>
  <si>
    <t>Установка вентилей, задвижек, затворов, клапанов обратных, кранов проходных на трубопроводах из стальных труб диаметром до 100 мм</t>
  </si>
  <si>
    <t>Перегоны за ст."Аминьевское шоссе" (включая монтажный и пл.2) до  ст. "Мичуринский проспект". Инженерные системы. Тоннельный водопровод и водоотвод.</t>
  </si>
  <si>
    <t xml:space="preserve">Локальная смета №12-4017-Л-Р-8.3.1-ВК-СМ1  </t>
  </si>
  <si>
    <t>Рег. №48493-ТПК_5-0575-Р-ССР2</t>
  </si>
  <si>
    <t>Трубы бесшовные холоднодеформированные из коррозионностойкой стали, ГОСТ 9941-81, наружный диаметр 57 мм, толщина стенки 3,5 мм</t>
  </si>
  <si>
    <t>Трубы бесшовные холоднодеформированные из коррозионностойкой стали, ГОСТ 9941-81, наружный диаметр 25 мм, толщина стенки 4,5 мм</t>
  </si>
  <si>
    <t>Прокладка трубопроводов отопления и газоснабжения из стальных бесшовных труб диаметром 80 мм</t>
  </si>
  <si>
    <t>Анкер клиновой, из нержавеющей стали, для установки в pастянутой и сжатой зоне бетона, диаметр 8 мм, длина 75 мм, максимальная толщина закрепляемой детали при стандартной/уменьшенной глубине анкеровки 10/21 мм</t>
  </si>
  <si>
    <t>Трубы стальные бесшовные горячедеформированные со снятой фаской из стали марок 15, 20, 25, ГОСТ 8732-78, наружный диаметр 159 мм, толщина стенки 4,5 мм</t>
  </si>
  <si>
    <t>Лак битумный, марка БТ-177</t>
  </si>
  <si>
    <t>Тройник переходной 89x4-57x4 мм из коррозионно-стойкой стали 12х18Н10Т, геометрия по ГОСТ 17376-2001, вес 0,9 кг                                                                   Цена: 1040:5,48=189,78</t>
  </si>
  <si>
    <t>*2 [к нр *2]</t>
  </si>
  <si>
    <t>Задвижка с обрезиненным клином ГРАНАР KR11.02.065.16.Ф/Ф DN065 РN16 (использовать фланцы на PN10/PN16), арт. CV01F99853,  L=170мм, Тмакс=120оС, масса не более 15 кг          Цена: 5254,23:5,48=958,8</t>
  </si>
  <si>
    <t>Задвижка с обрезиненным клином ГРАНАР KR11.02.065.16.Ф/Ф DN065 РN16 (использовать фланцы на PN10/PN16), арт. CV01F99853,  L=170мм, Тмакс=120оС, масса не более 15 кг                           Цена: 5254,23:5,48=958,8</t>
  </si>
  <si>
    <t>Задвижка с обрезиненным клином KR11.02.100.16 ф/ф Тмах=120С Ду 100, Ру 16, корпус чугун GGG40 ГРАНАР, расчетный вес 23 кг                                   Цена: 8039,6:5,48=1467,08</t>
  </si>
  <si>
    <t>Клапан обратный шаровой фланцевый ГРАНЛОК серия RD12F: RD12.02.100.16.Ф/Ф (корпус и крышка из высокопрочного чугуна GGG 40, материал запирающего устройства (шар) сталь с покрытием NBR, болты из оцинкованной стали, рабочая температура 70 С, установочный диаметр 100 мм, давление рабочей среды 16 бар., артикул DF04B103728). Масса 27 кг                                                 Цена: 8039,6:5,48=1467,08</t>
  </si>
  <si>
    <t>Насос центробежный Q=35м3/ч., Н=30,7м., на раме с электродвигателем N=11кВт, U=380B, n=2900об/мин. с сальниковым уплотнением вала, в комплекте с фундаментными болтами       Цена: 44599,01:5,48=8138,51</t>
  </si>
  <si>
    <t>Задвижка с обрезиненным клином KR11.02.150.16 ф/ф Тмах=120С Ду 150 Ру 16 корпус чугун GGG40 ГРАНАР, расчетный вес 38,35 кг                                 Цена: 14203,38:5,48=2591,86</t>
  </si>
  <si>
    <t>Клапан обратный шаровой RD12.02.050.16, DN 50, Гранлок, тип присоединения Ф/Ф, PN=1,6 МПа, материал корпуса - чугун серый, (арт. DF04B103725), масса 10 кг.                          Цена: 3408,47:5,48=621,98</t>
  </si>
  <si>
    <t>Станционный комплекс "Аминьевское шоссе". Платформа. Внутренние инженерные системы. Водоснабжение и водоотведение.</t>
  </si>
  <si>
    <t xml:space="preserve">Локальная смета №12-4017-Л-Р-11.3.3.2-ВК-СМ1К </t>
  </si>
  <si>
    <t>Рег. №48645-ТПК_5-0632-Р-ССР2-доп.1-изм.1</t>
  </si>
  <si>
    <t>Установка заслонок воздушных и клапанов воздушных КВР с ручным приводом периметром до 1000 мм</t>
  </si>
  <si>
    <t>Заслонки регулирующие для ручного регулирования воздушных потоков из оцинкованной стали, РР, АЗД 192, сечение 200х200 мм</t>
  </si>
  <si>
    <t>Установка заслонок воздушных и клапанов воздушных КВР с ручным приводом периметром до 1600 мм</t>
  </si>
  <si>
    <t>Заслонки регулирующие для ручного регулирования воздушных потоков из оцинкованной стали, РР, АЗД 192, сечение 400х300 мм</t>
  </si>
  <si>
    <t>Установка заслонок воздушных и клапанов воздушных КВР с ручным приводом периметром до 2400 мм</t>
  </si>
  <si>
    <t>Заслонки регулирующие для ручного регулирования воздушных потоков из оцинкованной стали, РР, АЗД 192, сечение 400х500 мм</t>
  </si>
  <si>
    <t>Заслонки регулирующие для ручного регулирования воздушных потоков из оцинкованной стали, РР, АЗД 192, сечение 400х600 мм</t>
  </si>
  <si>
    <t>Прокладка воздуховодов из черной, оцинкованной стали и алюминия толщиной 0,7 мм периметром 900 мм</t>
  </si>
  <si>
    <t>Прокладка воздуховодов из черной, оцинкованной стали и алюминия толщиной 0,9 мм периметром до 5200 мм</t>
  </si>
  <si>
    <t>Воздуховоды прямоугольного сечения из оцинкованной стали, толщина стенки до 1,2 мм, периметр до 8000 мм</t>
  </si>
  <si>
    <t>Средства крепления - кронштейн и подставка под оборудование из сортовой стали</t>
  </si>
  <si>
    <t>Станционный комплекс "Аминьевское шоссе". Инженерные системы ТПП. Отопление, вентиляция, кондиционирование, дымоудаление.</t>
  </si>
  <si>
    <t>Локальная смета №12-4017-Л-Р-11.5.3-ОВ-СМ1К</t>
  </si>
  <si>
    <t>Рег. №48961-ТПК_5-0786-Р-ССР2  изм.1.1</t>
  </si>
  <si>
    <t>Локальная смета №12-4017-Л-Р-11.4.3.1-ОВ1.1-СМ1К</t>
  </si>
  <si>
    <t>Рег. №48837-ТПК_5-0699-Р-ССР2-изм.1.1</t>
  </si>
  <si>
    <t>Раздел 1/6.1</t>
  </si>
  <si>
    <t>01140469</t>
  </si>
  <si>
    <t xml:space="preserve">ООО "СТРОЙ-МОНТАЖ 2002", 125362, г. Москва, улица Свободы, дом 17,Э Подвал П I ком. 1, оф. 2 </t>
  </si>
  <si>
    <t>Субподрядчик</t>
  </si>
  <si>
    <t>Стоимость давальческого материала</t>
  </si>
  <si>
    <t>Стоимость давальческого оборудования</t>
  </si>
  <si>
    <t>Возврат стоимости Материалов Подрядчика</t>
  </si>
  <si>
    <t>Итого по акту без давальческого материала с К=1:</t>
  </si>
  <si>
    <t>СМР</t>
  </si>
  <si>
    <t>в т.ч. ЗП и ЗПМ</t>
  </si>
  <si>
    <t>в т.ч. Материалы</t>
  </si>
  <si>
    <t>Оборудование</t>
  </si>
  <si>
    <t>ЗП+ЗПМ с К=1,15</t>
  </si>
  <si>
    <t>Итого по акту с К=1 с К-1,15 к ЗП и ЗПМ</t>
  </si>
  <si>
    <t>Итого по акту с К=0,925</t>
  </si>
  <si>
    <t>Итого по акту с К=0,925 с К-1,15 к ЗП и ЗПМ</t>
  </si>
  <si>
    <t>Итого по Акту с К=0,925+К=1,15 без стоимости материалов Подрядчика</t>
  </si>
  <si>
    <t>в том числе:    СМР</t>
  </si>
  <si>
    <t xml:space="preserve">                         прочие затраты</t>
  </si>
  <si>
    <t xml:space="preserve">                         ПНР</t>
  </si>
  <si>
    <t xml:space="preserve">                         оборудование </t>
  </si>
  <si>
    <t>Принял: Генеральный директор  ООО "МИП-Строй №1"</t>
  </si>
  <si>
    <t>Сдал: Генеральный директор ООО "СТРОЙ-МОНТАЖ 2002"</t>
  </si>
  <si>
    <t>Д.В.Алексеев</t>
  </si>
  <si>
    <t>779-1119-ЗП-МИП1/Н</t>
  </si>
  <si>
    <t>К.В. Маслаков</t>
  </si>
  <si>
    <t>Раздел 2/6.2</t>
  </si>
  <si>
    <t>Унифицированная форма № КС-3</t>
  </si>
  <si>
    <t>Утверждена Постановлением Госкомстата РФ</t>
  </si>
  <si>
    <t>от 11.11.99 №100</t>
  </si>
  <si>
    <t>Субподрядчик:</t>
  </si>
  <si>
    <t>1</t>
  </si>
  <si>
    <t>Гарантийное удержание 2%</t>
  </si>
  <si>
    <t>-</t>
  </si>
  <si>
    <t>Реестр черновиков за Июнь 2020 г.</t>
  </si>
  <si>
    <t>Юго-западный участок третьего пересадочного контура, ст. метро "Проспект вернадского" - ст. метро "Можайская" (ст. Аминьевское шоссе, Мичуренский проспект)</t>
  </si>
  <si>
    <t>№ п/п</t>
  </si>
  <si>
    <t>№ раздела (Акта КС-2)</t>
  </si>
  <si>
    <t>Номер смет</t>
  </si>
  <si>
    <t>Наименование сметы</t>
  </si>
  <si>
    <t>Стоимость в текущих ценах без НДС</t>
  </si>
  <si>
    <t>ИТОГО с К=0,925</t>
  </si>
  <si>
    <t>в том числе:</t>
  </si>
  <si>
    <t xml:space="preserve">СМР с К=1                    </t>
  </si>
  <si>
    <t>ЗП и ЗПМ с К=0,15 с К=1</t>
  </si>
  <si>
    <t>1.</t>
  </si>
  <si>
    <t>2.</t>
  </si>
  <si>
    <t>3.</t>
  </si>
  <si>
    <t>4.</t>
  </si>
  <si>
    <t>5.</t>
  </si>
  <si>
    <t>6.</t>
  </si>
  <si>
    <t>7.</t>
  </si>
  <si>
    <t>12-4017-Л-Р-11.4.3.1-ОВ1.1-СМ1К</t>
  </si>
  <si>
    <t>12-4017-Л-Р-11.5.3-ОВ-СМ1К</t>
  </si>
  <si>
    <t>12-4017-Л-Р-12.3.1-ВК-СМ1</t>
  </si>
  <si>
    <t>ИТОГО по Акту без НДС</t>
  </si>
  <si>
    <t>ИТОГО с НДС (20%)</t>
  </si>
  <si>
    <t>Д.В. Алексеев</t>
  </si>
  <si>
    <t>1/6.1</t>
  </si>
  <si>
    <t>2/6.2</t>
  </si>
  <si>
    <t>2/6.6</t>
  </si>
  <si>
    <t>1/6.6</t>
  </si>
  <si>
    <t>3/6.3</t>
  </si>
  <si>
    <t>4/6.4</t>
  </si>
  <si>
    <t>12-4017-Л-Р-11.4.3.3-ЭК1-СМ1</t>
  </si>
  <si>
    <t xml:space="preserve">12-4017-Л-Р-11.5.5-ЭК1-СМ1 </t>
  </si>
  <si>
    <t>5/6.5</t>
  </si>
  <si>
    <t>6/6.6</t>
  </si>
  <si>
    <t>7/6.7</t>
  </si>
  <si>
    <t>8/6.8</t>
  </si>
  <si>
    <t>9/6.9</t>
  </si>
  <si>
    <t>12-4017-Л-Р-1.2-ОВ4-СМ1</t>
  </si>
  <si>
    <t>Локальная смета №12-4017-Л-Р-1.2-ОВ4-СМ1</t>
  </si>
  <si>
    <t>Тоннельная вентиляция. Венткамера ВШ №3 на ст. "Мичуринский проспект" Тоннельная вентиляция. Венткамера ВШ №3 на ст. "Мичуринский проспект"</t>
  </si>
  <si>
    <t xml:space="preserve">12-4017-Л-Р-8.3.1-ВК-СМ1  </t>
  </si>
  <si>
    <t xml:space="preserve">12-4017-Л-Р-11.3.3.2-ВК-СМ1К </t>
  </si>
  <si>
    <t>Генеральный директор</t>
  </si>
  <si>
    <t>ООО "СТРОЙ-МОНТАЖ 2002"</t>
  </si>
  <si>
    <t xml:space="preserve">Генеральный директор </t>
  </si>
  <si>
    <t xml:space="preserve"> ООО "МИП-Строй №1"</t>
  </si>
  <si>
    <t>СПРАВКА
О  СТОИМОСТИ ВЫПОЛНЕННЫХ РАБОТ И ЗАТРАТ</t>
  </si>
  <si>
    <t xml:space="preserve"> №№
п/п</t>
  </si>
  <si>
    <t>Наименование пусковых комплексов, объектов, видов работ, оборудования, затрат</t>
  </si>
  <si>
    <t xml:space="preserve">    СТОИМОСТЬ  ВЫПОЛНЕННЫХ  РАБОТ  И  ЗАТРАТ</t>
  </si>
  <si>
    <t>С начала проведения работ</t>
  </si>
  <si>
    <t>С начала года</t>
  </si>
  <si>
    <t>В том числе: отчетный месяц</t>
  </si>
  <si>
    <t>В базовых ценах</t>
  </si>
  <si>
    <t>В текущ. ценах</t>
  </si>
  <si>
    <t xml:space="preserve">В текущ. ценах </t>
  </si>
  <si>
    <t>Всего работ и затрат , включаемых в стоимость работ</t>
  </si>
  <si>
    <t xml:space="preserve"> в том числе:</t>
  </si>
  <si>
    <t>2</t>
  </si>
  <si>
    <t>3</t>
  </si>
  <si>
    <t>НДС - 20%</t>
  </si>
  <si>
    <t>4</t>
  </si>
  <si>
    <t>Итого СМР с НДС 20%</t>
  </si>
  <si>
    <t>5</t>
  </si>
  <si>
    <t>ПНР</t>
  </si>
  <si>
    <t>6</t>
  </si>
  <si>
    <t>Прочие</t>
  </si>
  <si>
    <t>7</t>
  </si>
  <si>
    <t>8</t>
  </si>
  <si>
    <t>Итого прочие с НДС 20%</t>
  </si>
  <si>
    <t>9</t>
  </si>
  <si>
    <t>10</t>
  </si>
  <si>
    <t>11</t>
  </si>
  <si>
    <t>Итого оборудование с НДС 20%</t>
  </si>
  <si>
    <t>12</t>
  </si>
  <si>
    <r>
      <t xml:space="preserve">Всего работ и затрат облагаемых налогом </t>
    </r>
    <r>
      <rPr>
        <b/>
        <i/>
        <sz val="10"/>
        <color indexed="10"/>
        <rFont val="Arial"/>
        <family val="2"/>
        <charset val="204"/>
      </rPr>
      <t xml:space="preserve"> </t>
    </r>
  </si>
  <si>
    <t>13</t>
  </si>
  <si>
    <r>
      <t>Итого НДС</t>
    </r>
    <r>
      <rPr>
        <b/>
        <i/>
        <sz val="10"/>
        <color indexed="10"/>
        <rFont val="Arial"/>
        <family val="2"/>
        <charset val="204"/>
      </rPr>
      <t xml:space="preserve"> </t>
    </r>
  </si>
  <si>
    <t>14</t>
  </si>
  <si>
    <r>
      <t xml:space="preserve">ВСЕГО с НДС </t>
    </r>
    <r>
      <rPr>
        <b/>
        <i/>
        <sz val="10"/>
        <color indexed="10"/>
        <rFont val="Arial"/>
        <family val="2"/>
        <charset val="204"/>
      </rPr>
      <t xml:space="preserve"> </t>
    </r>
  </si>
  <si>
    <t>15</t>
  </si>
  <si>
    <t>Материал Подрядчика</t>
  </si>
  <si>
    <t>16</t>
  </si>
  <si>
    <t>Оборудование Подрядчика</t>
  </si>
  <si>
    <t>Удержания:</t>
  </si>
  <si>
    <t xml:space="preserve">Всего удержания </t>
  </si>
  <si>
    <t>Итого НДС</t>
  </si>
  <si>
    <t>ВСЕГО удержаний с НДС 20%</t>
  </si>
  <si>
    <t xml:space="preserve">Генеральный директор                                          ООО "МИП-Строй №1"      </t>
  </si>
  <si>
    <t>________________________________________________________________________</t>
  </si>
  <si>
    <t>М.П.</t>
  </si>
  <si>
    <t>Генеральный директор ООО "Строй-Монтаж 2002"</t>
  </si>
  <si>
    <r>
      <t xml:space="preserve">Заказчик - Генподрядчик: </t>
    </r>
    <r>
      <rPr>
        <sz val="16"/>
        <rFont val="Times New Roman"/>
        <family val="1"/>
        <charset val="204"/>
      </rPr>
      <t>АО "Мосинжпроект", 101000, г. Москва, Сверчков пер., д.4/1</t>
    </r>
  </si>
  <si>
    <r>
      <rPr>
        <b/>
        <sz val="16"/>
        <rFont val="Times New Roman"/>
        <family val="1"/>
        <charset val="204"/>
      </rPr>
      <t>Подрядчик:</t>
    </r>
    <r>
      <rPr>
        <sz val="16"/>
        <rFont val="Times New Roman"/>
        <family val="1"/>
        <charset val="204"/>
      </rPr>
      <t xml:space="preserve"> ООО "МИП-Строй №1"</t>
    </r>
  </si>
  <si>
    <t xml:space="preserve">№ раздела </t>
  </si>
  <si>
    <t>№ сметы, чертежа</t>
  </si>
  <si>
    <t>Наименование объектов строительства и работ</t>
  </si>
  <si>
    <t>Обслуживающие процессы</t>
  </si>
  <si>
    <t xml:space="preserve">ВЗиС </t>
  </si>
  <si>
    <t>Материалы</t>
  </si>
  <si>
    <r>
      <t xml:space="preserve">Прочие (К=1,15 к ЗП и ЗПМ - </t>
    </r>
    <r>
      <rPr>
        <b/>
        <i/>
        <sz val="14"/>
        <rFont val="Times New Roman"/>
        <family val="1"/>
        <charset val="204"/>
      </rPr>
      <t>Распоряжение №761-РП от 23.12.15</t>
    </r>
    <r>
      <rPr>
        <b/>
        <sz val="14"/>
        <rFont val="Times New Roman"/>
        <family val="1"/>
        <charset val="204"/>
      </rPr>
      <t>)</t>
    </r>
  </si>
  <si>
    <t>Всего</t>
  </si>
  <si>
    <t>Производитель работ</t>
  </si>
  <si>
    <t>Стоимость                                                    в базовых                                                                   ценах</t>
  </si>
  <si>
    <t>Стоимость в текущих ценах К=1,0</t>
  </si>
  <si>
    <t xml:space="preserve">Стоимость в текущих ценах                                                                                                                                                                                          К1=0,925
</t>
  </si>
  <si>
    <t>Стоимость                                                    в базовых ценах</t>
  </si>
  <si>
    <t>Стоимость                                                   в текущих ценах К=1,0</t>
  </si>
  <si>
    <t xml:space="preserve">Стоимость в текущих ценах                                                                                                                                                                                          К1=0,975
</t>
  </si>
  <si>
    <t>Стоимость                                                                                          в базовых                                        ценах</t>
  </si>
  <si>
    <t>Стоимость                                                           в текущих ценах К=1,0</t>
  </si>
  <si>
    <t>Стоимость                                                    в базовых                                                                        ценах</t>
  </si>
  <si>
    <t>ООО "Строй-Монтаж 2002"</t>
  </si>
  <si>
    <t xml:space="preserve">Прочие затраты </t>
  </si>
  <si>
    <t xml:space="preserve">Субподрядчик: </t>
  </si>
  <si>
    <t xml:space="preserve">  Генеральный директор ООО "Строй-Монтаж 2002"     </t>
  </si>
  <si>
    <t>/Д.В. Алексеев/</t>
  </si>
  <si>
    <t xml:space="preserve">Подрядчик: </t>
  </si>
  <si>
    <t xml:space="preserve"> Генеральный директор ООО "МИП-Строй №1"</t>
  </si>
  <si>
    <r>
      <rPr>
        <b/>
        <sz val="16"/>
        <rFont val="Times New Roman"/>
        <family val="1"/>
        <charset val="204"/>
      </rPr>
      <t>Объект:</t>
    </r>
    <r>
      <rPr>
        <sz val="16"/>
        <rFont val="Times New Roman"/>
        <family val="1"/>
        <charset val="204"/>
      </rPr>
      <t xml:space="preserve"> Юго-западный участок третьего пересадочного контура, ст. метро "Проспект вернадского" - ст. метро "Можайская" (ст. Аминьевское шоссе, Мичуренский проспект)</t>
    </r>
  </si>
  <si>
    <r>
      <t xml:space="preserve">Контракт: </t>
    </r>
    <r>
      <rPr>
        <sz val="16"/>
        <rFont val="Times New Roman"/>
        <family val="1"/>
        <charset val="204"/>
      </rPr>
      <t>№779-1119-ЗП-МИП1/Н 12.12.2019</t>
    </r>
  </si>
  <si>
    <t xml:space="preserve"> актов выполненных работ за Июнь 2020г.  </t>
  </si>
  <si>
    <t>Всего по акту №1/1.6 за июнь месяц</t>
  </si>
  <si>
    <t>/К.В. Маслаков/</t>
  </si>
  <si>
    <t>Итого гарангтийное удержание 2% с НДС 20%</t>
  </si>
  <si>
    <t xml:space="preserve">Всего к оплате </t>
  </si>
  <si>
    <t xml:space="preserve">Итого НДС </t>
  </si>
  <si>
    <t xml:space="preserve">ВСЕГО К ОПЛАТЕ с НДС </t>
  </si>
  <si>
    <t>о стоимости выполненных работ и затрат в базовых и текущих ценах за Июнь 2020 г.</t>
  </si>
  <si>
    <t>Инвестор-Застройщик: ГУП "Московский метрополитен" 129110, г.Москва, проспект Мира, д. 41 стр.2</t>
  </si>
  <si>
    <t>Заказчик-Генподрядчик: АО "Мосинжпроект" 101000, г.Москва, Сверчков пер., д.4/1</t>
  </si>
  <si>
    <t>Подрядчик: ООО "МИП-Строй №1", 101000, г. Москва, Девяткин пер., д.5, стр.3., комн.204</t>
  </si>
  <si>
    <t xml:space="preserve">Субподрядчик: ООО "СТРОЙ-МОНТАЖ 2002", 125362, г. Москва, улица Свободы, дом 17,Э Подвал П I ком. 1, оф. 2 </t>
  </si>
  <si>
    <t>Стройка: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</si>
  <si>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Объект: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</si>
  <si>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РЕЕСТР №1</t>
  </si>
  <si>
    <t>№1044 от 21.02.2020</t>
  </si>
  <si>
    <t>Давальческий материал</t>
  </si>
  <si>
    <t xml:space="preserve">Давальческое оборудование </t>
  </si>
  <si>
    <t>12-4017-Л-Р-11.4.3.1-ОВ1.1-СМ1К (Рег. №48837-ТПК_5-0699-Р-ССР2-изм.1.1)</t>
  </si>
  <si>
    <t>12-4017-Л-Р-11.4.3.3-ЭК1-СМ1 (Рег. №49996-ТПК_5-1293-Р-ССР2 )</t>
  </si>
  <si>
    <t>12-4017-Л-Р-12.3.1-ВК-СМ1(Рег. №48824-ТПК_5-0687-Р-ССР2)</t>
  </si>
  <si>
    <t>12-4017-Л-Р-1.2-ОВ4-СМ1 (Рег. №48129-ТПК_5-0452-Р-ССР2)</t>
  </si>
  <si>
    <t>12-4017-Л-Р-8.3.1-ВК-СМ1  (Рег. №48493-ТПК_5-0575-Р-ССР2)</t>
  </si>
  <si>
    <t>12-4017-Л-Р-11.3.3.2-ВК-СМ1К (Рег. №48645-ТПК_5-0632-Р-ССР2-доп.1-изм.1)</t>
  </si>
  <si>
    <t>12-4017-Л-Р-11.5.3-ОВ-СМ1К (Рег. №48961-ТПК_5-0786-Р-ССР2  изм.1.1)</t>
  </si>
  <si>
    <t>6270253 Клапан противопожарный комбинированный модульно секционный из нержавеющей стали КПВС-2К. кр.-МС, размером  3500х2500h мм с 2-мя электродами МЭО 100/63-0,63М-99К У2, N=2x170 Вт, 380 В, 50Гц, с пределом огнестойковти EI 60, с рамой из швеллера №14 и термоизолиющей, проставкой Цена: 1190206,71:4,47=266265,49
Базисная стоимость: 266 265,49 = [1 190 206,71 /  4,47]</t>
  </si>
  <si>
    <t xml:space="preserve"> Клапан противопожарный комбинированный модульно-секционный из нержавеющей стали КПВС-2К.кр-Мс 3500х2500(h), с 2мя МЭО 100/63-0,63М-99К У2, разность давления (на закрытый клапан) 1000 Па, минимальная допустимая величина сопротивления  дымогазопроницанию не менее 1,1х10 м3/кг, предел огнестойкости не менее EI60, с двумя электроприводами с защитным кожухом (на стороне 3500 мм) МЭО 380 В/ 50 Гц,  мощность не более 170 Вт, IР54, Тэкспл. привода от -40°С до +40 °С, с концевыми выключателями, возможностью управления и контроля по «сухим контактам», с извещением о  положении створок клапана (открыто/закрыто). Плотно сваренная рама модулей клапана, рама в зоне соединения модулей выполнена из уголка. Створки клапана соединены  посредством системы рычагов и приводятся в действие синхронно. Створки клапана регулируются в отдельности. Уплотнение створок клапана к корпусу. Возможна работа  привода в ручном режиме Цена: 1414387,06:4,47=316417,69
Базисная стоимость: 322 746,04 = [1 414 387,06 /  4,47] +  2% Заг.скл</t>
  </si>
  <si>
    <t>3/6.4</t>
  </si>
  <si>
    <t>4/6.5</t>
  </si>
  <si>
    <t>5/6.6</t>
  </si>
  <si>
    <t>6/6.7</t>
  </si>
  <si>
    <t>7/6.8</t>
  </si>
  <si>
    <t>8/6.9</t>
  </si>
  <si>
    <t>Раздел 3/6.4</t>
  </si>
  <si>
    <t>Раздел 4/6.5</t>
  </si>
  <si>
    <t>Раздел 5/6.6</t>
  </si>
  <si>
    <t>Раздел 6/6.7</t>
  </si>
  <si>
    <t>Раздел 7/6.8</t>
  </si>
  <si>
    <t>Раздел 8/6.9</t>
  </si>
  <si>
    <t>В том числе                   СМР</t>
  </si>
  <si>
    <t xml:space="preserve">                                           прочие</t>
  </si>
  <si>
    <t xml:space="preserve">                                           ПНР</t>
  </si>
  <si>
    <t xml:space="preserve">                           оборудование</t>
  </si>
  <si>
    <t xml:space="preserve">Итого по Акту №1 с  К=1,15 </t>
  </si>
  <si>
    <t>ИТОГО за Июнь 2020г</t>
  </si>
  <si>
    <t>29478604</t>
  </si>
  <si>
    <t xml:space="preserve"> 03997784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</si>
</sst>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\ _₽_-;\-* #,##0.00\ _₽_-;_-* &quot;-&quot;??\ _₽_-;_-@_-"/>
    <numFmt numFmtId="164" formatCode="#,##0.00;[Red]\-\ #,##0.00"/>
    <numFmt numFmtId="165" formatCode="#,##0.00####;[Red]\-\ #,##0.00####"/>
    <numFmt numFmtId="166" formatCode="_-* #,##0.00_р_._-;\-* #,##0.00_р_._-;_-* &quot;-&quot;??_р_._-;_-@_-"/>
    <numFmt numFmtId="167" formatCode="* #,##0.00;* \-#,##0.00;* &quot;-&quot;??;@"/>
    <numFmt numFmtId="168" formatCode="#,##0.00_ ;[Red]\-#,##0.00\ "/>
    <numFmt numFmtId="169" formatCode="#,##0;[Red]\-\ #,##0"/>
    <numFmt numFmtId="170" formatCode="#,##0.00_ ;\-#,##0.00\ "/>
    <numFmt numFmtId="171" formatCode="#,##0_ ;\-#,##0\ "/>
    <numFmt numFmtId="172" formatCode="_-* #,##0_р_._-;\-* #,##0_р_._-;_-* &quot;-&quot;??_р_._-;_-@_-"/>
    <numFmt numFmtId="173" formatCode="* #,##0;* \-#,##0;* &quot;-&quot;??;@"/>
    <numFmt numFmtId="174" formatCode="_-* #,##0\ _₽_-;\-* #,##0\ _₽_-;_-* &quot;-&quot;??\ _₽_-;_-@_-"/>
  </numFmts>
  <fonts count="70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i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13"/>
      <name val="Arial"/>
      <family val="2"/>
      <charset val="204"/>
    </font>
    <font>
      <sz val="10"/>
      <name val="Arial Cyr"/>
      <charset val="204"/>
    </font>
    <font>
      <sz val="8"/>
      <color indexed="64"/>
      <name val="Arial"/>
      <family val="2"/>
      <charset val="204"/>
    </font>
    <font>
      <b/>
      <sz val="12"/>
      <name val="Arial"/>
      <family val="2"/>
      <charset val="204"/>
    </font>
    <font>
      <sz val="9"/>
      <color indexed="64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sz val="10"/>
      <color rgb="FF7030A0"/>
      <name val="Arial"/>
      <family val="2"/>
      <charset val="204"/>
    </font>
    <font>
      <sz val="11"/>
      <color rgb="FF7030A0"/>
      <name val="Arial"/>
      <family val="2"/>
      <charset val="204"/>
    </font>
    <font>
      <i/>
      <sz val="11"/>
      <color rgb="FF7030A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4" tint="-0.249977111117893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4" tint="-0.249977111117893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i/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color indexed="64"/>
      <name val="Courier New"/>
      <family val="3"/>
      <charset val="204"/>
    </font>
    <font>
      <sz val="8"/>
      <name val="Courier New"/>
      <family val="3"/>
      <charset val="204"/>
    </font>
    <font>
      <sz val="12"/>
      <name val="Arial"/>
      <family val="2"/>
      <charset val="204"/>
    </font>
    <font>
      <sz val="8"/>
      <name val="Arial"/>
      <family val="2"/>
    </font>
    <font>
      <sz val="13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2"/>
      <color indexed="64"/>
      <name val="Arial"/>
      <family val="2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20"/>
      <name val="Arial"/>
      <family val="2"/>
      <charset val="204"/>
    </font>
    <font>
      <sz val="18"/>
      <name val="Arial"/>
      <family val="2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Arial"/>
      <family val="2"/>
      <charset val="204"/>
    </font>
    <font>
      <b/>
      <sz val="14"/>
      <color rgb="FFFF0000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8"/>
      <name val="Arial"/>
      <family val="2"/>
      <charset val="204"/>
    </font>
    <font>
      <b/>
      <sz val="18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u/>
      <sz val="18"/>
      <name val="Times New Roman"/>
      <family val="1"/>
      <charset val="204"/>
    </font>
    <font>
      <sz val="18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1">
    <xf numFmtId="0" fontId="0" fillId="0" borderId="0"/>
    <xf numFmtId="0" fontId="11" fillId="0" borderId="0"/>
    <xf numFmtId="0" fontId="12" fillId="0" borderId="0" applyNumberFormat="0"/>
    <xf numFmtId="0" fontId="7" fillId="0" borderId="0"/>
    <xf numFmtId="0" fontId="4" fillId="0" borderId="0"/>
    <xf numFmtId="0" fontId="7" fillId="0" borderId="0"/>
    <xf numFmtId="0" fontId="4" fillId="0" borderId="0"/>
    <xf numFmtId="0" fontId="14" fillId="0" borderId="0"/>
    <xf numFmtId="0" fontId="7" fillId="0" borderId="0"/>
    <xf numFmtId="0" fontId="11" fillId="0" borderId="0"/>
    <xf numFmtId="0" fontId="4" fillId="0" borderId="0"/>
    <xf numFmtId="0" fontId="14" fillId="0" borderId="0" applyNumberFormat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top"/>
    </xf>
    <xf numFmtId="0" fontId="12" fillId="0" borderId="0"/>
    <xf numFmtId="0" fontId="12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7" fillId="0" borderId="0"/>
    <xf numFmtId="39" fontId="16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7" fontId="16" fillId="0" borderId="0" applyFont="0" applyFill="0" applyBorder="0" applyAlignment="0" applyProtection="0"/>
    <xf numFmtId="0" fontId="3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11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" fillId="0" borderId="0"/>
    <xf numFmtId="0" fontId="2" fillId="0" borderId="0"/>
    <xf numFmtId="166" fontId="15" fillId="0" borderId="0" applyFont="0" applyFill="0" applyBorder="0" applyAlignment="0" applyProtection="0"/>
    <xf numFmtId="0" fontId="7" fillId="0" borderId="0"/>
    <xf numFmtId="166" fontId="11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/>
    <xf numFmtId="0" fontId="11" fillId="0" borderId="0"/>
    <xf numFmtId="0" fontId="40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/>
    <xf numFmtId="0" fontId="12" fillId="0" borderId="0" applyNumberFormat="0"/>
    <xf numFmtId="0" fontId="41" fillId="0" borderId="0"/>
    <xf numFmtId="0" fontId="12" fillId="0" borderId="0"/>
    <xf numFmtId="0" fontId="12" fillId="0" borderId="0" applyNumberFormat="0"/>
    <xf numFmtId="0" fontId="12" fillId="0" borderId="0" applyNumberFormat="0"/>
    <xf numFmtId="0" fontId="14" fillId="0" borderId="0" applyNumberFormat="0"/>
    <xf numFmtId="0" fontId="14" fillId="0" borderId="0" applyNumberFormat="0"/>
    <xf numFmtId="0" fontId="12" fillId="0" borderId="0"/>
    <xf numFmtId="0" fontId="12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 applyNumberFormat="0"/>
    <xf numFmtId="0" fontId="11" fillId="0" borderId="0"/>
    <xf numFmtId="0" fontId="43" fillId="0" borderId="0"/>
    <xf numFmtId="0" fontId="11" fillId="0" borderId="0"/>
    <xf numFmtId="0" fontId="7" fillId="0" borderId="0"/>
    <xf numFmtId="0" fontId="12" fillId="0" borderId="0"/>
    <xf numFmtId="167" fontId="16" fillId="0" borderId="0" applyFont="0" applyFill="0" applyBorder="0" applyAlignment="0" applyProtection="0"/>
  </cellStyleXfs>
  <cellXfs count="57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right" wrapText="1"/>
    </xf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0" fillId="0" borderId="0" xfId="0" applyNumberForma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 shrinkToFit="1"/>
    </xf>
    <xf numFmtId="0" fontId="6" fillId="0" borderId="8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right" wrapText="1"/>
    </xf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 wrapText="1"/>
    </xf>
    <xf numFmtId="0" fontId="0" fillId="0" borderId="8" xfId="0" applyBorder="1"/>
    <xf numFmtId="0" fontId="6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7" fillId="0" borderId="0" xfId="21"/>
    <xf numFmtId="0" fontId="7" fillId="0" borderId="0" xfId="24"/>
    <xf numFmtId="0" fontId="7" fillId="0" borderId="0" xfId="5"/>
    <xf numFmtId="0" fontId="9" fillId="0" borderId="9" xfId="5" applyFont="1" applyBorder="1"/>
    <xf numFmtId="0" fontId="7" fillId="0" borderId="9" xfId="5" applyBorder="1"/>
    <xf numFmtId="0" fontId="0" fillId="0" borderId="14" xfId="0" applyBorder="1"/>
    <xf numFmtId="0" fontId="5" fillId="0" borderId="0" xfId="0" quotePrefix="1" applyFont="1" applyAlignment="1">
      <alignment horizontal="right" wrapText="1"/>
    </xf>
    <xf numFmtId="0" fontId="6" fillId="0" borderId="14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right" wrapText="1"/>
    </xf>
    <xf numFmtId="0" fontId="6" fillId="0" borderId="14" xfId="0" applyFont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0" fontId="6" fillId="0" borderId="14" xfId="0" applyFont="1" applyBorder="1" applyAlignment="1">
      <alignment horizontal="right" wrapText="1"/>
    </xf>
    <xf numFmtId="0" fontId="5" fillId="0" borderId="0" xfId="5" applyFont="1"/>
    <xf numFmtId="0" fontId="6" fillId="0" borderId="0" xfId="5" applyFont="1"/>
    <xf numFmtId="0" fontId="3" fillId="0" borderId="0" xfId="27"/>
    <xf numFmtId="0" fontId="7" fillId="0" borderId="0" xfId="28"/>
    <xf numFmtId="0" fontId="7" fillId="0" borderId="0" xfId="29"/>
    <xf numFmtId="0" fontId="7" fillId="0" borderId="0" xfId="30"/>
    <xf numFmtId="0" fontId="7" fillId="0" borderId="0" xfId="31"/>
    <xf numFmtId="0" fontId="5" fillId="0" borderId="0" xfId="5" applyFont="1" applyAlignment="1">
      <alignment horizontal="right"/>
    </xf>
    <xf numFmtId="0" fontId="5" fillId="0" borderId="2" xfId="24" applyFont="1" applyBorder="1" applyAlignment="1">
      <alignment horizontal="left" wrapText="1"/>
    </xf>
    <xf numFmtId="0" fontId="5" fillId="0" borderId="2" xfId="5" applyFont="1" applyBorder="1" applyAlignment="1">
      <alignment horizontal="left" wrapText="1"/>
    </xf>
    <xf numFmtId="0" fontId="5" fillId="0" borderId="0" xfId="5" applyFont="1" applyAlignment="1">
      <alignment horizontal="left" wrapText="1"/>
    </xf>
    <xf numFmtId="0" fontId="5" fillId="0" borderId="12" xfId="5" applyFont="1" applyBorder="1" applyAlignment="1">
      <alignment horizontal="center"/>
    </xf>
    <xf numFmtId="0" fontId="5" fillId="0" borderId="4" xfId="5" applyFont="1" applyBorder="1" applyAlignment="1">
      <alignment horizontal="center"/>
    </xf>
    <xf numFmtId="0" fontId="7" fillId="0" borderId="12" xfId="5" applyBorder="1" applyAlignment="1">
      <alignment horizontal="center" vertical="center" wrapText="1"/>
    </xf>
    <xf numFmtId="0" fontId="7" fillId="0" borderId="5" xfId="5" applyBorder="1" applyAlignment="1">
      <alignment horizontal="center" vertical="center" wrapText="1"/>
    </xf>
    <xf numFmtId="49" fontId="5" fillId="0" borderId="4" xfId="5" applyNumberFormat="1" applyFont="1" applyBorder="1" applyAlignment="1">
      <alignment horizontal="center"/>
    </xf>
    <xf numFmtId="14" fontId="5" fillId="0" borderId="4" xfId="5" applyNumberFormat="1" applyFont="1" applyBorder="1" applyAlignment="1">
      <alignment horizontal="center"/>
    </xf>
    <xf numFmtId="14" fontId="5" fillId="0" borderId="1" xfId="5" applyNumberFormat="1" applyFont="1" applyBorder="1" applyAlignment="1">
      <alignment horizontal="center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right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wrapText="1"/>
    </xf>
    <xf numFmtId="164" fontId="20" fillId="0" borderId="0" xfId="0" applyNumberFormat="1" applyFont="1" applyAlignment="1">
      <alignment horizontal="right"/>
    </xf>
    <xf numFmtId="0" fontId="19" fillId="0" borderId="0" xfId="0" applyFont="1"/>
    <xf numFmtId="164" fontId="0" fillId="0" borderId="14" xfId="0" applyNumberFormat="1" applyBorder="1"/>
    <xf numFmtId="0" fontId="5" fillId="0" borderId="2" xfId="5" applyFont="1" applyBorder="1" applyAlignment="1">
      <alignment horizontal="left" wrapText="1"/>
    </xf>
    <xf numFmtId="0" fontId="5" fillId="0" borderId="0" xfId="5" applyFont="1" applyAlignment="1">
      <alignment horizontal="right"/>
    </xf>
    <xf numFmtId="0" fontId="5" fillId="0" borderId="2" xfId="5" applyFont="1" applyBorder="1" applyAlignment="1">
      <alignment horizontal="left" wrapText="1"/>
    </xf>
    <xf numFmtId="0" fontId="5" fillId="0" borderId="0" xfId="5" applyFont="1" applyAlignment="1">
      <alignment horizontal="left" wrapText="1"/>
    </xf>
    <xf numFmtId="0" fontId="7" fillId="0" borderId="0" xfId="5" applyFill="1"/>
    <xf numFmtId="0" fontId="24" fillId="0" borderId="0" xfId="5" applyFont="1" applyFill="1"/>
    <xf numFmtId="168" fontId="25" fillId="0" borderId="0" xfId="5" applyNumberFormat="1" applyFont="1" applyFill="1"/>
    <xf numFmtId="43" fontId="7" fillId="0" borderId="0" xfId="32" applyFont="1" applyFill="1"/>
    <xf numFmtId="0" fontId="7" fillId="0" borderId="0" xfId="33" applyFont="1" applyFill="1"/>
    <xf numFmtId="0" fontId="25" fillId="0" borderId="0" xfId="5" applyFont="1" applyFill="1"/>
    <xf numFmtId="0" fontId="7" fillId="0" borderId="0" xfId="34" applyFont="1" applyFill="1"/>
    <xf numFmtId="0" fontId="7" fillId="0" borderId="0" xfId="35" applyFill="1"/>
    <xf numFmtId="43" fontId="26" fillId="0" borderId="0" xfId="32" applyFont="1" applyFill="1"/>
    <xf numFmtId="0" fontId="6" fillId="0" borderId="0" xfId="33" applyFont="1" applyFill="1" applyAlignment="1">
      <alignment wrapText="1"/>
    </xf>
    <xf numFmtId="169" fontId="6" fillId="0" borderId="0" xfId="33" applyNumberFormat="1" applyFont="1" applyFill="1" applyAlignment="1"/>
    <xf numFmtId="4" fontId="6" fillId="0" borderId="0" xfId="33" applyNumberFormat="1" applyFont="1" applyFill="1" applyAlignment="1"/>
    <xf numFmtId="3" fontId="6" fillId="0" borderId="0" xfId="33" applyNumberFormat="1" applyFont="1" applyFill="1" applyAlignment="1"/>
    <xf numFmtId="0" fontId="5" fillId="0" borderId="0" xfId="33" applyFont="1" applyFill="1" applyAlignment="1">
      <alignment wrapText="1"/>
    </xf>
    <xf numFmtId="169" fontId="5" fillId="0" borderId="0" xfId="33" applyNumberFormat="1" applyFont="1" applyFill="1" applyAlignment="1">
      <alignment horizontal="right"/>
    </xf>
    <xf numFmtId="4" fontId="5" fillId="0" borderId="0" xfId="33" applyNumberFormat="1" applyFont="1" applyFill="1" applyAlignment="1">
      <alignment horizontal="right"/>
    </xf>
    <xf numFmtId="3" fontId="5" fillId="0" borderId="0" xfId="33" applyNumberFormat="1" applyFont="1" applyFill="1" applyAlignment="1">
      <alignment horizontal="right"/>
    </xf>
    <xf numFmtId="0" fontId="19" fillId="0" borderId="0" xfId="33" applyFont="1" applyFill="1"/>
    <xf numFmtId="0" fontId="20" fillId="0" borderId="0" xfId="33" applyFont="1" applyFill="1" applyAlignment="1">
      <alignment wrapText="1"/>
    </xf>
    <xf numFmtId="169" fontId="20" fillId="0" borderId="0" xfId="33" applyNumberFormat="1" applyFont="1" applyFill="1" applyAlignment="1">
      <alignment horizontal="right"/>
    </xf>
    <xf numFmtId="4" fontId="20" fillId="0" borderId="0" xfId="33" applyNumberFormat="1" applyFont="1" applyFill="1" applyAlignment="1">
      <alignment horizontal="right"/>
    </xf>
    <xf numFmtId="3" fontId="20" fillId="0" borderId="0" xfId="33" applyNumberFormat="1" applyFont="1" applyFill="1" applyAlignment="1">
      <alignment horizontal="right"/>
    </xf>
    <xf numFmtId="0" fontId="19" fillId="0" borderId="0" xfId="34" applyFont="1" applyFill="1"/>
    <xf numFmtId="0" fontId="27" fillId="0" borderId="0" xfId="36" applyFont="1" applyFill="1" applyAlignment="1">
      <alignment horizontal="left" wrapText="1"/>
    </xf>
    <xf numFmtId="167" fontId="27" fillId="0" borderId="0" xfId="37" applyFont="1" applyFill="1" applyAlignment="1">
      <alignment horizontal="right" wrapText="1"/>
    </xf>
    <xf numFmtId="0" fontId="28" fillId="0" borderId="0" xfId="36" applyFont="1" applyFill="1" applyAlignment="1">
      <alignment horizontal="left"/>
    </xf>
    <xf numFmtId="0" fontId="28" fillId="0" borderId="0" xfId="4" applyFont="1" applyFill="1"/>
    <xf numFmtId="167" fontId="28" fillId="0" borderId="0" xfId="37" applyFont="1" applyFill="1" applyAlignment="1">
      <alignment horizontal="right" wrapText="1"/>
    </xf>
    <xf numFmtId="4" fontId="28" fillId="0" borderId="0" xfId="36" applyNumberFormat="1" applyFont="1" applyFill="1" applyAlignment="1">
      <alignment horizontal="right" wrapText="1"/>
    </xf>
    <xf numFmtId="43" fontId="24" fillId="0" borderId="0" xfId="32" applyFont="1" applyFill="1"/>
    <xf numFmtId="0" fontId="24" fillId="0" borderId="0" xfId="39" applyFont="1" applyFill="1"/>
    <xf numFmtId="0" fontId="24" fillId="0" borderId="0" xfId="33" applyFont="1" applyFill="1" applyAlignment="1">
      <alignment wrapText="1"/>
    </xf>
    <xf numFmtId="170" fontId="27" fillId="0" borderId="0" xfId="37" applyNumberFormat="1" applyFont="1" applyFill="1" applyAlignment="1">
      <alignment horizontal="right" wrapText="1"/>
    </xf>
    <xf numFmtId="0" fontId="27" fillId="0" borderId="0" xfId="4" applyFont="1" applyFill="1"/>
    <xf numFmtId="0" fontId="29" fillId="0" borderId="0" xfId="23" applyNumberFormat="1" applyFont="1" applyFill="1" applyBorder="1" applyAlignment="1">
      <alignment vertical="center"/>
    </xf>
    <xf numFmtId="0" fontId="28" fillId="0" borderId="0" xfId="33" applyFont="1" applyFill="1" applyBorder="1" applyAlignment="1"/>
    <xf numFmtId="0" fontId="28" fillId="0" borderId="0" xfId="1" applyFont="1" applyFill="1" applyBorder="1" applyAlignment="1"/>
    <xf numFmtId="170" fontId="29" fillId="0" borderId="0" xfId="40" applyNumberFormat="1" applyFont="1" applyFill="1" applyBorder="1" applyAlignment="1">
      <alignment horizontal="right"/>
    </xf>
    <xf numFmtId="171" fontId="28" fillId="0" borderId="0" xfId="40" applyNumberFormat="1" applyFont="1" applyFill="1" applyBorder="1"/>
    <xf numFmtId="0" fontId="27" fillId="0" borderId="0" xfId="23" applyNumberFormat="1" applyFont="1" applyFill="1" applyBorder="1" applyAlignment="1">
      <alignment vertical="center"/>
    </xf>
    <xf numFmtId="0" fontId="27" fillId="0" borderId="0" xfId="33" applyFont="1" applyFill="1" applyBorder="1" applyAlignment="1"/>
    <xf numFmtId="0" fontId="27" fillId="0" borderId="0" xfId="1" applyFont="1" applyFill="1" applyBorder="1" applyAlignment="1"/>
    <xf numFmtId="170" fontId="24" fillId="0" borderId="0" xfId="40" applyNumberFormat="1" applyFont="1" applyFill="1" applyBorder="1" applyAlignment="1">
      <alignment horizontal="right"/>
    </xf>
    <xf numFmtId="171" fontId="27" fillId="0" borderId="0" xfId="40" applyNumberFormat="1" applyFont="1" applyFill="1" applyBorder="1" applyAlignment="1">
      <alignment horizontal="right" vertical="center" wrapText="1"/>
    </xf>
    <xf numFmtId="171" fontId="27" fillId="0" borderId="0" xfId="40" applyNumberFormat="1" applyFont="1" applyFill="1" applyBorder="1"/>
    <xf numFmtId="171" fontId="24" fillId="0" borderId="0" xfId="40" applyNumberFormat="1" applyFont="1" applyFill="1" applyBorder="1" applyAlignment="1">
      <alignment horizontal="right"/>
    </xf>
    <xf numFmtId="0" fontId="28" fillId="0" borderId="2" xfId="4" applyFont="1" applyFill="1" applyBorder="1"/>
    <xf numFmtId="0" fontId="7" fillId="0" borderId="0" xfId="41" applyFill="1"/>
    <xf numFmtId="0" fontId="7" fillId="0" borderId="0" xfId="41" applyFill="1" applyAlignment="1">
      <alignment wrapText="1"/>
    </xf>
    <xf numFmtId="4" fontId="26" fillId="0" borderId="0" xfId="41" applyNumberFormat="1" applyFont="1" applyFill="1"/>
    <xf numFmtId="0" fontId="28" fillId="0" borderId="2" xfId="26" applyFont="1" applyFill="1" applyBorder="1"/>
    <xf numFmtId="0" fontId="11" fillId="0" borderId="0" xfId="1" applyFont="1"/>
    <xf numFmtId="0" fontId="7" fillId="0" borderId="0" xfId="49" applyFont="1"/>
    <xf numFmtId="0" fontId="22" fillId="0" borderId="0" xfId="49" applyFont="1"/>
    <xf numFmtId="49" fontId="7" fillId="0" borderId="1" xfId="49" applyNumberFormat="1" applyFont="1" applyFill="1" applyBorder="1" applyAlignment="1">
      <alignment horizontal="center" vertical="top"/>
    </xf>
    <xf numFmtId="0" fontId="22" fillId="0" borderId="5" xfId="49" applyFont="1" applyBorder="1" applyAlignment="1">
      <alignment horizontal="center" vertical="center" wrapText="1"/>
    </xf>
    <xf numFmtId="0" fontId="7" fillId="0" borderId="12" xfId="49" applyFont="1" applyBorder="1" applyAlignment="1">
      <alignment horizontal="center" vertical="center" wrapText="1"/>
    </xf>
    <xf numFmtId="0" fontId="11" fillId="0" borderId="0" xfId="53" applyFont="1"/>
    <xf numFmtId="0" fontId="11" fillId="0" borderId="0" xfId="53" applyFont="1" applyAlignment="1">
      <alignment horizontal="right"/>
    </xf>
    <xf numFmtId="14" fontId="22" fillId="0" borderId="1" xfId="52" applyNumberFormat="1" applyFont="1" applyFill="1" applyBorder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right"/>
    </xf>
    <xf numFmtId="0" fontId="7" fillId="0" borderId="12" xfId="5" applyFont="1" applyBorder="1" applyAlignment="1">
      <alignment horizontal="center"/>
    </xf>
    <xf numFmtId="4" fontId="32" fillId="0" borderId="0" xfId="0" applyNumberFormat="1" applyFont="1" applyFill="1"/>
    <xf numFmtId="1" fontId="33" fillId="0" borderId="0" xfId="0" applyNumberFormat="1" applyFont="1" applyFill="1" applyBorder="1" applyAlignment="1">
      <alignment horizontal="center" vertical="center"/>
    </xf>
    <xf numFmtId="4" fontId="32" fillId="0" borderId="0" xfId="0" applyNumberFormat="1" applyFont="1" applyFill="1" applyBorder="1" applyAlignment="1">
      <alignment horizontal="center" vertical="center"/>
    </xf>
    <xf numFmtId="4" fontId="33" fillId="0" borderId="0" xfId="0" applyNumberFormat="1" applyFont="1" applyFill="1" applyAlignment="1">
      <alignment vertical="center"/>
    </xf>
    <xf numFmtId="4" fontId="32" fillId="0" borderId="0" xfId="0" applyNumberFormat="1" applyFont="1" applyFill="1" applyAlignment="1">
      <alignment vertical="center"/>
    </xf>
    <xf numFmtId="4" fontId="34" fillId="0" borderId="0" xfId="0" applyNumberFormat="1" applyFont="1" applyFill="1"/>
    <xf numFmtId="1" fontId="35" fillId="0" borderId="0" xfId="0" applyNumberFormat="1" applyFont="1" applyFill="1" applyAlignment="1">
      <alignment horizontal="center" vertical="center"/>
    </xf>
    <xf numFmtId="4" fontId="34" fillId="0" borderId="0" xfId="0" applyNumberFormat="1" applyFont="1" applyFill="1" applyAlignment="1">
      <alignment horizontal="left"/>
    </xf>
    <xf numFmtId="4" fontId="35" fillId="0" borderId="0" xfId="0" applyNumberFormat="1" applyFont="1" applyFill="1" applyAlignment="1">
      <alignment horizontal="center" wrapText="1"/>
    </xf>
    <xf numFmtId="4" fontId="34" fillId="0" borderId="0" xfId="0" applyNumberFormat="1" applyFont="1" applyFill="1" applyAlignment="1">
      <alignment horizontal="center" wrapText="1"/>
    </xf>
    <xf numFmtId="4" fontId="34" fillId="0" borderId="32" xfId="0" applyNumberFormat="1" applyFont="1" applyFill="1" applyBorder="1" applyAlignment="1">
      <alignment horizontal="center" vertical="center" wrapText="1"/>
    </xf>
    <xf numFmtId="4" fontId="34" fillId="0" borderId="50" xfId="0" applyNumberFormat="1" applyFont="1" applyFill="1" applyBorder="1" applyAlignment="1">
      <alignment horizontal="center" vertical="center" wrapText="1"/>
    </xf>
    <xf numFmtId="49" fontId="34" fillId="0" borderId="1" xfId="0" applyNumberFormat="1" applyFont="1" applyFill="1" applyBorder="1" applyAlignment="1">
      <alignment horizontal="center" vertical="center" wrapText="1"/>
    </xf>
    <xf numFmtId="4" fontId="35" fillId="0" borderId="1" xfId="0" applyNumberFormat="1" applyFont="1" applyFill="1" applyBorder="1" applyAlignment="1">
      <alignment horizontal="right" vertical="center"/>
    </xf>
    <xf numFmtId="49" fontId="34" fillId="0" borderId="5" xfId="0" applyNumberFormat="1" applyFont="1" applyFill="1" applyBorder="1" applyAlignment="1">
      <alignment horizontal="center" vertical="center" wrapText="1"/>
    </xf>
    <xf numFmtId="4" fontId="34" fillId="0" borderId="5" xfId="0" applyNumberFormat="1" applyFont="1" applyFill="1" applyBorder="1" applyAlignment="1">
      <alignment horizontal="left" vertical="center" wrapText="1"/>
    </xf>
    <xf numFmtId="4" fontId="34" fillId="0" borderId="5" xfId="0" applyNumberFormat="1" applyFont="1" applyFill="1" applyBorder="1" applyAlignment="1">
      <alignment vertical="center" wrapText="1"/>
    </xf>
    <xf numFmtId="4" fontId="34" fillId="0" borderId="5" xfId="0" applyNumberFormat="1" applyFont="1" applyFill="1" applyBorder="1" applyAlignment="1">
      <alignment horizontal="right" vertical="center"/>
    </xf>
    <xf numFmtId="3" fontId="34" fillId="0" borderId="23" xfId="0" applyNumberFormat="1" applyFont="1" applyFill="1" applyBorder="1" applyAlignment="1">
      <alignment horizontal="center" vertical="center"/>
    </xf>
    <xf numFmtId="49" fontId="34" fillId="0" borderId="23" xfId="0" applyNumberFormat="1" applyFont="1" applyFill="1" applyBorder="1" applyAlignment="1">
      <alignment horizontal="center" vertical="center" wrapText="1"/>
    </xf>
    <xf numFmtId="4" fontId="34" fillId="0" borderId="23" xfId="0" applyNumberFormat="1" applyFont="1" applyFill="1" applyBorder="1" applyAlignment="1">
      <alignment horizontal="left" vertical="center" wrapText="1"/>
    </xf>
    <xf numFmtId="4" fontId="34" fillId="0" borderId="23" xfId="0" applyNumberFormat="1" applyFont="1" applyFill="1" applyBorder="1" applyAlignment="1">
      <alignment vertical="center" wrapText="1"/>
    </xf>
    <xf numFmtId="4" fontId="35" fillId="0" borderId="23" xfId="0" applyNumberFormat="1" applyFont="1" applyFill="1" applyBorder="1" applyAlignment="1">
      <alignment horizontal="right" vertical="center"/>
    </xf>
    <xf numFmtId="3" fontId="34" fillId="0" borderId="51" xfId="0" applyNumberFormat="1" applyFont="1" applyFill="1" applyBorder="1" applyAlignment="1">
      <alignment horizontal="center" vertical="center"/>
    </xf>
    <xf numFmtId="49" fontId="35" fillId="0" borderId="30" xfId="0" applyNumberFormat="1" applyFont="1" applyFill="1" applyBorder="1" applyAlignment="1">
      <alignment horizontal="center" vertical="center"/>
    </xf>
    <xf numFmtId="4" fontId="34" fillId="0" borderId="16" xfId="0" applyNumberFormat="1" applyFont="1" applyFill="1" applyBorder="1" applyAlignment="1">
      <alignment horizontal="left" vertical="center" wrapText="1"/>
    </xf>
    <xf numFmtId="4" fontId="35" fillId="0" borderId="51" xfId="0" applyNumberFormat="1" applyFont="1" applyFill="1" applyBorder="1" applyAlignment="1">
      <alignment horizontal="left" vertical="center" wrapText="1"/>
    </xf>
    <xf numFmtId="4" fontId="35" fillId="0" borderId="51" xfId="0" applyNumberFormat="1" applyFont="1" applyFill="1" applyBorder="1" applyAlignment="1">
      <alignment horizontal="right" vertical="center"/>
    </xf>
    <xf numFmtId="4" fontId="34" fillId="0" borderId="49" xfId="0" applyNumberFormat="1" applyFont="1" applyFill="1" applyBorder="1" applyAlignment="1">
      <alignment horizontal="center" vertical="center"/>
    </xf>
    <xf numFmtId="49" fontId="35" fillId="0" borderId="24" xfId="0" applyNumberFormat="1" applyFont="1" applyFill="1" applyBorder="1" applyAlignment="1">
      <alignment horizontal="center" vertical="center"/>
    </xf>
    <xf numFmtId="4" fontId="34" fillId="0" borderId="48" xfId="0" applyNumberFormat="1" applyFont="1" applyFill="1" applyBorder="1" applyAlignment="1">
      <alignment horizontal="left" vertical="center" wrapText="1"/>
    </xf>
    <xf numFmtId="4" fontId="35" fillId="0" borderId="48" xfId="0" applyNumberFormat="1" applyFont="1" applyFill="1" applyBorder="1" applyAlignment="1">
      <alignment horizontal="left" vertical="center" wrapText="1"/>
    </xf>
    <xf numFmtId="4" fontId="35" fillId="0" borderId="48" xfId="0" applyNumberFormat="1" applyFont="1" applyFill="1" applyBorder="1" applyAlignment="1">
      <alignment horizontal="right" vertical="center"/>
    </xf>
    <xf numFmtId="4" fontId="37" fillId="0" borderId="0" xfId="0" applyNumberFormat="1" applyFont="1" applyFill="1"/>
    <xf numFmtId="49" fontId="38" fillId="0" borderId="0" xfId="0" applyNumberFormat="1" applyFont="1" applyFill="1" applyAlignment="1">
      <alignment horizontal="center" vertical="center"/>
    </xf>
    <xf numFmtId="4" fontId="34" fillId="0" borderId="0" xfId="0" applyNumberFormat="1" applyFont="1" applyFill="1" applyBorder="1" applyAlignment="1">
      <alignment horizontal="left" vertical="center" wrapText="1"/>
    </xf>
    <xf numFmtId="4" fontId="37" fillId="0" borderId="0" xfId="0" applyNumberFormat="1" applyFont="1" applyFill="1" applyAlignment="1">
      <alignment horizontal="left"/>
    </xf>
    <xf numFmtId="4" fontId="38" fillId="0" borderId="0" xfId="0" applyNumberFormat="1" applyFont="1" applyFill="1" applyAlignment="1">
      <alignment horizontal="left" vertical="center"/>
    </xf>
    <xf numFmtId="4" fontId="37" fillId="0" borderId="0" xfId="0" applyNumberFormat="1" applyFont="1" applyFill="1" applyAlignment="1">
      <alignment horizontal="left" vertical="center"/>
    </xf>
    <xf numFmtId="4" fontId="37" fillId="0" borderId="0" xfId="0" applyNumberFormat="1" applyFont="1" applyFill="1" applyAlignment="1">
      <alignment horizontal="right" vertical="center"/>
    </xf>
    <xf numFmtId="4" fontId="34" fillId="0" borderId="0" xfId="54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4" fontId="34" fillId="0" borderId="2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/>
    <xf numFmtId="0" fontId="16" fillId="0" borderId="2" xfId="0" applyFont="1" applyBorder="1"/>
    <xf numFmtId="0" fontId="16" fillId="0" borderId="0" xfId="0" applyFont="1" applyAlignment="1">
      <alignment horizontal="center"/>
    </xf>
    <xf numFmtId="4" fontId="36" fillId="0" borderId="43" xfId="0" applyNumberFormat="1" applyFont="1" applyFill="1" applyBorder="1" applyAlignment="1">
      <alignment horizontal="center" vertical="center"/>
    </xf>
    <xf numFmtId="4" fontId="36" fillId="0" borderId="1" xfId="0" applyNumberFormat="1" applyFont="1" applyFill="1" applyBorder="1" applyAlignment="1">
      <alignment horizontal="center" vertical="center"/>
    </xf>
    <xf numFmtId="49" fontId="39" fillId="0" borderId="1" xfId="0" applyNumberFormat="1" applyFont="1" applyFill="1" applyBorder="1" applyAlignment="1">
      <alignment horizontal="center" vertical="center"/>
    </xf>
    <xf numFmtId="49" fontId="34" fillId="0" borderId="1" xfId="0" applyNumberFormat="1" applyFont="1" applyFill="1" applyBorder="1" applyAlignment="1">
      <alignment horizontal="center" vertical="center"/>
    </xf>
    <xf numFmtId="4" fontId="34" fillId="0" borderId="1" xfId="0" applyNumberFormat="1" applyFont="1" applyFill="1" applyBorder="1" applyAlignment="1">
      <alignment horizontal="center" vertical="center" wrapText="1"/>
    </xf>
    <xf numFmtId="4" fontId="34" fillId="0" borderId="5" xfId="0" applyNumberFormat="1" applyFont="1" applyFill="1" applyBorder="1" applyAlignment="1">
      <alignment horizontal="center" vertical="center" wrapText="1"/>
    </xf>
    <xf numFmtId="4" fontId="34" fillId="0" borderId="1" xfId="0" applyNumberFormat="1" applyFont="1" applyFill="1" applyBorder="1" applyAlignment="1">
      <alignment horizontal="center" vertical="center"/>
    </xf>
    <xf numFmtId="4" fontId="34" fillId="0" borderId="5" xfId="0" applyNumberFormat="1" applyFont="1" applyFill="1" applyBorder="1" applyAlignment="1">
      <alignment horizontal="center" vertical="center"/>
    </xf>
    <xf numFmtId="0" fontId="16" fillId="0" borderId="0" xfId="2" applyFont="1"/>
    <xf numFmtId="0" fontId="7" fillId="0" borderId="5" xfId="49" applyFont="1" applyBorder="1" applyAlignment="1">
      <alignment horizontal="center" vertical="center" wrapText="1"/>
    </xf>
    <xf numFmtId="0" fontId="7" fillId="0" borderId="6" xfId="49" applyFont="1" applyBorder="1" applyAlignment="1">
      <alignment horizontal="center" vertical="center" wrapText="1"/>
    </xf>
    <xf numFmtId="0" fontId="7" fillId="0" borderId="4" xfId="5" applyFont="1" applyBorder="1" applyAlignment="1">
      <alignment horizontal="center"/>
    </xf>
    <xf numFmtId="0" fontId="7" fillId="0" borderId="0" xfId="5" applyFont="1" applyAlignment="1">
      <alignment horizontal="right"/>
    </xf>
    <xf numFmtId="0" fontId="11" fillId="0" borderId="0" xfId="25"/>
    <xf numFmtId="0" fontId="7" fillId="0" borderId="0" xfId="75" applyFont="1"/>
    <xf numFmtId="4" fontId="7" fillId="0" borderId="0" xfId="75" applyNumberFormat="1" applyFont="1"/>
    <xf numFmtId="0" fontId="16" fillId="0" borderId="0" xfId="75" applyFont="1" applyAlignment="1">
      <alignment horizontal="center"/>
    </xf>
    <xf numFmtId="4" fontId="7" fillId="0" borderId="0" xfId="75" applyNumberFormat="1" applyFont="1" applyBorder="1" applyAlignment="1">
      <alignment horizontal="center"/>
    </xf>
    <xf numFmtId="0" fontId="7" fillId="0" borderId="0" xfId="75" applyFont="1" applyBorder="1" applyAlignment="1">
      <alignment horizontal="center"/>
    </xf>
    <xf numFmtId="0" fontId="44" fillId="0" borderId="0" xfId="75" applyFont="1" applyAlignment="1">
      <alignment horizontal="center" vertical="center" wrapText="1"/>
    </xf>
    <xf numFmtId="0" fontId="44" fillId="0" borderId="0" xfId="75" applyFont="1" applyAlignment="1">
      <alignment horizontal="center" vertical="center"/>
    </xf>
    <xf numFmtId="3" fontId="7" fillId="0" borderId="55" xfId="75" applyNumberFormat="1" applyFont="1" applyBorder="1" applyAlignment="1">
      <alignment horizontal="center" vertical="center"/>
    </xf>
    <xf numFmtId="3" fontId="7" fillId="0" borderId="25" xfId="75" applyNumberFormat="1" applyFont="1" applyBorder="1" applyAlignment="1">
      <alignment horizontal="center" vertical="center"/>
    </xf>
    <xf numFmtId="3" fontId="7" fillId="0" borderId="44" xfId="75" applyNumberFormat="1" applyFont="1" applyBorder="1" applyAlignment="1">
      <alignment horizontal="center" vertical="center"/>
    </xf>
    <xf numFmtId="3" fontId="7" fillId="0" borderId="26" xfId="75" applyNumberFormat="1" applyFont="1" applyBorder="1" applyAlignment="1">
      <alignment horizontal="center" vertical="center"/>
    </xf>
    <xf numFmtId="0" fontId="11" fillId="0" borderId="0" xfId="25" applyBorder="1"/>
    <xf numFmtId="49" fontId="7" fillId="3" borderId="56" xfId="75" applyNumberFormat="1" applyFont="1" applyFill="1" applyBorder="1" applyAlignment="1">
      <alignment horizontal="center" vertical="center"/>
    </xf>
    <xf numFmtId="0" fontId="7" fillId="3" borderId="42" xfId="75" applyFont="1" applyFill="1" applyBorder="1" applyAlignment="1">
      <alignment vertical="center" wrapText="1"/>
    </xf>
    <xf numFmtId="172" fontId="42" fillId="3" borderId="33" xfId="75" applyNumberFormat="1" applyFont="1" applyFill="1" applyBorder="1" applyAlignment="1">
      <alignment vertical="center"/>
    </xf>
    <xf numFmtId="43" fontId="42" fillId="3" borderId="19" xfId="75" applyNumberFormat="1" applyFont="1" applyFill="1" applyBorder="1" applyAlignment="1">
      <alignment vertical="center"/>
    </xf>
    <xf numFmtId="166" fontId="42" fillId="3" borderId="19" xfId="75" applyNumberFormat="1" applyFont="1" applyFill="1" applyBorder="1" applyAlignment="1">
      <alignment vertical="center"/>
    </xf>
    <xf numFmtId="172" fontId="42" fillId="0" borderId="0" xfId="75" applyNumberFormat="1" applyFont="1" applyFill="1" applyBorder="1" applyAlignment="1">
      <alignment vertical="center"/>
    </xf>
    <xf numFmtId="43" fontId="42" fillId="0" borderId="0" xfId="75" applyNumberFormat="1" applyFont="1" applyFill="1" applyBorder="1" applyAlignment="1">
      <alignment vertical="center"/>
    </xf>
    <xf numFmtId="166" fontId="42" fillId="0" borderId="0" xfId="75" applyNumberFormat="1" applyFont="1" applyFill="1" applyBorder="1" applyAlignment="1">
      <alignment vertical="center"/>
    </xf>
    <xf numFmtId="0" fontId="11" fillId="0" borderId="0" xfId="25" applyFill="1" applyBorder="1"/>
    <xf numFmtId="49" fontId="7" fillId="0" borderId="35" xfId="75" applyNumberFormat="1" applyFont="1" applyFill="1" applyBorder="1" applyAlignment="1">
      <alignment horizontal="center" vertical="center"/>
    </xf>
    <xf numFmtId="4" fontId="7" fillId="0" borderId="48" xfId="75" applyNumberFormat="1" applyFont="1" applyFill="1" applyBorder="1" applyAlignment="1">
      <alignment vertical="center"/>
    </xf>
    <xf numFmtId="172" fontId="42" fillId="0" borderId="22" xfId="75" applyNumberFormat="1" applyFont="1" applyFill="1" applyBorder="1" applyAlignment="1">
      <alignment vertical="center"/>
    </xf>
    <xf numFmtId="166" fontId="42" fillId="0" borderId="24" xfId="75" applyNumberFormat="1" applyFont="1" applyFill="1" applyBorder="1" applyAlignment="1">
      <alignment vertical="center"/>
    </xf>
    <xf numFmtId="49" fontId="7" fillId="0" borderId="42" xfId="75" applyNumberFormat="1" applyFont="1" applyFill="1" applyBorder="1" applyAlignment="1">
      <alignment horizontal="center" vertical="center"/>
    </xf>
    <xf numFmtId="4" fontId="7" fillId="0" borderId="42" xfId="75" applyNumberFormat="1" applyFont="1" applyFill="1" applyBorder="1" applyAlignment="1">
      <alignment vertical="center"/>
    </xf>
    <xf numFmtId="172" fontId="42" fillId="0" borderId="20" xfId="75" applyNumberFormat="1" applyFont="1" applyFill="1" applyBorder="1" applyAlignment="1">
      <alignment vertical="center"/>
    </xf>
    <xf numFmtId="43" fontId="42" fillId="0" borderId="21" xfId="75" applyNumberFormat="1" applyFont="1" applyFill="1" applyBorder="1" applyAlignment="1">
      <alignment vertical="center"/>
    </xf>
    <xf numFmtId="166" fontId="42" fillId="0" borderId="30" xfId="75" applyNumberFormat="1" applyFont="1" applyFill="1" applyBorder="1" applyAlignment="1">
      <alignment vertical="center"/>
    </xf>
    <xf numFmtId="172" fontId="42" fillId="0" borderId="18" xfId="75" applyNumberFormat="1" applyFont="1" applyFill="1" applyBorder="1" applyAlignment="1">
      <alignment vertical="center"/>
    </xf>
    <xf numFmtId="166" fontId="42" fillId="0" borderId="19" xfId="75" applyNumberFormat="1" applyFont="1" applyFill="1" applyBorder="1" applyAlignment="1">
      <alignment vertical="center"/>
    </xf>
    <xf numFmtId="43" fontId="11" fillId="0" borderId="0" xfId="25" applyNumberFormat="1"/>
    <xf numFmtId="49" fontId="7" fillId="0" borderId="57" xfId="75" applyNumberFormat="1" applyFont="1" applyFill="1" applyBorder="1" applyAlignment="1">
      <alignment horizontal="center" vertical="center"/>
    </xf>
    <xf numFmtId="4" fontId="7" fillId="0" borderId="45" xfId="75" applyNumberFormat="1" applyFont="1" applyFill="1" applyBorder="1" applyAlignment="1">
      <alignment vertical="center"/>
    </xf>
    <xf numFmtId="172" fontId="42" fillId="0" borderId="28" xfId="75" applyNumberFormat="1" applyFont="1" applyFill="1" applyBorder="1" applyAlignment="1">
      <alignment vertical="center"/>
    </xf>
    <xf numFmtId="166" fontId="42" fillId="0" borderId="21" xfId="75" applyNumberFormat="1" applyFont="1" applyFill="1" applyBorder="1" applyAlignment="1">
      <alignment vertical="center"/>
    </xf>
    <xf numFmtId="43" fontId="42" fillId="0" borderId="24" xfId="75" applyNumberFormat="1" applyFont="1" applyFill="1" applyBorder="1" applyAlignment="1">
      <alignment vertical="center"/>
    </xf>
    <xf numFmtId="49" fontId="7" fillId="0" borderId="41" xfId="75" applyNumberFormat="1" applyFont="1" applyFill="1" applyBorder="1" applyAlignment="1">
      <alignment horizontal="center" vertical="center"/>
    </xf>
    <xf numFmtId="43" fontId="42" fillId="0" borderId="19" xfId="75" applyNumberFormat="1" applyFont="1" applyFill="1" applyBorder="1" applyAlignment="1">
      <alignment vertical="center"/>
    </xf>
    <xf numFmtId="49" fontId="7" fillId="0" borderId="56" xfId="75" applyNumberFormat="1" applyFont="1" applyFill="1" applyBorder="1" applyAlignment="1">
      <alignment horizontal="center" vertical="center"/>
    </xf>
    <xf numFmtId="166" fontId="42" fillId="0" borderId="58" xfId="75" applyNumberFormat="1" applyFont="1" applyFill="1" applyBorder="1" applyAlignment="1">
      <alignment vertical="center"/>
    </xf>
    <xf numFmtId="172" fontId="42" fillId="0" borderId="20" xfId="75" applyNumberFormat="1" applyFont="1" applyFill="1" applyBorder="1" applyAlignment="1">
      <alignment horizontal="center" vertical="center"/>
    </xf>
    <xf numFmtId="172" fontId="42" fillId="0" borderId="18" xfId="75" applyNumberFormat="1" applyFont="1" applyFill="1" applyBorder="1" applyAlignment="1">
      <alignment horizontal="center" vertical="center"/>
    </xf>
    <xf numFmtId="166" fontId="42" fillId="0" borderId="50" xfId="75" applyNumberFormat="1" applyFont="1" applyFill="1" applyBorder="1" applyAlignment="1">
      <alignment vertical="center"/>
    </xf>
    <xf numFmtId="49" fontId="16" fillId="0" borderId="40" xfId="75" applyNumberFormat="1" applyFont="1" applyFill="1" applyBorder="1" applyAlignment="1">
      <alignment horizontal="center" vertical="center"/>
    </xf>
    <xf numFmtId="4" fontId="31" fillId="0" borderId="43" xfId="75" applyNumberFormat="1" applyFont="1" applyFill="1" applyBorder="1" applyAlignment="1">
      <alignment vertical="center" wrapText="1"/>
    </xf>
    <xf numFmtId="172" fontId="46" fillId="0" borderId="52" xfId="75" applyNumberFormat="1" applyFont="1" applyFill="1" applyBorder="1" applyAlignment="1">
      <alignment vertical="center"/>
    </xf>
    <xf numFmtId="166" fontId="13" fillId="0" borderId="59" xfId="75" applyNumberFormat="1" applyFont="1" applyFill="1" applyBorder="1" applyAlignment="1">
      <alignment horizontal="right" vertical="center"/>
    </xf>
    <xf numFmtId="172" fontId="13" fillId="0" borderId="52" xfId="75" applyNumberFormat="1" applyFont="1" applyFill="1" applyBorder="1" applyAlignment="1">
      <alignment vertical="center"/>
    </xf>
    <xf numFmtId="172" fontId="46" fillId="0" borderId="0" xfId="75" applyNumberFormat="1" applyFont="1" applyFill="1" applyBorder="1" applyAlignment="1">
      <alignment vertical="center"/>
    </xf>
    <xf numFmtId="166" fontId="13" fillId="0" borderId="0" xfId="75" applyNumberFormat="1" applyFont="1" applyFill="1" applyBorder="1" applyAlignment="1">
      <alignment horizontal="right" vertical="center"/>
    </xf>
    <xf numFmtId="49" fontId="16" fillId="0" borderId="56" xfId="75" applyNumberFormat="1" applyFont="1" applyFill="1" applyBorder="1" applyAlignment="1">
      <alignment horizontal="center" vertical="center"/>
    </xf>
    <xf numFmtId="4" fontId="31" fillId="0" borderId="45" xfId="75" applyNumberFormat="1" applyFont="1" applyFill="1" applyBorder="1" applyAlignment="1">
      <alignment vertical="center" wrapText="1"/>
    </xf>
    <xf numFmtId="172" fontId="46" fillId="0" borderId="56" xfId="75" applyNumberFormat="1" applyFont="1" applyFill="1" applyBorder="1" applyAlignment="1">
      <alignment vertical="center"/>
    </xf>
    <xf numFmtId="166" fontId="13" fillId="0" borderId="21" xfId="75" applyNumberFormat="1" applyFont="1" applyFill="1" applyBorder="1" applyAlignment="1">
      <alignment horizontal="right" vertical="center"/>
    </xf>
    <xf numFmtId="172" fontId="13" fillId="0" borderId="56" xfId="75" applyNumberFormat="1" applyFont="1" applyFill="1" applyBorder="1" applyAlignment="1">
      <alignment vertical="center"/>
    </xf>
    <xf numFmtId="49" fontId="16" fillId="0" borderId="54" xfId="75" applyNumberFormat="1" applyFont="1" applyFill="1" applyBorder="1" applyAlignment="1">
      <alignment horizontal="center" vertical="center"/>
    </xf>
    <xf numFmtId="4" fontId="31" fillId="0" borderId="49" xfId="75" applyNumberFormat="1" applyFont="1" applyFill="1" applyBorder="1" applyAlignment="1">
      <alignment vertical="center" wrapText="1"/>
    </xf>
    <xf numFmtId="172" fontId="46" fillId="0" borderId="54" xfId="75" applyNumberFormat="1" applyFont="1" applyFill="1" applyBorder="1" applyAlignment="1">
      <alignment vertical="center"/>
    </xf>
    <xf numFmtId="166" fontId="13" fillId="0" borderId="58" xfId="75" applyNumberFormat="1" applyFont="1" applyFill="1" applyBorder="1" applyAlignment="1">
      <alignment horizontal="right" vertical="center"/>
    </xf>
    <xf numFmtId="172" fontId="13" fillId="0" borderId="54" xfId="75" applyNumberFormat="1" applyFont="1" applyFill="1" applyBorder="1" applyAlignment="1">
      <alignment vertical="center"/>
    </xf>
    <xf numFmtId="49" fontId="7" fillId="0" borderId="40" xfId="75" applyNumberFormat="1" applyFont="1" applyFill="1" applyBorder="1" applyAlignment="1">
      <alignment horizontal="center" vertical="center"/>
    </xf>
    <xf numFmtId="4" fontId="7" fillId="0" borderId="60" xfId="75" applyNumberFormat="1" applyFont="1" applyFill="1" applyBorder="1" applyAlignment="1">
      <alignment vertical="center"/>
    </xf>
    <xf numFmtId="43" fontId="42" fillId="0" borderId="29" xfId="75" applyNumberFormat="1" applyFont="1" applyFill="1" applyBorder="1" applyAlignment="1">
      <alignment vertical="center"/>
    </xf>
    <xf numFmtId="166" fontId="42" fillId="0" borderId="61" xfId="75" applyNumberFormat="1" applyFont="1" applyFill="1" applyBorder="1" applyAlignment="1">
      <alignment vertical="center"/>
    </xf>
    <xf numFmtId="166" fontId="42" fillId="0" borderId="29" xfId="75" applyNumberFormat="1" applyFont="1" applyFill="1" applyBorder="1" applyAlignment="1">
      <alignment vertical="center"/>
    </xf>
    <xf numFmtId="0" fontId="11" fillId="3" borderId="55" xfId="75" applyNumberFormat="1" applyFont="1" applyFill="1" applyBorder="1" applyAlignment="1">
      <alignment horizontal="center" vertical="center"/>
    </xf>
    <xf numFmtId="0" fontId="11" fillId="0" borderId="42" xfId="75" applyNumberFormat="1" applyFont="1" applyFill="1" applyBorder="1" applyAlignment="1">
      <alignment horizontal="center" vertical="center"/>
    </xf>
    <xf numFmtId="4" fontId="11" fillId="0" borderId="62" xfId="75" applyNumberFormat="1" applyFont="1" applyFill="1" applyBorder="1" applyAlignment="1">
      <alignment vertical="center"/>
    </xf>
    <xf numFmtId="166" fontId="11" fillId="0" borderId="53" xfId="75" applyNumberFormat="1" applyFont="1" applyFill="1" applyBorder="1" applyAlignment="1">
      <alignment vertical="center"/>
    </xf>
    <xf numFmtId="166" fontId="48" fillId="0" borderId="61" xfId="75" applyNumberFormat="1" applyFont="1" applyFill="1" applyBorder="1" applyAlignment="1">
      <alignment vertical="center"/>
    </xf>
    <xf numFmtId="166" fontId="48" fillId="0" borderId="53" xfId="75" applyNumberFormat="1" applyFont="1" applyFill="1" applyBorder="1" applyAlignment="1">
      <alignment vertical="center"/>
    </xf>
    <xf numFmtId="166" fontId="48" fillId="0" borderId="59" xfId="75" applyNumberFormat="1" applyFont="1" applyFill="1" applyBorder="1" applyAlignment="1">
      <alignment vertical="center"/>
    </xf>
    <xf numFmtId="166" fontId="11" fillId="0" borderId="0" xfId="75" applyNumberFormat="1" applyFont="1" applyFill="1" applyBorder="1" applyAlignment="1">
      <alignment vertical="center"/>
    </xf>
    <xf numFmtId="166" fontId="48" fillId="0" borderId="0" xfId="75" applyNumberFormat="1" applyFont="1" applyFill="1" applyBorder="1" applyAlignment="1">
      <alignment vertical="center"/>
    </xf>
    <xf numFmtId="0" fontId="11" fillId="0" borderId="45" xfId="75" applyNumberFormat="1" applyFont="1" applyFill="1" applyBorder="1" applyAlignment="1">
      <alignment horizontal="center" vertical="center"/>
    </xf>
    <xf numFmtId="4" fontId="11" fillId="0" borderId="45" xfId="75" applyNumberFormat="1" applyFont="1" applyFill="1" applyBorder="1" applyAlignment="1">
      <alignment vertical="center"/>
    </xf>
    <xf numFmtId="166" fontId="11" fillId="0" borderId="56" xfId="75" applyNumberFormat="1" applyFont="1" applyFill="1" applyBorder="1" applyAlignment="1">
      <alignment vertical="center"/>
    </xf>
    <xf numFmtId="166" fontId="48" fillId="0" borderId="21" xfId="75" applyNumberFormat="1" applyFont="1" applyFill="1" applyBorder="1" applyAlignment="1">
      <alignment vertical="center"/>
    </xf>
    <xf numFmtId="166" fontId="48" fillId="0" borderId="56" xfId="75" applyNumberFormat="1" applyFont="1" applyFill="1" applyBorder="1" applyAlignment="1">
      <alignment vertical="center"/>
    </xf>
    <xf numFmtId="0" fontId="11" fillId="0" borderId="48" xfId="75" applyNumberFormat="1" applyFont="1" applyFill="1" applyBorder="1" applyAlignment="1">
      <alignment horizontal="center" vertical="center"/>
    </xf>
    <xf numFmtId="4" fontId="11" fillId="0" borderId="50" xfId="75" applyNumberFormat="1" applyFont="1" applyFill="1" applyBorder="1" applyAlignment="1">
      <alignment vertical="center" wrapText="1"/>
    </xf>
    <xf numFmtId="166" fontId="11" fillId="0" borderId="35" xfId="75" applyNumberFormat="1" applyFont="1" applyFill="1" applyBorder="1" applyAlignment="1">
      <alignment vertical="center"/>
    </xf>
    <xf numFmtId="166" fontId="48" fillId="0" borderId="24" xfId="75" applyNumberFormat="1" applyFont="1" applyFill="1" applyBorder="1" applyAlignment="1">
      <alignment vertical="center"/>
    </xf>
    <xf numFmtId="166" fontId="48" fillId="0" borderId="35" xfId="75" applyNumberFormat="1" applyFont="1" applyFill="1" applyBorder="1" applyAlignment="1">
      <alignment vertical="center"/>
    </xf>
    <xf numFmtId="0" fontId="11" fillId="0" borderId="60" xfId="75" applyNumberFormat="1" applyFont="1" applyFill="1" applyBorder="1" applyAlignment="1">
      <alignment horizontal="center" vertical="center"/>
    </xf>
    <xf numFmtId="4" fontId="47" fillId="0" borderId="63" xfId="75" applyNumberFormat="1" applyFont="1" applyFill="1" applyBorder="1" applyAlignment="1">
      <alignment vertical="center" wrapText="1"/>
    </xf>
    <xf numFmtId="166" fontId="11" fillId="0" borderId="52" xfId="75" applyNumberFormat="1" applyFont="1" applyFill="1" applyBorder="1" applyAlignment="1">
      <alignment horizontal="right" vertical="center"/>
    </xf>
    <xf numFmtId="166" fontId="48" fillId="0" borderId="52" xfId="75" applyNumberFormat="1" applyFont="1" applyFill="1" applyBorder="1" applyAlignment="1">
      <alignment vertical="center"/>
    </xf>
    <xf numFmtId="4" fontId="47" fillId="0" borderId="46" xfId="75" applyNumberFormat="1" applyFont="1" applyFill="1" applyBorder="1" applyAlignment="1">
      <alignment vertical="center" wrapText="1"/>
    </xf>
    <xf numFmtId="166" fontId="11" fillId="0" borderId="56" xfId="75" applyNumberFormat="1" applyFont="1" applyFill="1" applyBorder="1" applyAlignment="1">
      <alignment horizontal="right" vertical="center"/>
    </xf>
    <xf numFmtId="0" fontId="11" fillId="0" borderId="49" xfId="75" applyNumberFormat="1" applyFont="1" applyFill="1" applyBorder="1" applyAlignment="1">
      <alignment horizontal="center" vertical="center"/>
    </xf>
    <xf numFmtId="4" fontId="47" fillId="0" borderId="50" xfId="75" applyNumberFormat="1" applyFont="1" applyFill="1" applyBorder="1" applyAlignment="1">
      <alignment vertical="center"/>
    </xf>
    <xf numFmtId="166" fontId="47" fillId="0" borderId="54" xfId="75" applyNumberFormat="1" applyFont="1" applyFill="1" applyBorder="1" applyAlignment="1">
      <alignment horizontal="right" vertical="center"/>
    </xf>
    <xf numFmtId="166" fontId="49" fillId="0" borderId="58" xfId="75" applyNumberFormat="1" applyFont="1" applyFill="1" applyBorder="1" applyAlignment="1">
      <alignment vertical="center"/>
    </xf>
    <xf numFmtId="166" fontId="49" fillId="0" borderId="54" xfId="75" applyNumberFormat="1" applyFont="1" applyFill="1" applyBorder="1" applyAlignment="1">
      <alignment vertical="center"/>
    </xf>
    <xf numFmtId="0" fontId="47" fillId="0" borderId="60" xfId="75" applyNumberFormat="1" applyFont="1" applyFill="1" applyBorder="1" applyAlignment="1">
      <alignment horizontal="center" vertical="center"/>
    </xf>
    <xf numFmtId="2" fontId="11" fillId="0" borderId="0" xfId="25" applyNumberFormat="1"/>
    <xf numFmtId="0" fontId="47" fillId="0" borderId="45" xfId="75" applyNumberFormat="1" applyFont="1" applyFill="1" applyBorder="1" applyAlignment="1">
      <alignment horizontal="center" vertical="center"/>
    </xf>
    <xf numFmtId="0" fontId="47" fillId="0" borderId="49" xfId="75" applyNumberFormat="1" applyFont="1" applyFill="1" applyBorder="1" applyAlignment="1">
      <alignment horizontal="center" vertical="center"/>
    </xf>
    <xf numFmtId="4" fontId="47" fillId="0" borderId="50" xfId="75" applyNumberFormat="1" applyFont="1" applyFill="1" applyBorder="1" applyAlignment="1">
      <alignment vertical="center" wrapText="1"/>
    </xf>
    <xf numFmtId="166" fontId="11" fillId="0" borderId="54" xfId="75" applyNumberFormat="1" applyFont="1" applyFill="1" applyBorder="1" applyAlignment="1">
      <alignment horizontal="right" vertical="center"/>
    </xf>
    <xf numFmtId="166" fontId="11" fillId="0" borderId="0" xfId="75" applyNumberFormat="1" applyFont="1" applyFill="1" applyBorder="1" applyAlignment="1">
      <alignment horizontal="right" vertical="center"/>
    </xf>
    <xf numFmtId="0" fontId="42" fillId="0" borderId="0" xfId="25" applyFont="1"/>
    <xf numFmtId="166" fontId="47" fillId="0" borderId="0" xfId="75" applyNumberFormat="1" applyFont="1" applyFill="1" applyBorder="1" applyAlignment="1">
      <alignment horizontal="right" vertical="center"/>
    </xf>
    <xf numFmtId="166" fontId="49" fillId="0" borderId="0" xfId="75" applyNumberFormat="1" applyFont="1" applyFill="1" applyBorder="1" applyAlignment="1">
      <alignment vertical="center"/>
    </xf>
    <xf numFmtId="0" fontId="42" fillId="0" borderId="0" xfId="17" applyFont="1"/>
    <xf numFmtId="2" fontId="50" fillId="0" borderId="0" xfId="74" applyNumberFormat="1" applyFont="1"/>
    <xf numFmtId="0" fontId="34" fillId="0" borderId="0" xfId="63" applyFont="1" applyAlignment="1">
      <alignment vertical="center" wrapText="1"/>
    </xf>
    <xf numFmtId="0" fontId="42" fillId="0" borderId="0" xfId="15" applyFont="1" applyAlignment="1">
      <alignment horizontal="center" vertical="top" wrapText="1"/>
    </xf>
    <xf numFmtId="0" fontId="42" fillId="0" borderId="0" xfId="15" applyFont="1" applyAlignment="1">
      <alignment vertical="top" wrapText="1"/>
    </xf>
    <xf numFmtId="0" fontId="13" fillId="0" borderId="0" xfId="17" applyFont="1"/>
    <xf numFmtId="43" fontId="1" fillId="0" borderId="0" xfId="32" applyFont="1"/>
    <xf numFmtId="0" fontId="51" fillId="2" borderId="0" xfId="4" applyFont="1" applyFill="1" applyAlignment="1">
      <alignment vertical="center"/>
    </xf>
    <xf numFmtId="0" fontId="55" fillId="2" borderId="0" xfId="4" applyFont="1" applyFill="1" applyAlignment="1">
      <alignment horizontal="left" vertical="center"/>
    </xf>
    <xf numFmtId="0" fontId="56" fillId="2" borderId="0" xfId="4" applyFont="1" applyFill="1" applyAlignment="1">
      <alignment vertical="center"/>
    </xf>
    <xf numFmtId="0" fontId="56" fillId="2" borderId="0" xfId="5" applyFont="1" applyFill="1" applyAlignment="1">
      <alignment vertical="center"/>
    </xf>
    <xf numFmtId="0" fontId="56" fillId="2" borderId="0" xfId="6" applyFont="1" applyFill="1" applyAlignment="1">
      <alignment vertical="top"/>
    </xf>
    <xf numFmtId="0" fontId="32" fillId="2" borderId="1" xfId="7" applyFont="1" applyFill="1" applyBorder="1" applyAlignment="1">
      <alignment horizontal="center" vertical="center" wrapText="1"/>
    </xf>
    <xf numFmtId="4" fontId="32" fillId="2" borderId="1" xfId="13" applyNumberFormat="1" applyFont="1" applyFill="1" applyBorder="1" applyAlignment="1">
      <alignment horizontal="center" vertical="center" wrapText="1"/>
    </xf>
    <xf numFmtId="4" fontId="32" fillId="2" borderId="1" xfId="12" applyNumberFormat="1" applyFont="1" applyFill="1" applyBorder="1" applyAlignment="1">
      <alignment horizontal="center" vertical="center" wrapText="1"/>
    </xf>
    <xf numFmtId="0" fontId="60" fillId="2" borderId="0" xfId="6" applyFont="1" applyFill="1" applyAlignment="1">
      <alignment vertical="center"/>
    </xf>
    <xf numFmtId="0" fontId="56" fillId="2" borderId="0" xfId="6" applyFont="1" applyFill="1" applyAlignment="1">
      <alignment vertical="center"/>
    </xf>
    <xf numFmtId="0" fontId="55" fillId="2" borderId="0" xfId="6" applyFont="1" applyFill="1" applyAlignment="1">
      <alignment horizontal="left" vertical="center"/>
    </xf>
    <xf numFmtId="164" fontId="20" fillId="0" borderId="0" xfId="0" applyNumberFormat="1" applyFont="1" applyAlignment="1">
      <alignment horizontal="right"/>
    </xf>
    <xf numFmtId="0" fontId="7" fillId="0" borderId="0" xfId="5" applyFont="1" applyBorder="1" applyAlignment="1"/>
    <xf numFmtId="0" fontId="7" fillId="0" borderId="0" xfId="5" applyFont="1" applyBorder="1" applyAlignment="1">
      <alignment vertical="top"/>
    </xf>
    <xf numFmtId="0" fontId="7" fillId="0" borderId="0" xfId="5" applyFont="1" applyBorder="1" applyAlignment="1">
      <alignment vertical="top" wrapText="1"/>
    </xf>
    <xf numFmtId="0" fontId="7" fillId="0" borderId="0" xfId="49" applyFont="1" applyBorder="1"/>
    <xf numFmtId="0" fontId="7" fillId="0" borderId="0" xfId="5" quotePrefix="1" applyFont="1" applyBorder="1" applyAlignment="1"/>
    <xf numFmtId="49" fontId="7" fillId="0" borderId="0" xfId="5" applyNumberFormat="1" applyFont="1" applyBorder="1" applyAlignment="1"/>
    <xf numFmtId="0" fontId="7" fillId="0" borderId="0" xfId="5" applyFont="1" applyBorder="1"/>
    <xf numFmtId="14" fontId="7" fillId="0" borderId="0" xfId="5" applyNumberFormat="1" applyFont="1" applyBorder="1" applyAlignment="1"/>
    <xf numFmtId="0" fontId="13" fillId="0" borderId="0" xfId="25" applyFont="1" applyAlignment="1">
      <alignment horizontal="left" vertical="top" wrapText="1"/>
    </xf>
    <xf numFmtId="0" fontId="19" fillId="0" borderId="0" xfId="0" applyFont="1" applyAlignment="1">
      <alignment wrapText="1"/>
    </xf>
    <xf numFmtId="4" fontId="11" fillId="0" borderId="0" xfId="25" applyNumberFormat="1"/>
    <xf numFmtId="168" fontId="0" fillId="0" borderId="0" xfId="0" applyNumberFormat="1"/>
    <xf numFmtId="0" fontId="35" fillId="0" borderId="9" xfId="26" applyFont="1" applyFill="1" applyBorder="1" applyAlignment="1">
      <alignment wrapText="1"/>
    </xf>
    <xf numFmtId="0" fontId="35" fillId="0" borderId="10" xfId="26" applyFont="1" applyFill="1" applyBorder="1" applyAlignment="1">
      <alignment wrapText="1"/>
    </xf>
    <xf numFmtId="0" fontId="68" fillId="0" borderId="4" xfId="26" applyFont="1" applyFill="1" applyBorder="1" applyAlignment="1">
      <alignment horizontal="right" wrapText="1"/>
    </xf>
    <xf numFmtId="0" fontId="68" fillId="0" borderId="9" xfId="26" applyFont="1" applyFill="1" applyBorder="1" applyAlignment="1">
      <alignment horizontal="left" wrapText="1"/>
    </xf>
    <xf numFmtId="0" fontId="34" fillId="0" borderId="4" xfId="26" applyFont="1" applyFill="1" applyBorder="1" applyAlignment="1">
      <alignment horizontal="right" wrapText="1"/>
    </xf>
    <xf numFmtId="0" fontId="34" fillId="0" borderId="9" xfId="26" applyFont="1" applyFill="1" applyBorder="1" applyAlignment="1">
      <alignment horizontal="right" wrapText="1"/>
    </xf>
    <xf numFmtId="0" fontId="68" fillId="0" borderId="10" xfId="26" applyFont="1" applyFill="1" applyBorder="1" applyAlignment="1">
      <alignment horizontal="left" wrapText="1"/>
    </xf>
    <xf numFmtId="167" fontId="0" fillId="0" borderId="0" xfId="0" applyNumberFormat="1"/>
    <xf numFmtId="170" fontId="0" fillId="0" borderId="0" xfId="0" applyNumberFormat="1"/>
    <xf numFmtId="0" fontId="33" fillId="2" borderId="7" xfId="5" applyFont="1" applyFill="1" applyBorder="1" applyAlignment="1">
      <alignment horizontal="center" vertical="center" wrapText="1"/>
    </xf>
    <xf numFmtId="0" fontId="33" fillId="2" borderId="7" xfId="4" applyFont="1" applyFill="1" applyBorder="1" applyAlignment="1">
      <alignment horizontal="center" vertical="center" wrapText="1"/>
    </xf>
    <xf numFmtId="0" fontId="53" fillId="2" borderId="0" xfId="4" applyFont="1" applyFill="1" applyAlignment="1">
      <alignment vertical="center" wrapText="1"/>
    </xf>
    <xf numFmtId="0" fontId="53" fillId="2" borderId="0" xfId="4" applyFont="1" applyFill="1" applyAlignment="1">
      <alignment vertical="center"/>
    </xf>
    <xf numFmtId="0" fontId="54" fillId="2" borderId="0" xfId="4" applyFont="1" applyFill="1" applyAlignment="1">
      <alignment horizontal="left" vertical="center"/>
    </xf>
    <xf numFmtId="0" fontId="52" fillId="2" borderId="0" xfId="4" applyFont="1" applyFill="1" applyAlignment="1">
      <alignment vertical="center"/>
    </xf>
    <xf numFmtId="0" fontId="54" fillId="2" borderId="0" xfId="4" applyFont="1" applyFill="1" applyAlignment="1">
      <alignment vertical="center" wrapText="1"/>
    </xf>
    <xf numFmtId="0" fontId="54" fillId="2" borderId="0" xfId="4" applyFont="1" applyFill="1" applyAlignment="1">
      <alignment vertical="center"/>
    </xf>
    <xf numFmtId="0" fontId="57" fillId="2" borderId="0" xfId="5" applyFont="1" applyFill="1" applyAlignment="1">
      <alignment horizontal="center"/>
    </xf>
    <xf numFmtId="0" fontId="58" fillId="2" borderId="0" xfId="5" applyFont="1" applyFill="1" applyAlignment="1">
      <alignment horizontal="center"/>
    </xf>
    <xf numFmtId="49" fontId="32" fillId="2" borderId="1" xfId="8" applyNumberFormat="1" applyFont="1" applyFill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/>
    </xf>
    <xf numFmtId="4" fontId="34" fillId="2" borderId="5" xfId="0" applyNumberFormat="1" applyFont="1" applyFill="1" applyBorder="1" applyAlignment="1">
      <alignment horizontal="left" vertical="center" wrapText="1"/>
    </xf>
    <xf numFmtId="4" fontId="34" fillId="2" borderId="1" xfId="0" applyNumberFormat="1" applyFont="1" applyFill="1" applyBorder="1" applyAlignment="1">
      <alignment horizontal="center" vertical="center" wrapText="1"/>
    </xf>
    <xf numFmtId="4" fontId="32" fillId="2" borderId="1" xfId="37" applyNumberFormat="1" applyFont="1" applyFill="1" applyBorder="1" applyAlignment="1">
      <alignment horizontal="center" vertical="center" wrapText="1"/>
    </xf>
    <xf numFmtId="4" fontId="33" fillId="2" borderId="1" xfId="12" applyNumberFormat="1" applyFont="1" applyFill="1" applyBorder="1" applyAlignment="1">
      <alignment horizontal="center" vertical="center" wrapText="1"/>
    </xf>
    <xf numFmtId="168" fontId="32" fillId="2" borderId="1" xfId="23" applyNumberFormat="1" applyFont="1" applyFill="1" applyBorder="1" applyAlignment="1">
      <alignment horizontal="center" vertical="center" wrapText="1"/>
    </xf>
    <xf numFmtId="4" fontId="56" fillId="2" borderId="0" xfId="5" applyNumberFormat="1" applyFont="1" applyFill="1" applyAlignment="1">
      <alignment vertical="center"/>
    </xf>
    <xf numFmtId="4" fontId="34" fillId="2" borderId="5" xfId="0" applyNumberFormat="1" applyFont="1" applyFill="1" applyBorder="1" applyAlignment="1">
      <alignment horizontal="center" vertical="center" wrapText="1"/>
    </xf>
    <xf numFmtId="0" fontId="33" fillId="2" borderId="1" xfId="5" applyFont="1" applyFill="1" applyBorder="1" applyAlignment="1">
      <alignment horizontal="center" vertical="center"/>
    </xf>
    <xf numFmtId="49" fontId="61" fillId="2" borderId="1" xfId="5" applyNumberFormat="1" applyFont="1" applyFill="1" applyBorder="1" applyAlignment="1">
      <alignment horizontal="center" vertical="center" wrapText="1"/>
    </xf>
    <xf numFmtId="49" fontId="33" fillId="2" borderId="1" xfId="2" applyNumberFormat="1" applyFont="1" applyFill="1" applyBorder="1" applyAlignment="1">
      <alignment horizontal="left" vertical="center" wrapText="1"/>
    </xf>
    <xf numFmtId="4" fontId="62" fillId="2" borderId="1" xfId="12" applyNumberFormat="1" applyFont="1" applyFill="1" applyBorder="1" applyAlignment="1">
      <alignment horizontal="center" vertical="center" wrapText="1"/>
    </xf>
    <xf numFmtId="0" fontId="32" fillId="2" borderId="1" xfId="5" applyFont="1" applyFill="1" applyBorder="1" applyAlignment="1">
      <alignment horizontal="center" vertical="center"/>
    </xf>
    <xf numFmtId="49" fontId="32" fillId="2" borderId="1" xfId="5" applyNumberFormat="1" applyFont="1" applyFill="1" applyBorder="1" applyAlignment="1">
      <alignment horizontal="center" vertical="center" wrapText="1"/>
    </xf>
    <xf numFmtId="0" fontId="32" fillId="2" borderId="1" xfId="11" applyFont="1" applyFill="1" applyBorder="1" applyAlignment="1">
      <alignment horizontal="center" vertical="center" wrapText="1"/>
    </xf>
    <xf numFmtId="49" fontId="32" fillId="2" borderId="1" xfId="5" applyNumberFormat="1" applyFont="1" applyFill="1" applyBorder="1" applyAlignment="1">
      <alignment horizontal="left" vertical="center" wrapText="1"/>
    </xf>
    <xf numFmtId="0" fontId="60" fillId="2" borderId="1" xfId="5" applyFont="1" applyFill="1" applyBorder="1" applyAlignment="1">
      <alignment vertical="center"/>
    </xf>
    <xf numFmtId="0" fontId="60" fillId="2" borderId="0" xfId="5" applyFont="1" applyFill="1" applyAlignment="1">
      <alignment vertical="center"/>
    </xf>
    <xf numFmtId="0" fontId="32" fillId="2" borderId="1" xfId="5" applyNumberFormat="1" applyFont="1" applyFill="1" applyBorder="1" applyAlignment="1">
      <alignment horizontal="center" vertical="center" wrapText="1"/>
    </xf>
    <xf numFmtId="49" fontId="33" fillId="2" borderId="1" xfId="5" applyNumberFormat="1" applyFont="1" applyFill="1" applyBorder="1" applyAlignment="1">
      <alignment horizontal="center" vertical="center" wrapText="1"/>
    </xf>
    <xf numFmtId="49" fontId="33" fillId="2" borderId="1" xfId="5" applyNumberFormat="1" applyFont="1" applyFill="1" applyBorder="1" applyAlignment="1">
      <alignment horizontal="left" vertical="center" wrapText="1"/>
    </xf>
    <xf numFmtId="0" fontId="5" fillId="2" borderId="0" xfId="5" applyFont="1" applyFill="1" applyBorder="1" applyAlignment="1">
      <alignment horizontal="center" vertical="center"/>
    </xf>
    <xf numFmtId="49" fontId="55" fillId="2" borderId="0" xfId="5" applyNumberFormat="1" applyFont="1" applyFill="1" applyBorder="1" applyAlignment="1">
      <alignment horizontal="center" vertical="center" wrapText="1"/>
    </xf>
    <xf numFmtId="0" fontId="55" fillId="2" borderId="0" xfId="5" applyFont="1" applyFill="1" applyBorder="1" applyAlignment="1">
      <alignment horizontal="center" vertical="center" wrapText="1"/>
    </xf>
    <xf numFmtId="0" fontId="53" fillId="2" borderId="0" xfId="62" applyNumberFormat="1" applyFont="1" applyFill="1" applyBorder="1" applyAlignment="1"/>
    <xf numFmtId="0" fontId="63" fillId="2" borderId="0" xfId="5" applyFont="1" applyFill="1" applyAlignment="1">
      <alignment vertical="center"/>
    </xf>
    <xf numFmtId="168" fontId="52" fillId="2" borderId="0" xfId="77" applyNumberFormat="1" applyFont="1" applyFill="1" applyBorder="1"/>
    <xf numFmtId="0" fontId="64" fillId="2" borderId="0" xfId="78" applyFont="1" applyFill="1" applyBorder="1" applyAlignment="1"/>
    <xf numFmtId="0" fontId="56" fillId="2" borderId="2" xfId="0" applyFont="1" applyFill="1" applyBorder="1" applyAlignment="1"/>
    <xf numFmtId="0" fontId="56" fillId="2" borderId="0" xfId="0" applyFont="1" applyFill="1" applyAlignment="1"/>
    <xf numFmtId="0" fontId="66" fillId="2" borderId="2" xfId="26" applyFont="1" applyFill="1" applyBorder="1"/>
    <xf numFmtId="0" fontId="64" fillId="2" borderId="2" xfId="26" applyFont="1" applyFill="1" applyBorder="1"/>
    <xf numFmtId="0" fontId="63" fillId="2" borderId="0" xfId="62" applyNumberFormat="1" applyFont="1" applyFill="1" applyBorder="1" applyAlignment="1"/>
    <xf numFmtId="168" fontId="54" fillId="2" borderId="0" xfId="77" applyNumberFormat="1" applyFont="1" applyFill="1"/>
    <xf numFmtId="168" fontId="67" fillId="2" borderId="0" xfId="77" applyNumberFormat="1" applyFont="1" applyFill="1" applyBorder="1"/>
    <xf numFmtId="49" fontId="67" fillId="2" borderId="0" xfId="77" applyNumberFormat="1" applyFont="1" applyFill="1" applyBorder="1"/>
    <xf numFmtId="168" fontId="67" fillId="2" borderId="0" xfId="77" applyNumberFormat="1" applyFont="1" applyFill="1" applyBorder="1" applyAlignment="1">
      <alignment horizontal="center" wrapText="1"/>
    </xf>
    <xf numFmtId="168" fontId="67" fillId="2" borderId="0" xfId="77" applyNumberFormat="1" applyFont="1" applyFill="1" applyBorder="1" applyAlignment="1">
      <alignment horizontal="left" wrapText="1"/>
    </xf>
    <xf numFmtId="168" fontId="67" fillId="2" borderId="0" xfId="77" applyNumberFormat="1" applyFont="1" applyFill="1" applyBorder="1" applyAlignment="1">
      <alignment horizontal="left"/>
    </xf>
    <xf numFmtId="168" fontId="67" fillId="2" borderId="0" xfId="77" applyNumberFormat="1" applyFont="1" applyFill="1" applyBorder="1" applyAlignment="1"/>
    <xf numFmtId="168" fontId="56" fillId="2" borderId="0" xfId="77" applyNumberFormat="1" applyFont="1" applyFill="1"/>
    <xf numFmtId="49" fontId="56" fillId="2" borderId="0" xfId="77" applyNumberFormat="1" applyFont="1" applyFill="1"/>
    <xf numFmtId="168" fontId="56" fillId="2" borderId="0" xfId="77" applyNumberFormat="1" applyFont="1" applyFill="1" applyAlignment="1">
      <alignment horizontal="center" wrapText="1"/>
    </xf>
    <xf numFmtId="168" fontId="56" fillId="2" borderId="0" xfId="77" applyNumberFormat="1" applyFont="1" applyFill="1" applyAlignment="1">
      <alignment horizontal="left" wrapText="1"/>
    </xf>
    <xf numFmtId="168" fontId="56" fillId="2" borderId="0" xfId="77" applyNumberFormat="1" applyFont="1" applyFill="1" applyAlignment="1">
      <alignment horizontal="left"/>
    </xf>
    <xf numFmtId="168" fontId="56" fillId="2" borderId="0" xfId="77" applyNumberFormat="1" applyFont="1" applyFill="1" applyAlignment="1"/>
    <xf numFmtId="0" fontId="63" fillId="2" borderId="0" xfId="79" applyNumberFormat="1" applyFont="1" applyFill="1" applyBorder="1" applyAlignment="1"/>
    <xf numFmtId="0" fontId="53" fillId="2" borderId="0" xfId="79" applyNumberFormat="1" applyFont="1" applyFill="1" applyBorder="1" applyAlignment="1"/>
    <xf numFmtId="0" fontId="56" fillId="2" borderId="0" xfId="6" applyFont="1" applyFill="1" applyAlignment="1">
      <alignment horizontal="left" vertical="center"/>
    </xf>
    <xf numFmtId="0" fontId="54" fillId="2" borderId="0" xfId="4" applyFont="1" applyFill="1" applyBorder="1" applyAlignment="1">
      <alignment vertical="center" wrapText="1"/>
    </xf>
    <xf numFmtId="0" fontId="54" fillId="2" borderId="0" xfId="4" applyFont="1" applyFill="1" applyBorder="1" applyAlignment="1">
      <alignment horizontal="center" vertical="center"/>
    </xf>
    <xf numFmtId="0" fontId="54" fillId="2" borderId="0" xfId="79" applyNumberFormat="1" applyFont="1" applyFill="1" applyBorder="1" applyAlignment="1"/>
    <xf numFmtId="0" fontId="55" fillId="2" borderId="0" xfId="6" applyFont="1" applyFill="1" applyAlignment="1">
      <alignment vertical="center" wrapText="1"/>
    </xf>
    <xf numFmtId="0" fontId="55" fillId="2" borderId="0" xfId="6" applyFont="1" applyFill="1" applyAlignment="1">
      <alignment vertical="center"/>
    </xf>
    <xf numFmtId="173" fontId="38" fillId="0" borderId="4" xfId="80" applyNumberFormat="1" applyFont="1" applyFill="1" applyBorder="1" applyAlignment="1">
      <alignment horizontal="right" vertical="center"/>
    </xf>
    <xf numFmtId="174" fontId="37" fillId="0" borderId="4" xfId="80" quotePrefix="1" applyNumberFormat="1" applyFont="1" applyFill="1" applyBorder="1" applyAlignment="1">
      <alignment horizontal="right" wrapText="1"/>
    </xf>
    <xf numFmtId="174" fontId="37" fillId="0" borderId="10" xfId="80" quotePrefix="1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8" fillId="2" borderId="5" xfId="6" applyFont="1" applyFill="1" applyBorder="1" applyAlignment="1">
      <alignment horizontal="center" vertical="center" wrapText="1"/>
    </xf>
    <xf numFmtId="0" fontId="18" fillId="2" borderId="6" xfId="6" applyFont="1" applyFill="1" applyBorder="1" applyAlignment="1">
      <alignment horizontal="center" vertical="center" wrapText="1"/>
    </xf>
    <xf numFmtId="0" fontId="64" fillId="2" borderId="0" xfId="26" applyFont="1" applyFill="1" applyBorder="1" applyAlignment="1">
      <alignment horizontal="right" wrapText="1"/>
    </xf>
    <xf numFmtId="0" fontId="65" fillId="2" borderId="0" xfId="0" applyFont="1" applyFill="1" applyAlignment="1">
      <alignment horizontal="right"/>
    </xf>
    <xf numFmtId="0" fontId="33" fillId="2" borderId="5" xfId="5" applyFont="1" applyFill="1" applyBorder="1" applyAlignment="1">
      <alignment horizontal="center" vertical="center" wrapText="1"/>
    </xf>
    <xf numFmtId="0" fontId="33" fillId="2" borderId="6" xfId="5" applyFont="1" applyFill="1" applyBorder="1" applyAlignment="1">
      <alignment horizontal="center" vertical="center" wrapText="1"/>
    </xf>
    <xf numFmtId="0" fontId="65" fillId="2" borderId="0" xfId="0" applyFont="1" applyFill="1" applyAlignment="1"/>
    <xf numFmtId="0" fontId="57" fillId="2" borderId="0" xfId="5" applyFont="1" applyFill="1" applyAlignment="1">
      <alignment horizontal="center"/>
    </xf>
    <xf numFmtId="0" fontId="33" fillId="2" borderId="5" xfId="7" applyFont="1" applyFill="1" applyBorder="1" applyAlignment="1">
      <alignment horizontal="center" vertical="center" wrapText="1"/>
    </xf>
    <xf numFmtId="0" fontId="33" fillId="2" borderId="6" xfId="7" applyFont="1" applyFill="1" applyBorder="1" applyAlignment="1">
      <alignment horizontal="center" vertical="center" wrapText="1"/>
    </xf>
    <xf numFmtId="3" fontId="33" fillId="2" borderId="5" xfId="5" applyNumberFormat="1" applyFont="1" applyFill="1" applyBorder="1" applyAlignment="1">
      <alignment horizontal="center" vertical="center" wrapText="1"/>
    </xf>
    <xf numFmtId="3" fontId="33" fillId="2" borderId="6" xfId="5" applyNumberFormat="1" applyFont="1" applyFill="1" applyBorder="1" applyAlignment="1">
      <alignment horizontal="center" vertical="center" wrapText="1"/>
    </xf>
    <xf numFmtId="0" fontId="33" fillId="2" borderId="4" xfId="5" applyFont="1" applyFill="1" applyBorder="1" applyAlignment="1">
      <alignment horizontal="center" vertical="center" wrapText="1"/>
    </xf>
    <xf numFmtId="0" fontId="33" fillId="2" borderId="9" xfId="5" applyFont="1" applyFill="1" applyBorder="1" applyAlignment="1">
      <alignment horizontal="center" vertical="center" wrapText="1"/>
    </xf>
    <xf numFmtId="0" fontId="33" fillId="2" borderId="10" xfId="5" applyFont="1" applyFill="1" applyBorder="1" applyAlignment="1">
      <alignment horizontal="center" vertical="center" wrapText="1"/>
    </xf>
    <xf numFmtId="4" fontId="37" fillId="0" borderId="0" xfId="0" applyNumberFormat="1" applyFont="1" applyFill="1" applyAlignment="1">
      <alignment horizontal="center"/>
    </xf>
    <xf numFmtId="4" fontId="33" fillId="0" borderId="0" xfId="0" applyNumberFormat="1" applyFont="1" applyFill="1" applyAlignment="1">
      <alignment horizontal="center"/>
    </xf>
    <xf numFmtId="4" fontId="35" fillId="0" borderId="42" xfId="0" applyNumberFormat="1" applyFont="1" applyFill="1" applyBorder="1" applyAlignment="1">
      <alignment horizontal="center" vertical="center" wrapText="1"/>
    </xf>
    <xf numFmtId="4" fontId="35" fillId="0" borderId="45" xfId="0" applyNumberFormat="1" applyFont="1" applyFill="1" applyBorder="1" applyAlignment="1">
      <alignment horizontal="center" vertical="center" wrapText="1"/>
    </xf>
    <xf numFmtId="4" fontId="35" fillId="0" borderId="48" xfId="0" applyNumberFormat="1" applyFont="1" applyFill="1" applyBorder="1" applyAlignment="1">
      <alignment horizontal="center" vertical="center" wrapText="1"/>
    </xf>
    <xf numFmtId="1" fontId="35" fillId="0" borderId="34" xfId="0" applyNumberFormat="1" applyFont="1" applyFill="1" applyBorder="1" applyAlignment="1">
      <alignment horizontal="center" vertical="center" wrapText="1"/>
    </xf>
    <xf numFmtId="1" fontId="35" fillId="0" borderId="46" xfId="0" applyNumberFormat="1" applyFont="1" applyFill="1" applyBorder="1" applyAlignment="1">
      <alignment horizontal="center" vertical="center" wrapText="1"/>
    </xf>
    <xf numFmtId="1" fontId="35" fillId="0" borderId="36" xfId="0" applyNumberFormat="1" applyFont="1" applyFill="1" applyBorder="1" applyAlignment="1">
      <alignment horizontal="center" vertical="center" wrapText="1"/>
    </xf>
    <xf numFmtId="4" fontId="35" fillId="0" borderId="43" xfId="0" applyNumberFormat="1" applyFont="1" applyFill="1" applyBorder="1" applyAlignment="1">
      <alignment horizontal="center" vertical="center" wrapText="1"/>
    </xf>
    <xf numFmtId="4" fontId="35" fillId="0" borderId="47" xfId="0" applyNumberFormat="1" applyFont="1" applyFill="1" applyBorder="1" applyAlignment="1">
      <alignment horizontal="center" vertical="center" wrapText="1"/>
    </xf>
    <xf numFmtId="4" fontId="35" fillId="0" borderId="49" xfId="0" applyNumberFormat="1" applyFont="1" applyFill="1" applyBorder="1" applyAlignment="1">
      <alignment horizontal="center" vertical="center" wrapText="1"/>
    </xf>
    <xf numFmtId="4" fontId="35" fillId="0" borderId="38" xfId="0" applyNumberFormat="1" applyFont="1" applyFill="1" applyBorder="1" applyAlignment="1">
      <alignment horizontal="center" vertical="center" wrapText="1"/>
    </xf>
    <xf numFmtId="4" fontId="35" fillId="0" borderId="44" xfId="0" applyNumberFormat="1" applyFont="1" applyFill="1" applyBorder="1" applyAlignment="1">
      <alignment horizontal="center" vertical="center" wrapText="1"/>
    </xf>
    <xf numFmtId="4" fontId="34" fillId="0" borderId="2" xfId="0" applyNumberFormat="1" applyFont="1" applyFill="1" applyBorder="1" applyAlignment="1">
      <alignment horizontal="center" vertical="center" wrapText="1"/>
    </xf>
    <xf numFmtId="4" fontId="34" fillId="0" borderId="31" xfId="0" applyNumberFormat="1" applyFont="1" applyFill="1" applyBorder="1" applyAlignment="1">
      <alignment horizontal="center" vertical="center" wrapText="1"/>
    </xf>
    <xf numFmtId="4" fontId="47" fillId="3" borderId="27" xfId="75" applyNumberFormat="1" applyFont="1" applyFill="1" applyBorder="1" applyAlignment="1">
      <alignment vertical="center" wrapText="1"/>
    </xf>
    <xf numFmtId="0" fontId="11" fillId="3" borderId="38" xfId="25" applyFill="1" applyBorder="1" applyAlignment="1">
      <alignment vertical="center"/>
    </xf>
    <xf numFmtId="0" fontId="11" fillId="3" borderId="44" xfId="25" applyFill="1" applyBorder="1" applyAlignment="1">
      <alignment vertical="center"/>
    </xf>
    <xf numFmtId="0" fontId="10" fillId="0" borderId="0" xfId="75" applyFont="1" applyAlignment="1">
      <alignment horizontal="center" vertical="center" wrapText="1"/>
    </xf>
    <xf numFmtId="0" fontId="10" fillId="0" borderId="0" xfId="75" applyFont="1" applyAlignment="1">
      <alignment horizontal="center" vertical="center"/>
    </xf>
    <xf numFmtId="0" fontId="7" fillId="0" borderId="52" xfId="75" applyFont="1" applyBorder="1" applyAlignment="1">
      <alignment horizontal="center" vertical="center" wrapText="1"/>
    </xf>
    <xf numFmtId="0" fontId="7" fillId="0" borderId="53" xfId="75" applyFont="1" applyBorder="1" applyAlignment="1">
      <alignment horizontal="center" vertical="center" wrapText="1"/>
    </xf>
    <xf numFmtId="0" fontId="7" fillId="0" borderId="54" xfId="75" applyFont="1" applyBorder="1" applyAlignment="1">
      <alignment horizontal="center" vertical="center" wrapText="1"/>
    </xf>
    <xf numFmtId="0" fontId="42" fillId="0" borderId="42" xfId="75" applyFont="1" applyBorder="1" applyAlignment="1">
      <alignment horizontal="center" vertical="center" wrapText="1"/>
    </xf>
    <xf numFmtId="0" fontId="42" fillId="0" borderId="45" xfId="75" applyFont="1" applyBorder="1" applyAlignment="1">
      <alignment horizontal="center" vertical="center" wrapText="1"/>
    </xf>
    <xf numFmtId="0" fontId="42" fillId="0" borderId="48" xfId="75" applyFont="1" applyBorder="1" applyAlignment="1">
      <alignment horizontal="center" vertical="center" wrapText="1"/>
    </xf>
    <xf numFmtId="0" fontId="42" fillId="0" borderId="25" xfId="75" applyFont="1" applyBorder="1" applyAlignment="1">
      <alignment horizontal="center" vertical="center"/>
    </xf>
    <xf numFmtId="0" fontId="42" fillId="0" borderId="37" xfId="75" applyFont="1" applyBorder="1" applyAlignment="1">
      <alignment horizontal="center" vertical="center"/>
    </xf>
    <xf numFmtId="0" fontId="42" fillId="0" borderId="26" xfId="75" applyFont="1" applyBorder="1" applyAlignment="1">
      <alignment horizontal="center" vertical="center"/>
    </xf>
    <xf numFmtId="0" fontId="42" fillId="0" borderId="18" xfId="75" applyFont="1" applyBorder="1" applyAlignment="1">
      <alignment horizontal="center" vertical="center" wrapText="1"/>
    </xf>
    <xf numFmtId="0" fontId="42" fillId="0" borderId="19" xfId="75" applyFont="1" applyBorder="1" applyAlignment="1">
      <alignment horizontal="center" vertical="center" wrapText="1"/>
    </xf>
    <xf numFmtId="0" fontId="42" fillId="0" borderId="20" xfId="75" applyFont="1" applyBorder="1" applyAlignment="1">
      <alignment horizontal="center" vertical="center" wrapText="1"/>
    </xf>
    <xf numFmtId="0" fontId="42" fillId="0" borderId="21" xfId="75" applyFont="1" applyBorder="1" applyAlignment="1">
      <alignment horizontal="center" vertical="center" wrapText="1"/>
    </xf>
    <xf numFmtId="0" fontId="42" fillId="0" borderId="28" xfId="75" applyFont="1" applyBorder="1" applyAlignment="1">
      <alignment horizontal="center" vertical="center" wrapText="1"/>
    </xf>
    <xf numFmtId="4" fontId="42" fillId="0" borderId="46" xfId="75" applyNumberFormat="1" applyFont="1" applyBorder="1" applyAlignment="1">
      <alignment horizontal="center" vertical="center" wrapText="1"/>
    </xf>
    <xf numFmtId="4" fontId="42" fillId="0" borderId="39" xfId="75" applyNumberFormat="1" applyFont="1" applyBorder="1" applyAlignment="1">
      <alignment horizontal="center" vertical="center" wrapText="1"/>
    </xf>
    <xf numFmtId="4" fontId="42" fillId="0" borderId="21" xfId="75" applyNumberFormat="1" applyFont="1" applyBorder="1" applyAlignment="1">
      <alignment horizontal="center" vertical="center" wrapText="1"/>
    </xf>
    <xf numFmtId="4" fontId="42" fillId="0" borderId="24" xfId="75" applyNumberFormat="1" applyFont="1" applyBorder="1" applyAlignment="1">
      <alignment horizontal="center" vertical="center" wrapText="1"/>
    </xf>
    <xf numFmtId="4" fontId="42" fillId="0" borderId="29" xfId="75" applyNumberFormat="1" applyFont="1" applyBorder="1" applyAlignment="1">
      <alignment horizontal="center" vertical="center" wrapText="1"/>
    </xf>
    <xf numFmtId="0" fontId="7" fillId="0" borderId="4" xfId="49" applyFont="1" applyBorder="1" applyAlignment="1">
      <alignment horizontal="center" vertical="center" wrapText="1"/>
    </xf>
    <xf numFmtId="0" fontId="7" fillId="0" borderId="10" xfId="49" applyFont="1" applyBorder="1" applyAlignment="1">
      <alignment horizontal="center" vertical="center" wrapText="1"/>
    </xf>
    <xf numFmtId="0" fontId="7" fillId="0" borderId="5" xfId="49" applyFont="1" applyBorder="1" applyAlignment="1">
      <alignment horizontal="center" vertical="center" wrapText="1"/>
    </xf>
    <xf numFmtId="0" fontId="7" fillId="0" borderId="6" xfId="49" applyFont="1" applyBorder="1" applyAlignment="1">
      <alignment horizontal="center" vertical="center" wrapText="1"/>
    </xf>
    <xf numFmtId="0" fontId="7" fillId="0" borderId="12" xfId="5" applyFont="1" applyBorder="1" applyAlignment="1">
      <alignment horizontal="center"/>
    </xf>
    <xf numFmtId="0" fontId="7" fillId="0" borderId="14" xfId="5" applyFont="1" applyBorder="1" applyAlignment="1">
      <alignment horizontal="center"/>
    </xf>
    <xf numFmtId="0" fontId="7" fillId="0" borderId="15" xfId="5" applyFont="1" applyBorder="1" applyAlignment="1">
      <alignment horizontal="center"/>
    </xf>
    <xf numFmtId="0" fontId="7" fillId="0" borderId="2" xfId="5" applyFont="1" applyBorder="1" applyAlignment="1">
      <alignment horizontal="center"/>
    </xf>
    <xf numFmtId="49" fontId="7" fillId="0" borderId="12" xfId="5" applyNumberFormat="1" applyFont="1" applyBorder="1" applyAlignment="1">
      <alignment horizontal="center"/>
    </xf>
    <xf numFmtId="49" fontId="7" fillId="0" borderId="14" xfId="5" applyNumberFormat="1" applyFont="1" applyBorder="1" applyAlignment="1">
      <alignment horizontal="center"/>
    </xf>
    <xf numFmtId="49" fontId="7" fillId="0" borderId="15" xfId="5" applyNumberFormat="1" applyFont="1" applyBorder="1" applyAlignment="1">
      <alignment horizontal="center"/>
    </xf>
    <xf numFmtId="49" fontId="7" fillId="0" borderId="2" xfId="5" applyNumberFormat="1" applyFont="1" applyBorder="1" applyAlignment="1">
      <alignment horizontal="center"/>
    </xf>
    <xf numFmtId="0" fontId="7" fillId="0" borderId="1" xfId="5" applyFont="1" applyBorder="1" applyAlignment="1">
      <alignment horizontal="center"/>
    </xf>
    <xf numFmtId="14" fontId="7" fillId="0" borderId="1" xfId="5" applyNumberFormat="1" applyFont="1" applyBorder="1" applyAlignment="1">
      <alignment horizontal="center"/>
    </xf>
    <xf numFmtId="0" fontId="11" fillId="0" borderId="0" xfId="53" applyFont="1" applyAlignment="1">
      <alignment horizontal="right"/>
    </xf>
    <xf numFmtId="0" fontId="30" fillId="0" borderId="0" xfId="43" applyFont="1" applyAlignment="1">
      <alignment horizontal="right"/>
    </xf>
    <xf numFmtId="0" fontId="7" fillId="0" borderId="4" xfId="5" quotePrefix="1" applyFont="1" applyBorder="1" applyAlignment="1">
      <alignment horizontal="center"/>
    </xf>
    <xf numFmtId="0" fontId="7" fillId="0" borderId="9" xfId="5" quotePrefix="1" applyFont="1" applyBorder="1" applyAlignment="1">
      <alignment horizontal="center"/>
    </xf>
    <xf numFmtId="0" fontId="7" fillId="0" borderId="4" xfId="5" applyFont="1" applyBorder="1" applyAlignment="1">
      <alignment horizontal="center"/>
    </xf>
    <xf numFmtId="0" fontId="7" fillId="0" borderId="9" xfId="5" applyFont="1" applyBorder="1" applyAlignment="1">
      <alignment horizontal="center"/>
    </xf>
    <xf numFmtId="0" fontId="7" fillId="0" borderId="2" xfId="5" applyFont="1" applyBorder="1" applyAlignment="1">
      <alignment horizontal="left" vertical="top" wrapText="1"/>
    </xf>
    <xf numFmtId="0" fontId="7" fillId="0" borderId="14" xfId="5" applyFont="1" applyBorder="1" applyAlignment="1">
      <alignment horizontal="center" vertical="top" wrapText="1"/>
    </xf>
    <xf numFmtId="0" fontId="7" fillId="0" borderId="14" xfId="5" applyFont="1" applyBorder="1" applyAlignment="1">
      <alignment horizontal="center" vertical="top"/>
    </xf>
    <xf numFmtId="0" fontId="7" fillId="0" borderId="0" xfId="5" applyAlignment="1">
      <alignment horizontal="right"/>
    </xf>
    <xf numFmtId="49" fontId="5" fillId="0" borderId="12" xfId="5" applyNumberFormat="1" applyFont="1" applyBorder="1" applyAlignment="1">
      <alignment horizontal="center"/>
    </xf>
    <xf numFmtId="49" fontId="5" fillId="0" borderId="8" xfId="5" applyNumberFormat="1" applyFont="1" applyBorder="1" applyAlignment="1">
      <alignment horizontal="center"/>
    </xf>
    <xf numFmtId="49" fontId="5" fillId="0" borderId="13" xfId="5" applyNumberFormat="1" applyFont="1" applyBorder="1" applyAlignment="1">
      <alignment horizontal="center"/>
    </xf>
    <xf numFmtId="49" fontId="5" fillId="0" borderId="15" xfId="5" applyNumberFormat="1" applyFont="1" applyBorder="1" applyAlignment="1">
      <alignment horizontal="center"/>
    </xf>
    <xf numFmtId="49" fontId="5" fillId="0" borderId="2" xfId="5" applyNumberFormat="1" applyFont="1" applyBorder="1" applyAlignment="1">
      <alignment horizontal="center"/>
    </xf>
    <xf numFmtId="49" fontId="5" fillId="0" borderId="16" xfId="5" applyNumberFormat="1" applyFont="1" applyBorder="1" applyAlignment="1">
      <alignment horizontal="center"/>
    </xf>
    <xf numFmtId="0" fontId="5" fillId="0" borderId="2" xfId="5" applyFont="1" applyBorder="1" applyAlignment="1">
      <alignment horizontal="left" wrapText="1"/>
    </xf>
    <xf numFmtId="0" fontId="17" fillId="0" borderId="8" xfId="5" applyFont="1" applyBorder="1" applyAlignment="1">
      <alignment horizontal="center" vertical="top"/>
    </xf>
    <xf numFmtId="0" fontId="5" fillId="0" borderId="17" xfId="5" applyFont="1" applyBorder="1" applyAlignment="1">
      <alignment horizontal="center"/>
    </xf>
    <xf numFmtId="0" fontId="5" fillId="0" borderId="0" xfId="5" applyFont="1" applyBorder="1" applyAlignment="1">
      <alignment horizontal="center"/>
    </xf>
    <xf numFmtId="0" fontId="5" fillId="0" borderId="11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0" fontId="5" fillId="0" borderId="2" xfId="5" applyFont="1" applyBorder="1" applyAlignment="1">
      <alignment horizontal="center"/>
    </xf>
    <xf numFmtId="0" fontId="5" fillId="0" borderId="16" xfId="5" applyFont="1" applyBorder="1" applyAlignment="1">
      <alignment horizontal="center"/>
    </xf>
    <xf numFmtId="49" fontId="5" fillId="0" borderId="14" xfId="5" applyNumberFormat="1" applyFont="1" applyBorder="1" applyAlignment="1">
      <alignment horizontal="center"/>
    </xf>
    <xf numFmtId="0" fontId="5" fillId="0" borderId="2" xfId="5" applyFont="1" applyBorder="1" applyAlignment="1">
      <alignment horizontal="left" vertical="top" wrapText="1"/>
    </xf>
    <xf numFmtId="0" fontId="17" fillId="0" borderId="8" xfId="5" applyFont="1" applyBorder="1" applyAlignment="1">
      <alignment horizontal="center"/>
    </xf>
    <xf numFmtId="0" fontId="5" fillId="0" borderId="0" xfId="5" applyFont="1" applyAlignment="1">
      <alignment horizontal="right"/>
    </xf>
    <xf numFmtId="0" fontId="5" fillId="0" borderId="11" xfId="5" applyFont="1" applyBorder="1" applyAlignment="1">
      <alignment horizontal="right"/>
    </xf>
    <xf numFmtId="0" fontId="5" fillId="0" borderId="4" xfId="5" applyFont="1" applyBorder="1" applyAlignment="1">
      <alignment horizontal="center"/>
    </xf>
    <xf numFmtId="0" fontId="5" fillId="0" borderId="9" xfId="5" applyFont="1" applyBorder="1" applyAlignment="1">
      <alignment horizontal="center"/>
    </xf>
    <xf numFmtId="0" fontId="5" fillId="0" borderId="10" xfId="5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3" fillId="0" borderId="1" xfId="25" applyFont="1" applyBorder="1" applyAlignment="1">
      <alignment horizontal="left"/>
    </xf>
    <xf numFmtId="0" fontId="13" fillId="0" borderId="4" xfId="25" applyFont="1" applyBorder="1" applyAlignment="1">
      <alignment horizontal="left"/>
    </xf>
    <xf numFmtId="0" fontId="13" fillId="0" borderId="9" xfId="25" applyFont="1" applyBorder="1" applyAlignment="1">
      <alignment horizontal="left"/>
    </xf>
    <xf numFmtId="0" fontId="13" fillId="0" borderId="10" xfId="25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5" fillId="0" borderId="4" xfId="5" quotePrefix="1" applyFont="1" applyBorder="1" applyAlignment="1">
      <alignment horizontal="center"/>
    </xf>
    <xf numFmtId="0" fontId="5" fillId="0" borderId="9" xfId="5" quotePrefix="1" applyFont="1" applyBorder="1" applyAlignment="1">
      <alignment horizontal="center"/>
    </xf>
    <xf numFmtId="0" fontId="5" fillId="0" borderId="10" xfId="5" quotePrefix="1" applyFont="1" applyBorder="1" applyAlignment="1">
      <alignment horizontal="center"/>
    </xf>
    <xf numFmtId="0" fontId="5" fillId="0" borderId="0" xfId="5" applyFont="1" applyAlignment="1">
      <alignment horizontal="left" wrapText="1"/>
    </xf>
    <xf numFmtId="0" fontId="6" fillId="0" borderId="0" xfId="26" applyFont="1" applyAlignment="1">
      <alignment horizontal="center"/>
    </xf>
    <xf numFmtId="0" fontId="6" fillId="0" borderId="0" xfId="26" applyFont="1" applyAlignment="1">
      <alignment horizontal="center" vertical="center" wrapText="1"/>
    </xf>
    <xf numFmtId="0" fontId="7" fillId="0" borderId="5" xfId="5" applyBorder="1" applyAlignment="1">
      <alignment horizontal="center" vertical="center" wrapText="1"/>
    </xf>
    <xf numFmtId="0" fontId="7" fillId="0" borderId="6" xfId="5" applyBorder="1" applyAlignment="1">
      <alignment horizontal="center" vertical="center" wrapText="1"/>
    </xf>
    <xf numFmtId="0" fontId="7" fillId="0" borderId="4" xfId="5" applyBorder="1" applyAlignment="1">
      <alignment horizontal="center" vertical="center" wrapText="1"/>
    </xf>
    <xf numFmtId="0" fontId="7" fillId="0" borderId="10" xfId="5" applyBorder="1" applyAlignment="1">
      <alignment horizontal="center" vertical="center" wrapText="1"/>
    </xf>
    <xf numFmtId="0" fontId="18" fillId="2" borderId="0" xfId="21" applyFont="1" applyFill="1" applyAlignment="1">
      <alignment horizontal="center"/>
    </xf>
    <xf numFmtId="14" fontId="5" fillId="0" borderId="4" xfId="5" applyNumberFormat="1" applyFont="1" applyBorder="1" applyAlignment="1">
      <alignment horizontal="center"/>
    </xf>
    <xf numFmtId="14" fontId="5" fillId="0" borderId="9" xfId="5" applyNumberFormat="1" applyFont="1" applyBorder="1" applyAlignment="1">
      <alignment horizontal="center"/>
    </xf>
    <xf numFmtId="14" fontId="5" fillId="0" borderId="10" xfId="5" applyNumberFormat="1" applyFont="1" applyBorder="1" applyAlignment="1">
      <alignment horizontal="center"/>
    </xf>
    <xf numFmtId="0" fontId="23" fillId="0" borderId="0" xfId="5" applyFont="1" applyFill="1" applyAlignment="1">
      <alignment horizontal="left" wrapText="1"/>
    </xf>
    <xf numFmtId="0" fontId="28" fillId="0" borderId="2" xfId="4" applyFont="1" applyFill="1" applyBorder="1" applyAlignment="1">
      <alignment horizontal="left" wrapText="1"/>
    </xf>
    <xf numFmtId="0" fontId="28" fillId="0" borderId="2" xfId="26" applyFont="1" applyFill="1" applyBorder="1" applyAlignment="1">
      <alignment horizontal="right"/>
    </xf>
    <xf numFmtId="49" fontId="27" fillId="0" borderId="14" xfId="42" applyNumberFormat="1" applyFont="1" applyFill="1" applyBorder="1" applyAlignment="1">
      <alignment horizontal="left" vertical="top"/>
    </xf>
    <xf numFmtId="0" fontId="27" fillId="0" borderId="14" xfId="4" applyFont="1" applyFill="1" applyBorder="1" applyAlignment="1">
      <alignment horizontal="right"/>
    </xf>
    <xf numFmtId="0" fontId="18" fillId="0" borderId="0" xfId="21" applyFont="1" applyAlignment="1">
      <alignment horizontal="center"/>
    </xf>
    <xf numFmtId="0" fontId="13" fillId="0" borderId="1" xfId="25" applyFont="1" applyBorder="1" applyAlignment="1">
      <alignment horizontal="left" vertical="justify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right"/>
    </xf>
    <xf numFmtId="164" fontId="6" fillId="0" borderId="3" xfId="0" applyNumberFormat="1" applyFont="1" applyBorder="1" applyAlignment="1">
      <alignment horizontal="right"/>
    </xf>
    <xf numFmtId="0" fontId="20" fillId="0" borderId="0" xfId="0" applyFont="1" applyAlignment="1">
      <alignment horizontal="left" wrapText="1"/>
    </xf>
    <xf numFmtId="164" fontId="20" fillId="0" borderId="0" xfId="0" applyNumberFormat="1" applyFont="1" applyAlignment="1">
      <alignment horizontal="right"/>
    </xf>
    <xf numFmtId="174" fontId="37" fillId="0" borderId="4" xfId="80" applyNumberFormat="1" applyFont="1" applyFill="1" applyBorder="1" applyAlignment="1">
      <alignment horizontal="center" wrapText="1"/>
    </xf>
    <xf numFmtId="174" fontId="37" fillId="0" borderId="10" xfId="80" applyNumberFormat="1" applyFont="1" applyFill="1" applyBorder="1" applyAlignment="1">
      <alignment horizontal="center" wrapText="1"/>
    </xf>
    <xf numFmtId="170" fontId="69" fillId="0" borderId="4" xfId="80" applyNumberFormat="1" applyFont="1" applyFill="1" applyBorder="1" applyAlignment="1">
      <alignment horizontal="right" wrapText="1"/>
    </xf>
    <xf numFmtId="170" fontId="69" fillId="0" borderId="10" xfId="80" applyNumberFormat="1" applyFont="1" applyFill="1" applyBorder="1" applyAlignment="1">
      <alignment horizontal="right" wrapText="1"/>
    </xf>
    <xf numFmtId="0" fontId="35" fillId="0" borderId="4" xfId="26" applyFont="1" applyFill="1" applyBorder="1" applyAlignment="1">
      <alignment horizontal="left" vertical="center" wrapText="1"/>
    </xf>
    <xf numFmtId="0" fontId="35" fillId="0" borderId="9" xfId="26" applyFont="1" applyFill="1" applyBorder="1" applyAlignment="1">
      <alignment horizontal="left" vertical="center" wrapText="1"/>
    </xf>
    <xf numFmtId="173" fontId="38" fillId="0" borderId="4" xfId="80" applyNumberFormat="1" applyFont="1" applyFill="1" applyBorder="1" applyAlignment="1">
      <alignment horizontal="right" vertical="center"/>
    </xf>
    <xf numFmtId="173" fontId="38" fillId="0" borderId="10" xfId="80" applyNumberFormat="1" applyFont="1" applyFill="1" applyBorder="1" applyAlignment="1">
      <alignment horizontal="right" vertical="center"/>
    </xf>
    <xf numFmtId="4" fontId="38" fillId="0" borderId="4" xfId="80" applyNumberFormat="1" applyFont="1" applyFill="1" applyBorder="1" applyAlignment="1">
      <alignment horizontal="right" vertical="center"/>
    </xf>
    <xf numFmtId="4" fontId="38" fillId="0" borderId="10" xfId="80" applyNumberFormat="1" applyFont="1" applyFill="1" applyBorder="1" applyAlignment="1">
      <alignment horizontal="right" vertical="center"/>
    </xf>
    <xf numFmtId="174" fontId="37" fillId="0" borderId="4" xfId="80" quotePrefix="1" applyNumberFormat="1" applyFont="1" applyFill="1" applyBorder="1" applyAlignment="1">
      <alignment horizontal="right" wrapText="1"/>
    </xf>
    <xf numFmtId="174" fontId="37" fillId="0" borderId="10" xfId="80" quotePrefix="1" applyNumberFormat="1" applyFont="1" applyFill="1" applyBorder="1" applyAlignment="1">
      <alignment horizontal="right" wrapText="1"/>
    </xf>
    <xf numFmtId="4" fontId="37" fillId="0" borderId="4" xfId="80" quotePrefix="1" applyNumberFormat="1" applyFont="1" applyFill="1" applyBorder="1" applyAlignment="1">
      <alignment horizontal="right" wrapText="1"/>
    </xf>
    <xf numFmtId="4" fontId="37" fillId="0" borderId="10" xfId="80" quotePrefix="1" applyNumberFormat="1" applyFont="1" applyFill="1" applyBorder="1" applyAlignment="1">
      <alignment horizontal="right" wrapText="1"/>
    </xf>
    <xf numFmtId="174" fontId="37" fillId="0" borderId="4" xfId="80" applyNumberFormat="1" applyFont="1" applyFill="1" applyBorder="1" applyAlignment="1">
      <alignment horizontal="right" wrapText="1"/>
    </xf>
    <xf numFmtId="174" fontId="37" fillId="0" borderId="10" xfId="80" applyNumberFormat="1" applyFont="1" applyFill="1" applyBorder="1" applyAlignment="1">
      <alignment horizontal="right" wrapText="1"/>
    </xf>
    <xf numFmtId="4" fontId="37" fillId="0" borderId="4" xfId="80" applyNumberFormat="1" applyFont="1" applyFill="1" applyBorder="1" applyAlignment="1">
      <alignment horizontal="right" wrapText="1"/>
    </xf>
    <xf numFmtId="4" fontId="37" fillId="0" borderId="10" xfId="80" applyNumberFormat="1" applyFont="1" applyFill="1" applyBorder="1" applyAlignment="1">
      <alignment horizontal="right" wrapText="1"/>
    </xf>
    <xf numFmtId="4" fontId="34" fillId="4" borderId="5" xfId="0" applyNumberFormat="1" applyFont="1" applyFill="1" applyBorder="1" applyAlignment="1">
      <alignment horizontal="left" vertical="center" wrapText="1"/>
    </xf>
    <xf numFmtId="4" fontId="34" fillId="5" borderId="5" xfId="0" applyNumberFormat="1" applyFont="1" applyFill="1" applyBorder="1" applyAlignment="1">
      <alignment horizontal="left" vertical="center" wrapText="1"/>
    </xf>
  </cellXfs>
  <cellStyles count="81">
    <cellStyle name="Normal 7" xfId="46"/>
    <cellStyle name="Обычный" xfId="0" builtinId="0"/>
    <cellStyle name="Обычный 10" xfId="51"/>
    <cellStyle name="Обычный 10 10 2" xfId="1"/>
    <cellStyle name="Обычный 10 2" xfId="57"/>
    <cellStyle name="Обычный 10 3 2" xfId="5"/>
    <cellStyle name="Обычный 100 2 2 3 3 2" xfId="27"/>
    <cellStyle name="Обычный 107 3 2 2 2" xfId="21"/>
    <cellStyle name="Обычный 107 3 2 2 2 2" xfId="33"/>
    <cellStyle name="Обычный 11" xfId="41"/>
    <cellStyle name="Обычный 11 2" xfId="58"/>
    <cellStyle name="Обычный 12" xfId="59"/>
    <cellStyle name="Обычный 13" xfId="70"/>
    <cellStyle name="Обычный 13 2" xfId="72"/>
    <cellStyle name="Обычный 14" xfId="71"/>
    <cellStyle name="Обычный 14 2" xfId="73"/>
    <cellStyle name="Обычный 2" xfId="25"/>
    <cellStyle name="Обычный 2 13 11 2 2" xfId="26"/>
    <cellStyle name="Обычный 2 13 2" xfId="77"/>
    <cellStyle name="Обычный 2 19" xfId="55"/>
    <cellStyle name="Обычный 2 2" xfId="10"/>
    <cellStyle name="Обычный 2 2 2" xfId="11"/>
    <cellStyle name="Обычный 2 2 2 2 2" xfId="69"/>
    <cellStyle name="Обычный 2 2 3" xfId="47"/>
    <cellStyle name="Обычный 2 2 40 2" xfId="34"/>
    <cellStyle name="Обычный 2 3" xfId="60"/>
    <cellStyle name="Обычный 2 3 2 3 2" xfId="75"/>
    <cellStyle name="Обычный 2 4" xfId="74"/>
    <cellStyle name="Обычный 2 5" xfId="3"/>
    <cellStyle name="Обычный 2 8" xfId="76"/>
    <cellStyle name="Обычный 22 2" xfId="19"/>
    <cellStyle name="Обычный 24" xfId="18"/>
    <cellStyle name="Обычный 3" xfId="43"/>
    <cellStyle name="Обычный 3 13" xfId="61"/>
    <cellStyle name="Обычный 3 2" xfId="15"/>
    <cellStyle name="Обычный 3 2 2" xfId="62"/>
    <cellStyle name="Обычный 3 2 2 2" xfId="2"/>
    <cellStyle name="Обычный 3 2 36 2" xfId="52"/>
    <cellStyle name="Обычный 3 2 36 2 2" xfId="24"/>
    <cellStyle name="Обычный 3 3" xfId="63"/>
    <cellStyle name="Обычный 3 4 2" xfId="49"/>
    <cellStyle name="Обычный 305 2 2 2" xfId="28"/>
    <cellStyle name="Обычный 307 2 2" xfId="30"/>
    <cellStyle name="Обычный 308 2 2" xfId="31"/>
    <cellStyle name="Обычный 325 2" xfId="36"/>
    <cellStyle name="Обычный 4" xfId="9"/>
    <cellStyle name="Обычный 4 2" xfId="8"/>
    <cellStyle name="Обычный 4 2 2" xfId="7"/>
    <cellStyle name="Обычный 4 2 2 2" xfId="39"/>
    <cellStyle name="Обычный 4 3" xfId="64"/>
    <cellStyle name="Обычный 44" xfId="65"/>
    <cellStyle name="Обычный 5" xfId="4"/>
    <cellStyle name="Обычный 5 2" xfId="38"/>
    <cellStyle name="Обычный 5 2 2 2" xfId="29"/>
    <cellStyle name="Обычный 5 3" xfId="56"/>
    <cellStyle name="Обычный 6" xfId="35"/>
    <cellStyle name="Обычный 6 2" xfId="66"/>
    <cellStyle name="Обычный 7" xfId="67"/>
    <cellStyle name="Обычный 8" xfId="68"/>
    <cellStyle name="Обычный 8 8 3" xfId="6"/>
    <cellStyle name="Обычный 9" xfId="16"/>
    <cellStyle name="Обычный 9 2" xfId="17"/>
    <cellStyle name="Обычный 9 2 2" xfId="79"/>
    <cellStyle name="Обычный_1933-Вариант ПМС 2" xfId="78"/>
    <cellStyle name="Обычный_РЕЕСТРЫ-внешний" xfId="54"/>
    <cellStyle name="Обычный_Ф2_Ф3_07_Андропов" xfId="53"/>
    <cellStyle name="Обычный_Ф3" xfId="42"/>
    <cellStyle name="Обычный_Ф-3 и реестр БНТ СМТ-БТС 2 2" xfId="23"/>
    <cellStyle name="Процентный 2" xfId="45"/>
    <cellStyle name="Финансовый 12 2 3" xfId="40"/>
    <cellStyle name="Финансовый 13 2" xfId="80"/>
    <cellStyle name="Финансовый 14 3 2 2 2" xfId="22"/>
    <cellStyle name="Финансовый 2" xfId="20"/>
    <cellStyle name="Финансовый 2 3 2" xfId="13"/>
    <cellStyle name="Финансовый 3" xfId="14"/>
    <cellStyle name="Финансовый 3 2" xfId="37"/>
    <cellStyle name="Финансовый 4" xfId="32"/>
    <cellStyle name="Финансовый 4 2" xfId="50"/>
    <cellStyle name="Финансовый 4 3" xfId="48"/>
    <cellStyle name="Финансовый 5" xfId="12"/>
    <cellStyle name="Финансовый 6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76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97" Type="http://schemas.openxmlformats.org/officeDocument/2006/relationships/externalLink" Target="externalLinks/externalLink86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66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87" Type="http://schemas.openxmlformats.org/officeDocument/2006/relationships/externalLink" Target="externalLinks/externalLink7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93" Type="http://schemas.openxmlformats.org/officeDocument/2006/relationships/externalLink" Target="externalLinks/externalLink82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4;&#1041;&#1066;&#1045;&#1050;&#1058;&#1067;\281%20&#1082;&#1084;%20&#1051;&#1080;&#1093;&#1072;&#1103;\2007\281%20&#1082;&#1084;%20-%20&#1057;&#1077;&#1085;&#1090;&#1103;&#1073;&#1088;&#1100;,%202007%20&#1075;%20&#1073;&#1077;&#1079;%20&#1072;&#1088;&#1077;&#1085;&#1076;&#109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17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6%20&#1052;&#1086;&#1089;&#1090;%20&#1074;%20&#1089;.%20&#1065;&#1091;&#1095;&#1100;&#1077;%20&#1082;&#1084;%202+400%20(&#1042;&#1086;&#1088;.%20&#1086;&#1073;&#1083;.)\&#1041;&#1072;&#1079;&#1072;%2091&#10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Users\&#1050;&#1080;&#1095;&#1080;&#1075;&#1080;&#1085;&#1072;&#1045;\&#1052;&#1086;&#1080;%20&#1076;&#1086;&#1082;&#1091;&#1084;&#1077;&#1085;&#1090;&#1099;\&#1057;&#1084;&#1077;&#1090;&#1099;\273%20&#1057;&#1086;&#1076;.&#1084;&#1086;&#1089;&#1090;%20&#1088;.&#1057;.&#1044;&#1086;&#1085;&#1077;&#1094;\SM1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97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41;&#1072;&#1079;&#107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6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02\users\&#1055;&#1069;&#1054;\&#1055;&#1088;&#1086;&#1095;&#1080;&#1077;%20&#1057;&#1058;&#1056;&#1054;&#1049;-&#1058;&#1056;&#1045;&#1057;&#1058;\&#1055;&#1088;&#1086;&#1095;&#1080;&#1077;%202011\&#1050;&#1057;-2%20&#1053;&#1054;&#1071;&#1041;&#1056;&#106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%209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6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7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448&#1058;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73;&#1072;&#1079;84%2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59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22%20&#1052;&#1086;&#1089;&#1090;%20&#1063;&#1077;&#1088;&#1085;&#1072;&#1103;%20&#1050;&#1072;&#1083;&#1080;&#1090;&#1074;&#1072;%20&#1082;&#1084;%20209+780%20(&#1042;&#1086;&#1088;.&#1086;&#1073;&#1083;.)\198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73;&#1072;&#1079;.91&#1072;&#107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2%20&#1052;&#1086;&#1089;&#1090;%20&#1041;&#1077;&#1088;&#1077;&#1079;&#1086;&#1074;&#1082;&#1072;%20(&#1051;&#1080;&#1087;&#1077;&#1094;&#1082;&#1072;&#1103;%20&#1086;&#1073;&#1083;.)\&#1073;&#1072;&#1079;.91&#104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DREEA%20CHITU\Bible%20prix\BASE%20DE%20DONNEES%20PRIX%20ANDREE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7%20&#1052;&#1086;&#1089;&#1090;%20&#1042;&#1086;&#1088;&#1086;&#1085;&#1077;&#1078;%20302+725%20(&#1051;&#1080;&#1087;.&#1086;&#1073;&#1083;.)\&#1073;&#1072;&#1079;.91&#1057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0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3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58;&#1077;&#1082;&#1091;&#1097;.&#1076;&#1077;&#1082;&#1072;&#1073;&#1088;&#110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7;&#1084;&#1077;&#1090;&#1099;\&#1057;&#1084;&#1077;&#1090;&#1099;%20&#1074;%20Excel\&#1040;&#1085;&#1076;&#1088;&#1077;&#1077;&#1074;%20&#1053;.&#1041;\300%20&#1082;&#1084;%20&#1055;&#1050;1%20&#1091;&#1095;-&#1082;&#1072;%20&#1041;&#1072;&#1083;&#1072;&#1096;&#1086;&#1074;-&#1048;&#1083;&#1100;&#1084;&#1077;&#1085;&#1100;%20(&#1042;&#1086;&#1083;&#1075;&#1086;&#1075;&#1088;&#1072;&#1076;&#1089;&#1082;&#1072;&#1103;%20&#1086;&#1073;&#1083;.)\&#1056;&#1072;&#1089;&#1095;&#1077;&#1090;&#1099;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92;&#1086;&#1088;&#1084;&#1072;%203&#108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561-562%20&#1082;&#1084;%20-2001%20&#1075;.%20-%20&#1057;&#1077;&#1085;&#1090;&#1103;&#1073;&#1088;&#1100;,%202004%20&#107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2004%20&#1075;&#1086;&#1076;\&#1057;&#1077;&#1085;&#1090;&#1103;&#1073;&#1088;&#1100;\1741-1742%20&#1050;&#1073;&#1096;.&#1078;.&#1076;.%20-%20&#1057;&#1077;&#1085;&#1090;&#1103;&#1073;&#1088;&#1100;,%202004%20&#107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45;&#1083;&#1077;&#1085;&#1072;\&#1056;&#1072;&#1073;&#1086;&#1095;&#1080;&#1081;%20&#1089;&#1090;&#1086;&#1083;\&#1042;&#1067;&#1055;&#1054;&#1051;&#1053;&#1045;&#1053;&#1048;&#1045;%20&#1053;&#1054;&#1071;&#1041;&#1056;&#1068;\&#1050;&#1057;-2%20&#1086;&#1082;&#1090;&#1103;&#1073;&#1088;&#1100;_&#1085;&#1086;&#1103;&#1073;&#1088;&#1100;_EXEL\&#1089;&#1074;&#1086;&#1076;&#1085;&#1099;&#1081;%20&#1050;&#1057;-2_&#1086;&#1082;&#1090;&#1103;&#1073;&#1088;&#1100;_&#1085;&#1086;&#1103;&#1073;&#1088;&#1100;_2&#1080;&#1089;&#1087;&#1088;.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52;&#1072;&#1088;&#1100;&#1077;&#1074;&#1082;&#1072;%20&#1101;&#1082;&#1089;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economists\&#1054;&#1090;&#1076;&#1077;&#1083;%20&#1087;&#1086;%20&#1088;&#1072;&#1073;&#1086;&#1090;&#1077;%20&#1089;%20&#1047;%20&#1080;%20&#1055;\&#1042;&#1099;&#1093;&#1080;&#1085;&#1086;-&#1046;&#1091;&#1083;&#1077;&#1073;&#1080;&#1085;&#1086;\&#1055;&#1056;&#1054;&#1063;&#1048;&#1045;\&#1055;&#1056;&#1054;&#1063;&#1048;&#1045;%20&#1076;&#1083;&#1103;%20&#1052;&#1048;&#1055;\&#1070;&#1043;&#1057;&#1050;\&#1055;&#1088;&#1086;&#1077;&#1082;&#1090;%20&#1088;&#1072;&#1089;&#1095;&#1077;&#1090;&#1072;%20&#1042;&#1072;&#1093;&#1090;&#1086;&#1074;&#1086;&#1075;&#1086;%20&#1084;&#1077;&#1090;&#1086;&#1076;&#1072;%20(&#1072;&#1074;&#1075;&#1091;&#1089;&#1090;%202011-&#1084;&#1072;&#1081;%202012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42;&#1040;&#1061;&#1058;&#104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84;&#1077;&#1090;&#1072;%20&#1057;&#1052;&#1056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7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5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107%20&#1086;&#1089;&#1074;&#1077;&#1097;&#1077;&#1085;&#1080;&#1077;%20-%20&#1050;&#1057;-3%20(&#1057;&#1073;&#1086;&#1088;&#1082;&#1072;%20&#1087;&#1086;%20&#1050;&#1057;-2)1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o_natalia\&#1084;&#1086;&#1080;%20&#1076;&#1086;&#1082;&#1091;&#1084;&#1077;&#1085;&#1090;\EKK\P4_DY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3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PK\&#1054;&#1090;&#1076;&#1077;&#1083;%20&#1089;&#1090;&#1086;&#1080;&#1084;&#1086;&#1089;&#1090;&#1085;&#1086;&#1075;&#1086;%20&#1080;&#1085;&#1078;&#1080;&#1085;&#1080;&#1088;&#1080;&#1085;&#1075;&#1072;\&#1050;&#1086;&#1085;&#1090;&#1088;&#1072;&#1082;&#1090;%202\&#1040;&#1083;&#1084;&#1072;-&#1040;&#1090;&#1080;&#1085;&#1089;&#1082;&#1072;&#1103;\&#1056;&#1040;&#1057;&#1063;&#1045;&#1058;&#1067;\&#1055;&#1088;&#1086;&#1090;&#1086;&#1082;&#1086;&#1083;%20&#1044;&#1062;%20&#1089;%20&#1088;&#1072;&#1089;&#1095;&#1077;&#1090;&#1086;&#1084;%20(&#1056;&#1045;&#1047;&#1045;&#1056;&#1042;%20&#1044;&#1040;&#1063;&#1040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54;&#1083;&#1100;&#1075;&#1072;%20&#1056;\&#1056;&#1072;&#1073;&#1086;&#1095;&#1080;&#1081;%20&#1089;&#1090;&#1086;&#1083;\&#1079;&#1077;&#1084;&#1083;&#1077;&#1091;&#1089;&#1090;&#1088;&#1086;&#1081;&#1089;&#1090;&#1074;&#1086;\&#1089;&#1074;&#1086;&#1076;&#1085;&#1099;&#1081;%20&#1050;&#1057;-2_&#1086;&#1082;&#1090;&#1103;&#1073;&#1088;&#1100;_&#1085;&#1086;&#1103;&#1073;&#1088;&#1100;_2&#1080;&#1089;&#1087;&#1088;.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5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97%20&#1043;&#1091;&#1073;&#1082;&#1080;&#1085;\SM9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86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26%20&#1052;&#1086;&#1089;&#1090;&#1086;&#1074;&#1086;&#1075;&#1086;%20&#1089;&#1086;&#1086;&#1088;&#1091;&#1078;.%20&#1082;&#1084;%20276+645%20(&#1042;&#1086;&#1088;.&#1086;&#1073;&#1083;.)\&#1073;&#1072;&#1079;.199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57;-3%20(&#1057;&#1073;&#1086;&#1088;&#1085;&#1072;&#1103;%20&#1087;&#1086;%20&#1050;&#1057;-2)%20v6%20-%20&#1082;&#1086;&#1087;&#1080;&#1103;1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3;&#1072;&#1090;&#1072;\&#1052;&#1086;&#1080;%20&#1076;&#1086;&#1082;&#1091;&#1084;&#1077;&#1085;&#1090;&#1099;\2006%20&#1075;&#1086;&#1076;\1741-1742%20&#1050;&#1073;&#1096;%20&#1078;%20&#1076;%20%20-%20&#1071;&#1085;&#1074;&#1072;&#1088;&#1100;%20%202006%20&#1075;%20&#1057;%20&#1056;&#1045;&#1045;&#1057;&#1058;&#1056;&#1054;&#1052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d\&#1057;&#1084;&#1077;&#1090;&#1099;2\SMETA\SM159&#1076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5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SM17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7%20&#1052;&#1086;&#1089;&#1090;%20&#1056;&#1077;&#1087;&#1077;&#1094;%20&#1082;&#1084;%20434(&#1051;&#1080;&#1087;.%20&#1086;&#1073;&#1083;.)\&#1073;&#1072;&#1079;.9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59%20&#1052;&#1086;&#1089;&#1090;&#1086;&#1074;&#1086;&#1077;%20&#1089;&#1086;&#1086;&#1088;&#1091;&#1078;.%20&#1082;&#1084;296+242%20(&#1042;&#1086;&#1088;.&#1086;&#1073;&#1083;)\&#1073;&#1072;&#1079;.1991%2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6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6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75%20222&#1082;&#1084;\&#1058;&#1077;&#1082;&#1091;&#1097;.&#1094;&#1077;&#1085;&#1072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%20042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462%20&#1082;&#1084;%20%20&#1055;&#1050;3-&#1055;&#1050;6%20-%20&#1057;&#1077;&#1085;&#1090;&#1103;&#1073;&#1088;&#1100;,%202004%20&#1075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90%20&#1040;&#1074;&#1090;&#1086;&#1076;&#1086;&#1088;&#1086;&#1075;&#1072;%20&#1042;&#1077;&#1089;&#1077;&#1083;&#1086;&#1074;&#1082;&#1072;(&#1056;&#1086;&#1089;&#1090;&#1086;&#1074;&#1089;&#1082;&#1072;&#1103;%20&#1086;&#1073;&#1083;)\&#1090;&#1077;&#1082;%202003&#1075;&#104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\SM159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274%20&#1082;&#1084;-2001%20&#1075;.%20(&#1082;&#1086;&#1088;&#1088;&#1077;&#1082;&#1090;)%20(&#1050;&#1086;&#1087;&#1080;&#1103;)%20-%20&#1057;&#1077;&#1085;&#1090;&#1103;&#1073;&#1088;&#1100;,%202004%20&#1075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74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0%20&#1052;&#1086;&#1089;&#1090;%20442%20&#1082;&#1084;%20(&#1051;&#1080;&#1087;&#1077;&#1094;&#1082;&#1072;&#1103;%20&#1086;&#1073;&#1083;.)\&#1073;&#1072;&#1079;.9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1069&#1082;&#1084;%20&#1055;&#1050;9-1070&#1082;&#1084;&#1055;&#1050;7%20-%20&#1057;&#1077;&#1085;&#1090;&#1103;&#1073;&#1088;&#1100;,%202004%20&#1075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50;&#1086;&#1087;&#1080;&#1103;%20&#1058;&#1077;&#1082;&#1091;&#1097;&#1072;&#1103;%20&#1094;&#1077;&#1085;&#10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90;&#1077;&#1082;%20&#1050;&#1088;&#1072;&#1089;&#1085;&#1072;&#1103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0.&#1042;%20&#1067;%20&#1055;%20&#1054;%20&#1051;%20&#1053;%20&#1045;%20&#1053;%20&#1048;%20&#1045;\2009%20&#1074;&#1099;&#1087;&#1086;&#1083;&#1085;&#1077;&#1085;&#1080;&#1077;\09.2009&#1075;\1.&#1044;&#1050;&#1056;&#1057;%20-%20&#1052;&#1086;&#1089;&#1082;&#1074;&#1072;\&#1043;&#1086;&#1088;&#1100;&#1082;&#1086;&#1074;&#1089;&#1082;&#1072;&#1103;%20&#1078;.&#1076;\06.2009&#1075;\1.&#1044;&#1050;&#1056;&#1057;%20-%20&#1052;&#1086;&#1089;&#1082;&#1074;&#1072;\&#1043;&#1086;&#1088;&#1100;&#1082;&#1086;&#1074;&#1089;&#1082;&#1072;&#1103;%20&#1078;.&#1076;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1055;&#1069;&#1054;\&#1057;&#1052;&#1045;&#1058;&#1053;&#1067;&#1049;%20&#1054;&#1058;&#1044;&#1045;&#1051;\&#1042;&#1067;&#1055;&#1054;&#1051;&#1053;&#1045;&#1053;&#1048;&#1045;%20&#1057;&#1052;&#1056;\4-%20%202020%20&#1075;&#1086;&#1076;\38%20&#1040;&#1087;&#1088;&#1077;&#1083;&#1100;%202020%20&#1075;\5-9%20&#1057;&#1052;2002%20&#1052;&#1048;&#1055;%201%20(&#1040;&#1084;&#1080;&#1085;.-&#1052;&#1080;&#1095;.)\&#1043;&#1072;&#1088;&#1072;&#1085;&#1090;&#1080;&#1081;&#1082;&#1072;%20&#1085;&#1077;%20&#1087;&#1088;&#1080;&#1085;&#1103;&#1083;&#1080;\8.48179_12-4017-&#1051;-&#1056;-11.3.1.2.2-&#1040;%20-%20&#1040;&#1087;&#1088;&#1077;&#1083;&#1100;,%202020%20&#1075;.&#1095;&#1077;&#1088;&#1085;.04-02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11.4.3.1-&#1054;&#1042;1.1-&#1057;&#1052;1%20-%20&#1048;&#1102;&#1085;&#1100;,%202020%20&#1075;.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20&#1072;.xl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11.4.3.3-&#1069;&#1050;1-&#1057;&#1052;1%20(%20-%20&#1048;&#1102;&#1085;&#1100;,%202020%20&#1075;.%20&#8470;6.2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12.3.1-&#1042;&#1050;-&#1057;&#1052;1%20(488%20-%20&#1048;&#1102;&#1085;&#1100;,%202020%20&#1075;.%20&#8470;6.4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1.2-&#1054;&#1042;4-&#1057;&#1052;1%20(48129%20-%20&#1048;&#1102;&#1085;&#1100;,%202020%20&#1075;.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8.3.1-&#1042;&#1050;-&#1057;&#1052;1%20(4849%20-%20&#1048;&#1102;&#1085;&#1100;,%202020%20&#1075;.%20&#8470;6.6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8.3.1-&#1042;&#1050;-&#1057;&#1052;1%20(4849%20-%20&#1048;&#1102;&#1085;&#1100;,%202020%20&#1075;.%20&#8470;6.7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11.3.3.2-&#1042;&#1050;-&#1057;&#1052;1&#1050;%20&#1055;%20-%20&#1048;&#1102;&#1085;&#1100;,%202020%20&#1075;.%20&#8470;6.8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koshkina.sn\Desktop\&#1093;&#1088;&#1077;&#1085;&#1100;\12-4017-&#1051;-&#1056;-11.5.3-&#1054;&#1042;-&#1057;&#1052;1&#1050;%20(48%20-%20&#1048;&#1102;&#1085;&#1100;,%202020%20&#1075;.%20&#8470;6.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2"/>
      <sheetName val="Source"/>
      <sheetName val="реестр новый "/>
      <sheetName val="КС-3 "/>
      <sheetName val="ВПДМ Май 2019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рын"/>
      <sheetName val="зп мост"/>
      <sheetName val="зпподходы"/>
      <sheetName val="К.С.М."/>
      <sheetName val="Тр."/>
      <sheetName val="ПИР"/>
      <sheetName val="C.с"/>
      <sheetName val="П.з"/>
      <sheetName val="зим,"/>
      <sheetName val="эл"/>
      <sheetName val="ком"/>
      <sheetName val="C.с (р)"/>
      <sheetName val="П.з (2)"/>
      <sheetName val="сод"/>
      <sheetName val="Тр.(ж.д.)"/>
      <sheetName val="ч. щ. 2"/>
    </sheetNames>
    <sheetDataSet>
      <sheetData sheetId="0"/>
      <sheetData sheetId="1"/>
      <sheetData sheetId="2"/>
      <sheetData sheetId="3"/>
      <sheetData sheetId="4">
        <row r="36">
          <cell r="H36">
            <v>1.83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Тр."/>
      <sheetName val="FS_05"/>
      <sheetName val="2012(КСЛ) (2)"/>
      <sheetName val="12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>
        <row r="30">
          <cell r="P30">
            <v>10.14</v>
          </cell>
        </row>
      </sheetData>
      <sheetData sheetId="5"/>
      <sheetData sheetId="6"/>
      <sheetData sheetId="7"/>
      <sheetData sheetId="8"/>
      <sheetData sheetId="9">
        <row r="39">
          <cell r="D39">
            <v>6.12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зимБ"/>
      <sheetName val="C.с  Б"/>
      <sheetName val="вахта Б"/>
      <sheetName val="ПИР"/>
      <sheetName val="сод.л.см."/>
      <sheetName val="ч. щ. 1"/>
      <sheetName val="ч. щ. 2"/>
      <sheetName val="П.з"/>
      <sheetName val="Тр.  (мост)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зим"/>
      <sheetName val="C.с"/>
      <sheetName val="C.с1п"/>
      <sheetName val="зим 1п"/>
      <sheetName val="Сод.р.в."/>
      <sheetName val="П.з.р.в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C.с"/>
      <sheetName val="зим"/>
    </sheetNames>
    <sheetDataSet>
      <sheetData sheetId="0"/>
      <sheetData sheetId="1"/>
      <sheetData sheetId="2"/>
      <sheetData sheetId="3">
        <row r="49">
          <cell r="P49">
            <v>33.584000000000003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"/>
      <sheetName val="ч. щ. 1"/>
      <sheetName val="ч. щ. 2"/>
      <sheetName val="К.С.М."/>
      <sheetName val="Тр."/>
      <sheetName val="зим."/>
      <sheetName val="вах"/>
      <sheetName val="вр"/>
      <sheetName val="C.с"/>
      <sheetName val="П.з.л.см"/>
      <sheetName val="П.з.р.в"/>
      <sheetName val="Сод.л.см"/>
      <sheetName val="Сод.р.в."/>
      <sheetName val="К.С.М. (2)"/>
      <sheetName val="Приложение 1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>
        <row r="17">
          <cell r="F17">
            <v>23154</v>
          </cell>
        </row>
      </sheetData>
      <sheetData sheetId="8" refreshError="1">
        <row r="33">
          <cell r="G33">
            <v>60.84</v>
          </cell>
        </row>
      </sheetData>
      <sheetData sheetId="9" refreshError="1">
        <row r="28">
          <cell r="I28">
            <v>3.23</v>
          </cell>
        </row>
        <row r="58">
          <cell r="E58">
            <v>3.96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К.С.М. (2)"/>
      <sheetName val="C.с"/>
      <sheetName val="вах"/>
      <sheetName val="вр"/>
      <sheetName val="зим."/>
      <sheetName val="mutual"/>
    </sheetNames>
    <sheetDataSet>
      <sheetData sheetId="0"/>
      <sheetData sheetId="1"/>
      <sheetData sheetId="2">
        <row r="42">
          <cell r="P42">
            <v>15.75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"/>
      <sheetName val="вск1"/>
      <sheetName val="Р1"/>
      <sheetName val="ПИР"/>
      <sheetName val="П.з "/>
      <sheetName val="C.с"/>
      <sheetName val="C.с (3)"/>
      <sheetName val="C.с (2)"/>
      <sheetName val="зим"/>
      <sheetName val="Рокно"/>
      <sheetName val="П.з  (2)"/>
      <sheetName val="C.с (4)"/>
      <sheetName val="вр"/>
      <sheetName val="Lots1127"/>
    </sheetNames>
    <sheetDataSet>
      <sheetData sheetId="0"/>
      <sheetData sheetId="1"/>
      <sheetData sheetId="2">
        <row r="18">
          <cell r="P18">
            <v>15.080000000000002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.энергия"/>
      <sheetName val="аренда флота"/>
      <sheetName val="Эл.энергия без 100 кВт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Фрез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Ф"/>
      <sheetName val="Bendra"/>
    </sheetNames>
    <sheetDataSet>
      <sheetData sheetId="0">
        <row r="113">
          <cell r="P113">
            <v>24.96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а.б. 1 м"/>
      <sheetName val="битум"/>
      <sheetName val="Р1 "/>
      <sheetName val="ПИР"/>
      <sheetName val="C.с "/>
      <sheetName val="Р2"/>
      <sheetName val="П.з "/>
      <sheetName val="C.с  (2)"/>
      <sheetName val="C.с  (4)"/>
      <sheetName val="К.С.М. (2)"/>
    </sheetNames>
    <sheetDataSet>
      <sheetData sheetId="0"/>
      <sheetData sheetId="1"/>
      <sheetData sheetId="2"/>
      <sheetData sheetId="3">
        <row r="192">
          <cell r="P192">
            <v>26.808000000000003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.р."/>
      <sheetName val="К"/>
      <sheetName val="Ф"/>
      <sheetName val="К.С.М."/>
      <sheetName val="Тр."/>
      <sheetName val="ПИР"/>
      <sheetName val="C.с"/>
      <sheetName val="Р1"/>
      <sheetName val="Р2"/>
      <sheetName val="Р2 (2)"/>
      <sheetName val="Р3"/>
      <sheetName val="C.с (2)"/>
      <sheetName val="C.с (3)"/>
      <sheetName val="П.з"/>
      <sheetName val="сод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С.с"/>
      <sheetName val="С.с (2)"/>
      <sheetName val="Р1"/>
      <sheetName val="Р2"/>
      <sheetName val="П.з"/>
      <sheetName val="ПИР"/>
      <sheetName val="об"/>
      <sheetName val="мат"/>
      <sheetName val="К.С.М."/>
      <sheetName val="Ф"/>
    </sheetNames>
    <sheetDataSet>
      <sheetData sheetId="0"/>
      <sheetData sheetId="1"/>
      <sheetData sheetId="2">
        <row r="155">
          <cell r="K155">
            <v>585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ж.д."/>
      <sheetName val="Тр.ж.д. (1)"/>
      <sheetName val="ПИР"/>
      <sheetName val="C.с баз"/>
      <sheetName val="зим Б"/>
      <sheetName val="вах"/>
      <sheetName val="эл"/>
      <sheetName val="П.з"/>
      <sheetName val="сод"/>
      <sheetName val="сод.л.см."/>
      <sheetName val="сод.л.р.в.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С-2"/>
      <sheetName val="3"/>
      <sheetName val="Inf"/>
    </sheetNames>
    <sheetDataSet>
      <sheetData sheetId="0">
        <row r="48">
          <cell r="H48">
            <v>65.84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Тр.(пут)"/>
      <sheetName val="Фм"/>
      <sheetName val="К.С.М. 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C.с баз"/>
      <sheetName val="Тр."/>
      <sheetName val="зим Б"/>
      <sheetName val="сод.л.см."/>
      <sheetName val="П.з"/>
      <sheetName val="Об.см."/>
      <sheetName val="вах"/>
      <sheetName val="ПИР"/>
      <sheetName val="Тр.(пут)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сод.л.см."/>
      <sheetName val="П.з"/>
      <sheetName val="ПИР"/>
      <sheetName val="вах"/>
      <sheetName val="Об.см."/>
      <sheetName val="ТрМ. "/>
      <sheetName val="К.С.М. м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urnisseurs"/>
      <sheetName val="Catégories"/>
      <sheetName val="Diffuseurs"/>
      <sheetName val="Terminaux clim"/>
      <sheetName val="AERAULIQUE"/>
      <sheetName val="HYDRAULIQUE"/>
    </sheetNames>
    <sheetDataSet>
      <sheetData sheetId="0" refreshError="1"/>
      <sheetData sheetId="1">
        <row r="5">
          <cell r="B5" t="str">
            <v>Diffuseurs filtres</v>
          </cell>
        </row>
        <row r="6">
          <cell r="B6" t="str">
            <v>Diffuseurs petit débit</v>
          </cell>
        </row>
        <row r="7">
          <cell r="B7" t="str">
            <v>Diffuseurs à induction interne</v>
          </cell>
        </row>
        <row r="8">
          <cell r="B8" t="str">
            <v>Diffuseurs plafonniers perforés</v>
          </cell>
        </row>
        <row r="9">
          <cell r="B9" t="str">
            <v>Diffuseurs longue portée</v>
          </cell>
        </row>
        <row r="10">
          <cell r="B10" t="str">
            <v>Diffuseurs de sol/contre marche pour salle de spectacle</v>
          </cell>
        </row>
        <row r="11">
          <cell r="B11" t="str">
            <v>Buses de soufflages</v>
          </cell>
        </row>
        <row r="12">
          <cell r="B12" t="str">
            <v>Diffuseurs circulaires</v>
          </cell>
        </row>
        <row r="13">
          <cell r="B13" t="str">
            <v>Diffuseurs architecturaux</v>
          </cell>
        </row>
        <row r="14">
          <cell r="B14" t="str">
            <v>Diffuseurs à jets rotatif</v>
          </cell>
        </row>
        <row r="15">
          <cell r="B15" t="str">
            <v>Diffuseurs linéaires</v>
          </cell>
        </row>
        <row r="16">
          <cell r="B16" t="str">
            <v>Diffuseurs pour locaux de grandes hauteur</v>
          </cell>
        </row>
        <row r="17">
          <cell r="B17" t="str">
            <v>Diffuseurs à déplacements</v>
          </cell>
        </row>
        <row r="20">
          <cell r="B20" t="str">
            <v>Catégories de pompes</v>
          </cell>
        </row>
        <row r="22">
          <cell r="B22" t="str">
            <v>Pompes simples</v>
          </cell>
        </row>
        <row r="23">
          <cell r="B23" t="str">
            <v>Pompes doubles</v>
          </cell>
        </row>
        <row r="27">
          <cell r="B27" t="str">
            <v>Catégories de splits</v>
          </cell>
        </row>
        <row r="28">
          <cell r="B28" t="str">
            <v>Monosplit</v>
          </cell>
        </row>
        <row r="29">
          <cell r="B29" t="str">
            <v>Multisplit</v>
          </cell>
        </row>
        <row r="32">
          <cell r="B32" t="str">
            <v>Catégories d'échangeurs à plaques</v>
          </cell>
        </row>
        <row r="33">
          <cell r="B33" t="str">
            <v>465kW</v>
          </cell>
        </row>
        <row r="34">
          <cell r="B34" t="str">
            <v>950kW</v>
          </cell>
        </row>
        <row r="36">
          <cell r="B36" t="str">
            <v>Catégories de ventilo-convecteurs (VC)</v>
          </cell>
        </row>
        <row r="37">
          <cell r="B37" t="str">
            <v>2 tuyaux</v>
          </cell>
        </row>
        <row r="38">
          <cell r="B38" t="str">
            <v>4 tuyaux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ИР б"/>
      <sheetName val="сод.л.см."/>
      <sheetName val="П.з"/>
      <sheetName val="Тр.(ж.д.)"/>
      <sheetName val="ч. щ. 2"/>
      <sheetName val="BDR02"/>
    </sheetNames>
    <sheetDataSet>
      <sheetData sheetId="0" refreshError="1"/>
      <sheetData sheetId="1">
        <row r="97">
          <cell r="H97">
            <v>6.27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Тр."/>
      <sheetName val="3"/>
    </sheetNames>
    <sheetDataSet>
      <sheetData sheetId="0">
        <row r="28">
          <cell r="H28">
            <v>238.77899999999997</v>
          </cell>
        </row>
      </sheetData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FS_05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C.с "/>
      <sheetName val="зим "/>
      <sheetName val="эл т"/>
      <sheetName val="Об.см."/>
      <sheetName val="ПИР"/>
      <sheetName val="тр "/>
      <sheetName val="К.С.М."/>
      <sheetName val="Ф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 "/>
      <sheetName val="эл"/>
      <sheetName val="экспертиза"/>
      <sheetName val="содт"/>
      <sheetName val="июнь ТО-45"/>
    </sheetNames>
    <sheetDataSet>
      <sheetData sheetId="0">
        <row r="31">
          <cell r="F31">
            <v>61643.700000000004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а"/>
      <sheetName val="Зима тек."/>
      <sheetName val="ф3"/>
      <sheetName val="ф3д"/>
      <sheetName val="ф3м"/>
      <sheetName val="Вр"/>
      <sheetName val="Вр тек"/>
      <sheetName val="эл"/>
      <sheetName val="эл т"/>
      <sheetName val="Макрос1"/>
      <sheetName val="Макрос2"/>
      <sheetName val="Макрос3"/>
      <sheetName val="для расчёта"/>
      <sheetName val="Февраль"/>
      <sheetName val="зим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зим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2"/>
      <sheetName val="Лист1"/>
      <sheetName val="Source"/>
      <sheetName val="SmtRes"/>
      <sheetName val="ClcRes"/>
      <sheetName val="Зим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(мост)"/>
      <sheetName val="Тр(дор.)"/>
      <sheetName val="C.с "/>
      <sheetName val="зим"/>
      <sheetName val="П.з. л. c"/>
      <sheetName val="П.з.р.в."/>
      <sheetName val="ПИРб"/>
      <sheetName val="ПИРт"/>
      <sheetName val="Сод р.в."/>
      <sheetName val="Сод.л.см"/>
      <sheetName val="Лист1"/>
      <sheetName val="Зима"/>
      <sheetName val="XRate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1">
          <cell r="D21">
            <v>54.33</v>
          </cell>
        </row>
        <row r="25">
          <cell r="D25">
            <v>1.04</v>
          </cell>
        </row>
        <row r="28">
          <cell r="D28">
            <v>6.99</v>
          </cell>
        </row>
        <row r="36">
          <cell r="F36">
            <v>2.89</v>
          </cell>
        </row>
        <row r="39">
          <cell r="I39">
            <v>36.840000000000003</v>
          </cell>
        </row>
        <row r="49">
          <cell r="D49">
            <v>15.42</v>
          </cell>
        </row>
        <row r="52">
          <cell r="D52">
            <v>9.6999999999999993</v>
          </cell>
        </row>
        <row r="69">
          <cell r="D69">
            <v>159.82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с  (2)"/>
      <sheetName val="ПИРб"/>
      <sheetName val="ПИРтек"/>
      <sheetName val="П.з.р.в."/>
      <sheetName val="К"/>
      <sheetName val="Ф"/>
      <sheetName val="К.С.М."/>
      <sheetName val="Тр."/>
      <sheetName val="Сод.кор."/>
      <sheetName val="Сод р.в."/>
      <sheetName val="Сод.л.см"/>
      <sheetName val="зим (2)"/>
      <sheetName val="вах (2)"/>
      <sheetName val="зим"/>
      <sheetName val="C.с "/>
      <sheetName val="вах"/>
      <sheetName val="ГИБДД"/>
      <sheetName val="эл"/>
      <sheetName val="П.з. л. c"/>
      <sheetName val="П.з. л. c (2)"/>
      <sheetName val="Лист1"/>
      <sheetName val="Зуевка,Прил 4."/>
      <sheetName val="Page1"/>
      <sheetName val="12"/>
      <sheetName val="C.с"/>
      <sheetName val="контрагенты"/>
    </sheetNames>
    <sheetDataSet>
      <sheetData sheetId="0">
        <row r="44">
          <cell r="H44">
            <v>46.16</v>
          </cell>
        </row>
        <row r="80">
          <cell r="I80">
            <v>1135.92</v>
          </cell>
        </row>
      </sheetData>
      <sheetData sheetId="1"/>
      <sheetData sheetId="2">
        <row r="52">
          <cell r="H52">
            <v>58.765040000000006</v>
          </cell>
        </row>
      </sheetData>
      <sheetData sheetId="3">
        <row r="51">
          <cell r="P51">
            <v>8.94</v>
          </cell>
        </row>
      </sheetData>
      <sheetData sheetId="4">
        <row r="35">
          <cell r="H35">
            <v>9.33</v>
          </cell>
        </row>
      </sheetData>
      <sheetData sheetId="5">
        <row r="52">
          <cell r="H52">
            <v>58.765040000000006</v>
          </cell>
        </row>
      </sheetData>
      <sheetData sheetId="6">
        <row r="51">
          <cell r="P51">
            <v>8.94</v>
          </cell>
        </row>
      </sheetData>
      <sheetData sheetId="7">
        <row r="35">
          <cell r="H35">
            <v>9.33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общих данных"/>
      <sheetName val="Лист1"/>
      <sheetName val="Объектн.смета"/>
      <sheetName val="Зима"/>
      <sheetName val="Прочие"/>
      <sheetName val="Врем.здания"/>
      <sheetName val="Сметный расчет стоимости"/>
      <sheetName val="Отпускн.цена"/>
      <sheetName val="Кальк.тр.расх."/>
      <sheetName val="Кальк.стоим."/>
      <sheetName val="Форма прямых затрат"/>
      <sheetName val="Каталог"/>
      <sheetName val="Озеленение"/>
      <sheetName val="Вертик.планировка"/>
      <sheetName val="Автопавильон"/>
      <sheetName val="Пересечения и примыкания"/>
      <sheetName val=" Подготовительные работы"/>
      <sheetName val="Рекультивация"/>
      <sheetName val="Земляное полотно"/>
      <sheetName val="Дорожная одежда"/>
      <sheetName val="Объездные дороги"/>
      <sheetName val="Обстановка дороги"/>
      <sheetName val="Искусственные сооружения"/>
      <sheetName val="C.с "/>
      <sheetName val="зим "/>
    </sheetNames>
    <sheetDataSet>
      <sheetData sheetId="0" refreshError="1"/>
      <sheetData sheetId="1" refreshError="1"/>
      <sheetData sheetId="2" refreshError="1"/>
      <sheetData sheetId="3" refreshError="1">
        <row r="16">
          <cell r="E16">
            <v>6905</v>
          </cell>
        </row>
      </sheetData>
      <sheetData sheetId="4" refreshError="1"/>
      <sheetData sheetId="5" refreshError="1">
        <row r="11">
          <cell r="G11">
            <v>11835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0">
          <cell r="AJ40">
            <v>547</v>
          </cell>
        </row>
      </sheetData>
      <sheetData sheetId="13" refreshError="1">
        <row r="32">
          <cell r="AJ32">
            <v>104</v>
          </cell>
        </row>
      </sheetData>
      <sheetData sheetId="14" refreshError="1">
        <row r="133">
          <cell r="AJ133">
            <v>2055</v>
          </cell>
        </row>
      </sheetData>
      <sheetData sheetId="15" refreshError="1">
        <row r="58">
          <cell r="AJ58">
            <v>24880</v>
          </cell>
        </row>
      </sheetData>
      <sheetData sheetId="16" refreshError="1">
        <row r="15">
          <cell r="AJ15">
            <v>111</v>
          </cell>
        </row>
        <row r="20">
          <cell r="AJ20">
            <v>28</v>
          </cell>
        </row>
        <row r="26">
          <cell r="AJ26">
            <v>1520</v>
          </cell>
        </row>
        <row r="71">
          <cell r="AJ71">
            <v>39</v>
          </cell>
        </row>
      </sheetData>
      <sheetData sheetId="17" refreshError="1">
        <row r="24">
          <cell r="AJ24">
            <v>300</v>
          </cell>
        </row>
        <row r="51">
          <cell r="AJ51">
            <v>4809</v>
          </cell>
        </row>
      </sheetData>
      <sheetData sheetId="18" refreshError="1">
        <row r="49">
          <cell r="AJ49">
            <v>8292</v>
          </cell>
        </row>
        <row r="70">
          <cell r="AJ70">
            <v>5087</v>
          </cell>
        </row>
      </sheetData>
      <sheetData sheetId="19" refreshError="1">
        <row r="30">
          <cell r="AJ30">
            <v>166825</v>
          </cell>
        </row>
        <row r="51">
          <cell r="AJ51">
            <v>6450</v>
          </cell>
        </row>
        <row r="75">
          <cell r="AJ75">
            <v>10305</v>
          </cell>
        </row>
      </sheetData>
      <sheetData sheetId="20" refreshError="1">
        <row r="41">
          <cell r="AJ41">
            <v>4442</v>
          </cell>
        </row>
      </sheetData>
      <sheetData sheetId="21" refreshError="1">
        <row r="24">
          <cell r="AJ24">
            <v>476</v>
          </cell>
        </row>
        <row r="42">
          <cell r="AJ42">
            <v>1797</v>
          </cell>
        </row>
        <row r="66">
          <cell r="AJ66">
            <v>6532</v>
          </cell>
        </row>
        <row r="103">
          <cell r="AJ103">
            <v>1440</v>
          </cell>
        </row>
        <row r="121">
          <cell r="AJ121">
            <v>303</v>
          </cell>
        </row>
      </sheetData>
      <sheetData sheetId="22" refreshError="1">
        <row r="182">
          <cell r="AJ182">
            <v>30439</v>
          </cell>
        </row>
      </sheetData>
      <sheetData sheetId="23" refreshError="1"/>
      <sheetData sheetId="2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011"/>
      <sheetName val="09.2011"/>
      <sheetName val="10.2011"/>
      <sheetName val="11.2011"/>
      <sheetName val="12.2011"/>
      <sheetName val="01.2012"/>
      <sheetName val="02.2012"/>
      <sheetName val="03.2012"/>
      <sheetName val="04.2012"/>
      <sheetName val="05.2012"/>
      <sheetName val="06.2012"/>
      <sheetName val="07.2012"/>
      <sheetName val="08.2012"/>
      <sheetName val="09.2012"/>
      <sheetName val="05.2013"/>
      <sheetName val="06.2013"/>
      <sheetName val="07.2013"/>
      <sheetName val="08.2013"/>
      <sheetName val="09.2013"/>
      <sheetName val="Лист1"/>
      <sheetName val="Лист2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18">
          <cell r="C418" t="str">
            <v>Воробьев Борис Олегович</v>
          </cell>
          <cell r="D418" t="str">
            <v xml:space="preserve">мастер горный </v>
          </cell>
          <cell r="E418" t="str">
            <v>ЕВ20101156 937196</v>
          </cell>
          <cell r="F418">
            <v>2587</v>
          </cell>
          <cell r="G418">
            <v>2192.73</v>
          </cell>
          <cell r="H418">
            <v>0</v>
          </cell>
        </row>
        <row r="419">
          <cell r="C419" t="str">
            <v>Довбня Владислав Сергеевич</v>
          </cell>
          <cell r="D419" t="str">
            <v>маркшейдер</v>
          </cell>
          <cell r="E419" t="str">
            <v>ГВ2010105 484666</v>
          </cell>
          <cell r="F419">
            <v>1776.4</v>
          </cell>
          <cell r="G419">
            <v>1505.77</v>
          </cell>
          <cell r="H419">
            <v>0</v>
          </cell>
        </row>
        <row r="420">
          <cell r="C420" t="str">
            <v>Коротун Павел Владимирович</v>
          </cell>
          <cell r="D420" t="str">
            <v xml:space="preserve">мастер горный </v>
          </cell>
          <cell r="E420" t="str">
            <v>ВЛ2010086 112755</v>
          </cell>
          <cell r="F420">
            <v>1567.5</v>
          </cell>
          <cell r="G420">
            <v>1328.74</v>
          </cell>
          <cell r="H420">
            <v>1121.96</v>
          </cell>
        </row>
        <row r="421">
          <cell r="E421" t="str">
            <v>ВЛ2010086 115206</v>
          </cell>
          <cell r="F421">
            <v>1323.5</v>
          </cell>
          <cell r="G421">
            <v>1121.96</v>
          </cell>
          <cell r="H421">
            <v>0</v>
          </cell>
        </row>
        <row r="422">
          <cell r="C422" t="str">
            <v>Криворотов Сергей Александрович</v>
          </cell>
          <cell r="D422" t="str">
            <v>помощник электромеханика</v>
          </cell>
          <cell r="E422">
            <v>67061257322652</v>
          </cell>
          <cell r="F422">
            <v>1933.4</v>
          </cell>
          <cell r="G422">
            <v>1638.47</v>
          </cell>
          <cell r="H422">
            <v>0</v>
          </cell>
        </row>
        <row r="423">
          <cell r="C423" t="str">
            <v>Петров Андрей Юрьевич</v>
          </cell>
          <cell r="D423" t="str">
            <v>маркшейдер</v>
          </cell>
          <cell r="E423" t="str">
            <v>ВЛ2010086 036508</v>
          </cell>
          <cell r="F423">
            <v>997</v>
          </cell>
          <cell r="G423">
            <v>845.26</v>
          </cell>
          <cell r="H423">
            <v>1328.73</v>
          </cell>
        </row>
        <row r="424">
          <cell r="E424" t="str">
            <v>ВБ2010078 340498</v>
          </cell>
          <cell r="F424">
            <v>1567.5</v>
          </cell>
          <cell r="G424">
            <v>1328.73</v>
          </cell>
          <cell r="H424">
            <v>0</v>
          </cell>
        </row>
        <row r="425">
          <cell r="C425" t="str">
            <v>Рыбчак Евгений Васильевич</v>
          </cell>
          <cell r="D425" t="str">
            <v>маркшейдер</v>
          </cell>
          <cell r="E425" t="str">
            <v>ГВ2010105 484666</v>
          </cell>
          <cell r="F425">
            <v>2090</v>
          </cell>
          <cell r="G425">
            <v>1771.49</v>
          </cell>
          <cell r="H425">
            <v>0</v>
          </cell>
        </row>
        <row r="426">
          <cell r="H426">
            <v>0</v>
          </cell>
        </row>
        <row r="427">
          <cell r="C427" t="str">
            <v>Агарков Евгений Григорьевич</v>
          </cell>
          <cell r="D427" t="str">
            <v>электрогазосварщик занятый на резке и ручной сварке о/г.р.</v>
          </cell>
          <cell r="E427" t="str">
            <v>ЯИ2010707 201951</v>
          </cell>
          <cell r="F427">
            <v>1567.5</v>
          </cell>
          <cell r="G427">
            <v>1328.73</v>
          </cell>
          <cell r="H427">
            <v>1638.82</v>
          </cell>
        </row>
        <row r="428">
          <cell r="E428" t="str">
            <v>РЖ2007013875451</v>
          </cell>
          <cell r="F428">
            <v>1933.4</v>
          </cell>
          <cell r="G428">
            <v>1638.82</v>
          </cell>
          <cell r="H428">
            <v>0</v>
          </cell>
        </row>
        <row r="429">
          <cell r="C429" t="str">
            <v>Акимов Сергей Владимирович</v>
          </cell>
          <cell r="D429" t="str">
            <v>электросварщик ручной сварки о/г.р.</v>
          </cell>
          <cell r="E429" t="str">
            <v>ЮЭ2010697 044257</v>
          </cell>
          <cell r="F429">
            <v>997</v>
          </cell>
          <cell r="G429">
            <v>845.26</v>
          </cell>
          <cell r="H429">
            <v>1121.96</v>
          </cell>
        </row>
        <row r="430">
          <cell r="E430" t="str">
            <v>ЕВ2010156 935749</v>
          </cell>
          <cell r="F430">
            <v>1323.5</v>
          </cell>
          <cell r="G430">
            <v>1121.96</v>
          </cell>
          <cell r="H430">
            <v>0</v>
          </cell>
        </row>
        <row r="431">
          <cell r="C431" t="str">
            <v>Алексеев Александр Борисович</v>
          </cell>
          <cell r="D431" t="str">
            <v>проходчик на поверхностных работах</v>
          </cell>
          <cell r="E431">
            <v>304848</v>
          </cell>
          <cell r="F431">
            <v>1000</v>
          </cell>
          <cell r="G431">
            <v>847.46</v>
          </cell>
          <cell r="H431">
            <v>847.46</v>
          </cell>
        </row>
        <row r="432">
          <cell r="E432">
            <v>84440</v>
          </cell>
          <cell r="F432">
            <v>1000</v>
          </cell>
          <cell r="G432">
            <v>847.46</v>
          </cell>
          <cell r="H432">
            <v>0</v>
          </cell>
        </row>
        <row r="433">
          <cell r="C433" t="str">
            <v>Алексеев Юрий Семенович</v>
          </cell>
          <cell r="D433" t="str">
            <v>проходчик на поверхностных работах</v>
          </cell>
          <cell r="E433" t="str">
            <v>АИ2010032 717580</v>
          </cell>
          <cell r="F433">
            <v>1428.1</v>
          </cell>
          <cell r="G433">
            <v>1210.6099999999999</v>
          </cell>
          <cell r="H433">
            <v>0</v>
          </cell>
        </row>
        <row r="434">
          <cell r="C434" t="str">
            <v>Андреев Максим Николаевич</v>
          </cell>
          <cell r="D434" t="str">
            <v>электрослесарь (слесарь) дежурный и по ремонту оборудования</v>
          </cell>
          <cell r="E434" t="str">
            <v>ЮЭ2010697 947958</v>
          </cell>
          <cell r="F434">
            <v>1079.5999999999999</v>
          </cell>
          <cell r="G434">
            <v>915.27</v>
          </cell>
          <cell r="H434">
            <v>1195.5999999999999</v>
          </cell>
        </row>
        <row r="435">
          <cell r="E435" t="str">
            <v>АП2010037 985201</v>
          </cell>
          <cell r="F435">
            <v>1410.4</v>
          </cell>
          <cell r="G435">
            <v>1195.5999999999999</v>
          </cell>
          <cell r="H435">
            <v>0</v>
          </cell>
        </row>
        <row r="436">
          <cell r="C436" t="str">
            <v>Андрющенко Алексей Федорович</v>
          </cell>
          <cell r="D436" t="str">
            <v>электрогазосварщик занятый на резке и ручной сварке о/г.р.</v>
          </cell>
          <cell r="E436" t="str">
            <v>ГВ2010105 564922</v>
          </cell>
          <cell r="F436">
            <v>1567.5</v>
          </cell>
          <cell r="G436">
            <v>1328.73</v>
          </cell>
          <cell r="H436">
            <v>1638.82</v>
          </cell>
        </row>
        <row r="437">
          <cell r="E437" t="str">
            <v>АП2010037 926474</v>
          </cell>
          <cell r="F437">
            <v>1933.4</v>
          </cell>
          <cell r="G437">
            <v>1638.82</v>
          </cell>
          <cell r="H437">
            <v>0</v>
          </cell>
        </row>
        <row r="438">
          <cell r="C438" t="str">
            <v>Анкудинов Василий Юрьевич</v>
          </cell>
          <cell r="D438" t="str">
            <v>электрогазосварщик занятый на резке и ручной сварке о/г.р.</v>
          </cell>
          <cell r="E438" t="str">
            <v>ЧБ2010571 782752</v>
          </cell>
          <cell r="F438">
            <v>2090.3000000000002</v>
          </cell>
          <cell r="G438">
            <v>1771.79</v>
          </cell>
          <cell r="H438">
            <v>0</v>
          </cell>
        </row>
        <row r="439">
          <cell r="C439" t="str">
            <v>Апарович Виталий Геннадьевич</v>
          </cell>
          <cell r="D439" t="str">
            <v xml:space="preserve">горнорабочий </v>
          </cell>
          <cell r="E439" t="str">
            <v>ВЕ2010082 594261</v>
          </cell>
          <cell r="F439">
            <v>997</v>
          </cell>
          <cell r="G439">
            <v>845.26</v>
          </cell>
          <cell r="H439">
            <v>915.27</v>
          </cell>
        </row>
        <row r="440">
          <cell r="E440" t="str">
            <v>ГМ2010113 442850</v>
          </cell>
          <cell r="F440">
            <v>1079.5999999999999</v>
          </cell>
          <cell r="G440">
            <v>915.27</v>
          </cell>
          <cell r="H440">
            <v>0</v>
          </cell>
        </row>
        <row r="441">
          <cell r="C441" t="str">
            <v>Арнаутов Александр Александрович</v>
          </cell>
          <cell r="D441" t="str">
            <v>электрослесарь (слесарь) дежурный и по ремонту оборудования</v>
          </cell>
          <cell r="E441" t="str">
            <v>ВЛ2010086 113339</v>
          </cell>
          <cell r="F441">
            <v>1079.5999999999999</v>
          </cell>
          <cell r="G441">
            <v>915.27</v>
          </cell>
          <cell r="H441">
            <v>0</v>
          </cell>
        </row>
        <row r="442">
          <cell r="C442" t="str">
            <v>Базулин Александр Васильевич</v>
          </cell>
          <cell r="D442" t="str">
            <v>электрослесарь (слесарь) дежурный и по ремонту оборудования</v>
          </cell>
          <cell r="E442" t="str">
            <v>АИ2010032 739055</v>
          </cell>
          <cell r="F442">
            <v>1567.5</v>
          </cell>
          <cell r="G442">
            <v>1328.73</v>
          </cell>
          <cell r="H442">
            <v>1638.82</v>
          </cell>
        </row>
        <row r="443">
          <cell r="E443" t="str">
            <v>АИ2010032 739056</v>
          </cell>
          <cell r="F443">
            <v>1933.4</v>
          </cell>
          <cell r="G443">
            <v>1638.82</v>
          </cell>
          <cell r="H443">
            <v>0</v>
          </cell>
        </row>
        <row r="444">
          <cell r="C444" t="str">
            <v>Баклаженко Артем Сергеевич</v>
          </cell>
          <cell r="D444" t="str">
            <v>электрогазосварщик занятый на резке и ручной сварке о/г.р.</v>
          </cell>
          <cell r="E444" t="str">
            <v>ЩН2010633 911801</v>
          </cell>
          <cell r="F444">
            <v>1567.5</v>
          </cell>
          <cell r="G444">
            <v>1328.73</v>
          </cell>
          <cell r="H444">
            <v>1647.39</v>
          </cell>
        </row>
        <row r="445">
          <cell r="E445" t="str">
            <v>АП2010037 946007</v>
          </cell>
          <cell r="F445">
            <v>1943.5</v>
          </cell>
          <cell r="G445">
            <v>1647.39</v>
          </cell>
          <cell r="H445">
            <v>0</v>
          </cell>
        </row>
        <row r="446">
          <cell r="C446" t="str">
            <v>Белоусов Павел Анатольевич</v>
          </cell>
          <cell r="D446" t="str">
            <v>электрослесарь (слесарь) дежурный и по ремонту оборудования</v>
          </cell>
          <cell r="E446" t="str">
            <v>АК2010033 066391</v>
          </cell>
          <cell r="F446">
            <v>1567.5</v>
          </cell>
          <cell r="G446">
            <v>1328.73</v>
          </cell>
          <cell r="H446">
            <v>1328.73</v>
          </cell>
        </row>
        <row r="447">
          <cell r="E447" t="str">
            <v>ГВ2010105 484918</v>
          </cell>
          <cell r="F447">
            <v>1567.5</v>
          </cell>
          <cell r="G447">
            <v>1328.73</v>
          </cell>
          <cell r="H447">
            <v>0</v>
          </cell>
        </row>
        <row r="448">
          <cell r="C448" t="str">
            <v>Бида Андрей Александрович</v>
          </cell>
          <cell r="D448" t="str">
            <v>электросварщик ручной сварки</v>
          </cell>
          <cell r="E448" t="str">
            <v>ЕВ2010156 949692</v>
          </cell>
          <cell r="F448">
            <v>1079.5999999999999</v>
          </cell>
          <cell r="G448">
            <v>915.27</v>
          </cell>
          <cell r="H448">
            <v>0</v>
          </cell>
        </row>
        <row r="449">
          <cell r="C449" t="str">
            <v>Билалов Сергей Владимирович</v>
          </cell>
          <cell r="D449" t="str">
            <v>электрогазосварщик занятый на резке и ручной сварке о/г.р.</v>
          </cell>
          <cell r="E449" t="str">
            <v>ЮЭ2010697 915756</v>
          </cell>
          <cell r="F449">
            <v>1079.5999999999999</v>
          </cell>
          <cell r="G449">
            <v>915.27</v>
          </cell>
          <cell r="H449">
            <v>1121.96</v>
          </cell>
        </row>
        <row r="450">
          <cell r="E450" t="str">
            <v>ЕВ2010156 933744</v>
          </cell>
          <cell r="F450">
            <v>1323.5</v>
          </cell>
          <cell r="G450">
            <v>1121.96</v>
          </cell>
          <cell r="H450">
            <v>0</v>
          </cell>
        </row>
        <row r="451">
          <cell r="C451" t="str">
            <v>Богосов Аркадий Николаевич</v>
          </cell>
          <cell r="D451" t="str">
            <v>горнорабочий о/г.р</v>
          </cell>
          <cell r="E451" t="str">
            <v>ЧБ2010571 838105</v>
          </cell>
          <cell r="F451">
            <v>1567.5</v>
          </cell>
          <cell r="G451">
            <v>1328.73</v>
          </cell>
          <cell r="H451">
            <v>2303.4899999999998</v>
          </cell>
        </row>
        <row r="452">
          <cell r="E452" t="str">
            <v>ЧБ2010571 838101</v>
          </cell>
          <cell r="F452">
            <v>2717.7</v>
          </cell>
          <cell r="G452">
            <v>2303.4899999999998</v>
          </cell>
          <cell r="H452">
            <v>0</v>
          </cell>
        </row>
        <row r="453">
          <cell r="C453" t="str">
            <v>Бондарев Иван Викторович</v>
          </cell>
          <cell r="D453" t="str">
            <v>горнорабочий о/г.р</v>
          </cell>
          <cell r="E453" t="str">
            <v>ЕВ2010156 929750</v>
          </cell>
          <cell r="F453">
            <v>1149</v>
          </cell>
          <cell r="G453">
            <v>974.08</v>
          </cell>
          <cell r="H453">
            <v>0</v>
          </cell>
        </row>
        <row r="454">
          <cell r="C454" t="str">
            <v>Вальков Виктор Анатольевич</v>
          </cell>
          <cell r="D454" t="str">
            <v>электрослесарь (слесарь) дежурный и по ремонту оборудования</v>
          </cell>
          <cell r="E454" t="str">
            <v>ВЛ2010086 291148</v>
          </cell>
          <cell r="F454">
            <v>1567.5</v>
          </cell>
          <cell r="G454">
            <v>1328.73</v>
          </cell>
          <cell r="H454">
            <v>1638.82</v>
          </cell>
        </row>
        <row r="455">
          <cell r="E455" t="str">
            <v>ЕГ2010157 235219</v>
          </cell>
          <cell r="F455">
            <v>1933.4</v>
          </cell>
          <cell r="G455">
            <v>1638.82</v>
          </cell>
          <cell r="H455">
            <v>0</v>
          </cell>
        </row>
        <row r="456">
          <cell r="C456" t="str">
            <v>Ведерников Олег Владимирович</v>
          </cell>
          <cell r="D456" t="str">
            <v>проходчик на поверхностных работах</v>
          </cell>
          <cell r="E456" t="str">
            <v>АК2010033 139317</v>
          </cell>
          <cell r="F456">
            <v>1497.9</v>
          </cell>
          <cell r="G456">
            <v>1269.75</v>
          </cell>
          <cell r="H456">
            <v>0</v>
          </cell>
        </row>
        <row r="457">
          <cell r="C457" t="str">
            <v>Винников Алексей Николаевич</v>
          </cell>
          <cell r="D457" t="str">
            <v xml:space="preserve">горнорабочий </v>
          </cell>
          <cell r="E457" t="str">
            <v>ЮЭ2010697 915796</v>
          </cell>
          <cell r="F457">
            <v>1079.5999999999999</v>
          </cell>
          <cell r="G457">
            <v>915.27</v>
          </cell>
          <cell r="H457">
            <v>1121.96</v>
          </cell>
        </row>
        <row r="458">
          <cell r="E458" t="str">
            <v>ГЕ2010108 884777</v>
          </cell>
          <cell r="F458">
            <v>1323.5</v>
          </cell>
          <cell r="G458">
            <v>1121.96</v>
          </cell>
          <cell r="H458">
            <v>0</v>
          </cell>
        </row>
        <row r="459">
          <cell r="C459" t="str">
            <v>Винтоняк Алексей Николаевич</v>
          </cell>
          <cell r="D459" t="str">
            <v xml:space="preserve">горнорабочий </v>
          </cell>
          <cell r="E459" t="str">
            <v>ВЛ2010086 113338</v>
          </cell>
          <cell r="F459">
            <v>1079.5999999999999</v>
          </cell>
          <cell r="G459">
            <v>915.27</v>
          </cell>
          <cell r="H459">
            <v>915.27</v>
          </cell>
        </row>
        <row r="460">
          <cell r="E460" t="str">
            <v>ЕВ2010156 910420</v>
          </cell>
          <cell r="F460">
            <v>1079.5999999999999</v>
          </cell>
          <cell r="G460">
            <v>915.27</v>
          </cell>
          <cell r="H460">
            <v>0</v>
          </cell>
        </row>
        <row r="461">
          <cell r="C461" t="str">
            <v>Войнов Геннадий Викторович</v>
          </cell>
          <cell r="D461" t="str">
            <v xml:space="preserve">горнорабочий </v>
          </cell>
          <cell r="E461" t="str">
            <v>ЮЭ2010697 350911</v>
          </cell>
          <cell r="F461">
            <v>1497.9</v>
          </cell>
          <cell r="G461">
            <v>1269.75</v>
          </cell>
          <cell r="H461">
            <v>1774.5</v>
          </cell>
        </row>
        <row r="462">
          <cell r="E462" t="str">
            <v>РЖ2007013736492</v>
          </cell>
          <cell r="F462">
            <v>2093.5</v>
          </cell>
          <cell r="G462">
            <v>1774.5</v>
          </cell>
          <cell r="H462">
            <v>0</v>
          </cell>
        </row>
        <row r="463">
          <cell r="C463" t="str">
            <v>Галибин Сергей Валентинович</v>
          </cell>
          <cell r="D463" t="str">
            <v>электрослесарь (слесарь) дежурный и по ремонту оборудования</v>
          </cell>
          <cell r="E463" t="str">
            <v>ЮЭ2010697 016177</v>
          </cell>
          <cell r="F463">
            <v>1567.5</v>
          </cell>
          <cell r="G463">
            <v>1328.73</v>
          </cell>
          <cell r="H463">
            <v>1328.73</v>
          </cell>
        </row>
        <row r="464">
          <cell r="E464" t="str">
            <v>ГВ20101105 484858</v>
          </cell>
          <cell r="F464">
            <v>1567.5</v>
          </cell>
          <cell r="G464">
            <v>1328.73</v>
          </cell>
          <cell r="H464">
            <v>0</v>
          </cell>
        </row>
        <row r="465">
          <cell r="C465" t="str">
            <v>Гамидов Ардаш Юсифович</v>
          </cell>
          <cell r="D465" t="str">
            <v>проходчик на поверхностных работах</v>
          </cell>
          <cell r="E465" t="str">
            <v>ЧБ2010571 838108</v>
          </cell>
          <cell r="F465">
            <v>1567.5</v>
          </cell>
          <cell r="G465">
            <v>1328.73</v>
          </cell>
          <cell r="H465">
            <v>0</v>
          </cell>
        </row>
        <row r="466">
          <cell r="C466" t="str">
            <v>Гамидов Юсиф Ашраф Оглы</v>
          </cell>
          <cell r="D466" t="str">
            <v xml:space="preserve">горнорабочий </v>
          </cell>
          <cell r="E466" t="str">
            <v>ЧБ2010571 838106</v>
          </cell>
          <cell r="F466">
            <v>1567.5</v>
          </cell>
          <cell r="G466">
            <v>1328.73</v>
          </cell>
          <cell r="H466">
            <v>2303.4899999999998</v>
          </cell>
        </row>
        <row r="467">
          <cell r="E467" t="str">
            <v>ГЕ2010108 884914</v>
          </cell>
          <cell r="F467">
            <v>2717.7</v>
          </cell>
          <cell r="G467">
            <v>2303.4899999999998</v>
          </cell>
          <cell r="H467">
            <v>0</v>
          </cell>
        </row>
        <row r="468">
          <cell r="C468" t="str">
            <v>Ганусевич Олег Валерьевич</v>
          </cell>
          <cell r="D468" t="str">
            <v>электрослесарь (слесарь) дежурный и по ремонту оборудования</v>
          </cell>
          <cell r="E468" t="str">
            <v>ШГ2010599 055457</v>
          </cell>
          <cell r="F468">
            <v>1218.9000000000001</v>
          </cell>
          <cell r="G468">
            <v>1033.31</v>
          </cell>
          <cell r="H468">
            <v>887.8</v>
          </cell>
        </row>
        <row r="469">
          <cell r="E469">
            <v>72670400448801</v>
          </cell>
          <cell r="F469">
            <v>1047.5999999999999</v>
          </cell>
          <cell r="G469">
            <v>887.8</v>
          </cell>
          <cell r="H469">
            <v>0</v>
          </cell>
        </row>
        <row r="470">
          <cell r="C470" t="str">
            <v>Гладченко Виктор Иванович</v>
          </cell>
          <cell r="D470" t="str">
            <v>электрослесарь (слесарь) дежурный и по ремонту оборудования</v>
          </cell>
          <cell r="E470" t="str">
            <v>ГБ2010104 241427</v>
          </cell>
          <cell r="F470">
            <v>1149</v>
          </cell>
          <cell r="G470">
            <v>974.08</v>
          </cell>
          <cell r="H470">
            <v>1195.5999999999999</v>
          </cell>
        </row>
        <row r="471">
          <cell r="E471" t="str">
            <v>ШГ2010599 055905</v>
          </cell>
          <cell r="F471">
            <v>1410.4</v>
          </cell>
          <cell r="G471">
            <v>1195.5999999999999</v>
          </cell>
          <cell r="H471">
            <v>0</v>
          </cell>
        </row>
        <row r="472">
          <cell r="C472" t="str">
            <v>Гольченко Антон Николаевич</v>
          </cell>
          <cell r="D472" t="str">
            <v>электрогазосварщик занятый на резке и ручной сварке о/г.р.</v>
          </cell>
          <cell r="E472" t="str">
            <v>ЧБ2010571 780643</v>
          </cell>
          <cell r="F472">
            <v>1079.5999999999999</v>
          </cell>
          <cell r="G472">
            <v>915.27</v>
          </cell>
          <cell r="H472">
            <v>915.27</v>
          </cell>
        </row>
        <row r="473">
          <cell r="E473" t="str">
            <v>ЕВ2010156 910423</v>
          </cell>
          <cell r="F473">
            <v>1079.5999999999999</v>
          </cell>
          <cell r="G473">
            <v>915.27</v>
          </cell>
          <cell r="H473">
            <v>0</v>
          </cell>
        </row>
        <row r="474">
          <cell r="C474" t="str">
            <v>Гулов Руслан Викторович</v>
          </cell>
          <cell r="D474" t="str">
            <v xml:space="preserve">горнорабочий </v>
          </cell>
          <cell r="E474" t="str">
            <v>ЮЭ2010697 947117</v>
          </cell>
          <cell r="F474">
            <v>1079.5999999999999</v>
          </cell>
          <cell r="G474">
            <v>915.27</v>
          </cell>
          <cell r="H474">
            <v>0</v>
          </cell>
        </row>
        <row r="475">
          <cell r="C475" t="str">
            <v>Гуляев Валерий Александрович</v>
          </cell>
          <cell r="D475" t="str">
            <v>электрослесарь (слесарь) дежурный и по ремонту оборудования</v>
          </cell>
          <cell r="E475" t="str">
            <v>ЕВ2010156 932705</v>
          </cell>
          <cell r="F475">
            <v>978.2</v>
          </cell>
          <cell r="G475">
            <v>829.34</v>
          </cell>
          <cell r="H475">
            <v>0</v>
          </cell>
        </row>
        <row r="476">
          <cell r="C476" t="str">
            <v>Гусак Александр Леонидович</v>
          </cell>
          <cell r="D476" t="str">
            <v>электросварщик ручной сварки</v>
          </cell>
          <cell r="E476" t="str">
            <v>ШБ2010597 746109</v>
          </cell>
          <cell r="F476">
            <v>1567.5</v>
          </cell>
          <cell r="G476">
            <v>1328.73</v>
          </cell>
          <cell r="H476">
            <v>1638.82</v>
          </cell>
        </row>
        <row r="477">
          <cell r="E477" t="str">
            <v>ШБ2010597 746110</v>
          </cell>
          <cell r="F477">
            <v>1933.4</v>
          </cell>
          <cell r="G477">
            <v>1638.82</v>
          </cell>
          <cell r="H477">
            <v>0</v>
          </cell>
        </row>
        <row r="478">
          <cell r="C478" t="str">
            <v>Гущин Владимир Петрович</v>
          </cell>
          <cell r="D478" t="str">
            <v>электрослесарь (слесарь) дежурный и по ремонту оборудования</v>
          </cell>
          <cell r="E478" t="str">
            <v>ЮЭ2010697 915679</v>
          </cell>
          <cell r="F478">
            <v>1079.5999999999999</v>
          </cell>
          <cell r="G478">
            <v>915.27</v>
          </cell>
          <cell r="H478">
            <v>1121.96</v>
          </cell>
        </row>
        <row r="479">
          <cell r="E479" t="str">
            <v>АП2010037 917662</v>
          </cell>
          <cell r="F479">
            <v>1323.5</v>
          </cell>
          <cell r="G479">
            <v>1121.96</v>
          </cell>
          <cell r="H479">
            <v>0</v>
          </cell>
        </row>
        <row r="480">
          <cell r="C480" t="str">
            <v>Денщиков Алексей Владимирович</v>
          </cell>
          <cell r="D480" t="str">
            <v>электрогазосварщик, занятый на резке и ручной сварке</v>
          </cell>
          <cell r="E480" t="str">
            <v>АИ2010032 739054</v>
          </cell>
          <cell r="F480">
            <v>1567.5</v>
          </cell>
          <cell r="G480">
            <v>1328.73</v>
          </cell>
          <cell r="H480">
            <v>1638.82</v>
          </cell>
        </row>
        <row r="481">
          <cell r="E481" t="str">
            <v>ГМ2010113 481488</v>
          </cell>
          <cell r="F481">
            <v>1933.4</v>
          </cell>
          <cell r="G481">
            <v>1638.82</v>
          </cell>
          <cell r="H481">
            <v>0</v>
          </cell>
        </row>
        <row r="482">
          <cell r="C482" t="str">
            <v>Дзюба Сергей Александрович</v>
          </cell>
          <cell r="D482" t="str">
            <v>электросварщик ручной сварки</v>
          </cell>
          <cell r="E482" t="str">
            <v>АП2010037 900163</v>
          </cell>
          <cell r="F482">
            <v>1009.6</v>
          </cell>
          <cell r="G482">
            <v>855.94</v>
          </cell>
          <cell r="H482">
            <v>0</v>
          </cell>
        </row>
        <row r="483">
          <cell r="C483" t="str">
            <v>Доценко Сергей Григорьевич</v>
          </cell>
          <cell r="D483" t="str">
            <v>электрогазосварщик, занятый на резке и ручной сварке</v>
          </cell>
          <cell r="E483" t="str">
            <v>АК2010033 047159</v>
          </cell>
          <cell r="F483">
            <v>1497.9</v>
          </cell>
          <cell r="G483">
            <v>1269.75</v>
          </cell>
          <cell r="H483">
            <v>1491.2</v>
          </cell>
        </row>
        <row r="484">
          <cell r="E484" t="str">
            <v>ГМ2010113 493568</v>
          </cell>
          <cell r="F484">
            <v>1759.2</v>
          </cell>
          <cell r="G484">
            <v>1491.2</v>
          </cell>
          <cell r="H484">
            <v>0</v>
          </cell>
        </row>
        <row r="485">
          <cell r="C485" t="str">
            <v>Драгунцов Александр Владимирович</v>
          </cell>
          <cell r="D485" t="str">
            <v>проходчик на поверхностных работах</v>
          </cell>
          <cell r="E485" t="str">
            <v>ЧБ2010571 481918</v>
          </cell>
          <cell r="F485">
            <v>1149</v>
          </cell>
          <cell r="G485">
            <v>974.08</v>
          </cell>
          <cell r="H485">
            <v>888.15</v>
          </cell>
        </row>
        <row r="486">
          <cell r="E486" t="str">
            <v>ГВ2010105 484856</v>
          </cell>
          <cell r="F486">
            <v>1047.5999999999999</v>
          </cell>
          <cell r="G486">
            <v>888.15</v>
          </cell>
          <cell r="H486">
            <v>0</v>
          </cell>
        </row>
        <row r="487">
          <cell r="C487" t="str">
            <v>Дударов Муса Кантемирович</v>
          </cell>
          <cell r="D487" t="str">
            <v>проходчик на поверхностных работах</v>
          </cell>
          <cell r="E487" t="str">
            <v>ВЛ2010086 288225</v>
          </cell>
          <cell r="F487">
            <v>1567.5</v>
          </cell>
          <cell r="G487">
            <v>1328.73</v>
          </cell>
          <cell r="H487">
            <v>1328.73</v>
          </cell>
        </row>
        <row r="488">
          <cell r="E488" t="str">
            <v>ГВ 2010105 484901</v>
          </cell>
          <cell r="F488">
            <v>1567.5</v>
          </cell>
          <cell r="G488">
            <v>1328.73</v>
          </cell>
          <cell r="H488">
            <v>0</v>
          </cell>
        </row>
        <row r="489">
          <cell r="C489" t="str">
            <v>Дужик Виктор Васильевич</v>
          </cell>
          <cell r="D489" t="str">
            <v>горнорабочий</v>
          </cell>
          <cell r="E489" t="str">
            <v>ЮЭ2010697 915803</v>
          </cell>
          <cell r="F489">
            <v>1079.5999999999999</v>
          </cell>
          <cell r="G489">
            <v>915.27</v>
          </cell>
          <cell r="H489">
            <v>1121.96</v>
          </cell>
        </row>
        <row r="490">
          <cell r="E490" t="str">
            <v>ЕВ2010156 969278</v>
          </cell>
          <cell r="F490">
            <v>1323.5</v>
          </cell>
          <cell r="G490">
            <v>1121.96</v>
          </cell>
          <cell r="H490">
            <v>0</v>
          </cell>
        </row>
        <row r="491">
          <cell r="C491" t="str">
            <v>Дьяков Андрей Николаевич</v>
          </cell>
          <cell r="D491" t="str">
            <v xml:space="preserve">горнорабочий </v>
          </cell>
          <cell r="E491" t="str">
            <v>ЮЭ2010697 915803</v>
          </cell>
          <cell r="F491">
            <v>1428.1</v>
          </cell>
          <cell r="G491">
            <v>1210.6099999999999</v>
          </cell>
          <cell r="H491">
            <v>1771.79</v>
          </cell>
        </row>
        <row r="492">
          <cell r="E492" t="str">
            <v>ГВ2010105 484855</v>
          </cell>
          <cell r="F492">
            <v>2090.3000000000002</v>
          </cell>
          <cell r="G492">
            <v>1771.79</v>
          </cell>
          <cell r="H492">
            <v>0</v>
          </cell>
        </row>
        <row r="493">
          <cell r="C493" t="str">
            <v>Ермилов Роман Юрьевич</v>
          </cell>
          <cell r="D493" t="str">
            <v>электрогазосварщик, занятый на резке и ручной сварке</v>
          </cell>
          <cell r="E493" t="str">
            <v>ЮЭ2010697 915624</v>
          </cell>
          <cell r="F493">
            <v>1149</v>
          </cell>
          <cell r="G493">
            <v>974.08</v>
          </cell>
          <cell r="H493">
            <v>0</v>
          </cell>
        </row>
        <row r="494">
          <cell r="C494" t="str">
            <v>Жмыхов Игорь Иванович</v>
          </cell>
          <cell r="D494" t="str">
            <v>электросварщик ручной сварки</v>
          </cell>
          <cell r="E494" t="str">
            <v>ЮМ2010684 418031</v>
          </cell>
          <cell r="F494">
            <v>997</v>
          </cell>
          <cell r="G494">
            <v>845.26</v>
          </cell>
          <cell r="H494">
            <v>0</v>
          </cell>
        </row>
        <row r="495">
          <cell r="C495" t="str">
            <v>Жуков Анатолий Николаевич</v>
          </cell>
          <cell r="D495" t="str">
            <v>электрогазосварщик, занятый на резке и ручной сварке</v>
          </cell>
          <cell r="E495" t="str">
            <v>ЕВ2010156 949691</v>
          </cell>
          <cell r="F495">
            <v>1079.5999999999999</v>
          </cell>
          <cell r="G495">
            <v>915.27</v>
          </cell>
          <cell r="H495">
            <v>0</v>
          </cell>
        </row>
        <row r="496">
          <cell r="C496" t="str">
            <v>Журба Дмитрий Александрович</v>
          </cell>
          <cell r="D496" t="str">
            <v>проходчик на поверхностных работах</v>
          </cell>
          <cell r="E496" t="str">
            <v>ЮЭ2010697 350581</v>
          </cell>
          <cell r="F496">
            <v>1497.9</v>
          </cell>
          <cell r="G496">
            <v>1269.75</v>
          </cell>
          <cell r="H496">
            <v>0</v>
          </cell>
        </row>
        <row r="497">
          <cell r="C497" t="str">
            <v>Загребин Вадим Викторович</v>
          </cell>
          <cell r="D497" t="str">
            <v>электрослесарь (слесарь) дежурный и по ремонту оборудования</v>
          </cell>
          <cell r="E497" t="str">
            <v>ВЛ2010086 116694</v>
          </cell>
          <cell r="F497">
            <v>1079.5999999999999</v>
          </cell>
          <cell r="G497">
            <v>915.27</v>
          </cell>
          <cell r="H497">
            <v>1121.96</v>
          </cell>
        </row>
        <row r="498">
          <cell r="E498" t="str">
            <v>ВЛ2010086 116697</v>
          </cell>
          <cell r="F498">
            <v>1323.5</v>
          </cell>
          <cell r="G498">
            <v>1121.96</v>
          </cell>
          <cell r="H498">
            <v>0</v>
          </cell>
        </row>
        <row r="499">
          <cell r="C499" t="str">
            <v>Зайцев Вадим Валентинович</v>
          </cell>
          <cell r="D499" t="str">
            <v>электрогазосварщик, занятый на резке и ручной сварке</v>
          </cell>
          <cell r="E499" t="str">
            <v>АИ2010032 739053</v>
          </cell>
          <cell r="F499">
            <v>1567.5</v>
          </cell>
          <cell r="G499">
            <v>1328.73</v>
          </cell>
          <cell r="H499">
            <v>1638.82</v>
          </cell>
        </row>
        <row r="500">
          <cell r="E500" t="str">
            <v>ГМ2010113 481489</v>
          </cell>
          <cell r="F500">
            <v>1933.4</v>
          </cell>
          <cell r="G500">
            <v>1638.82</v>
          </cell>
          <cell r="H500">
            <v>0</v>
          </cell>
        </row>
        <row r="501">
          <cell r="C501" t="str">
            <v>Зюзик Сергей Анатольевич</v>
          </cell>
          <cell r="D501" t="str">
            <v>горнорабочий о/г.р</v>
          </cell>
          <cell r="E501" t="str">
            <v>ШГ2010599 055441</v>
          </cell>
          <cell r="F501">
            <v>1218.9000000000001</v>
          </cell>
          <cell r="G501">
            <v>1033.31</v>
          </cell>
          <cell r="H501">
            <v>1417.04</v>
          </cell>
        </row>
        <row r="502">
          <cell r="E502" t="str">
            <v>ЕВ2010156 930318</v>
          </cell>
          <cell r="F502">
            <v>1671.7</v>
          </cell>
          <cell r="G502">
            <v>1417.04</v>
          </cell>
          <cell r="H502">
            <v>0</v>
          </cell>
        </row>
        <row r="503">
          <cell r="C503" t="str">
            <v>Иванов Илья Витальевич</v>
          </cell>
          <cell r="D503" t="str">
            <v>горнорабочий о/г.р</v>
          </cell>
          <cell r="E503" t="str">
            <v>ВЛ2010086 1163340</v>
          </cell>
          <cell r="F503">
            <v>1079.5999999999999</v>
          </cell>
          <cell r="G503">
            <v>915.27</v>
          </cell>
          <cell r="H503">
            <v>0</v>
          </cell>
        </row>
        <row r="504">
          <cell r="C504" t="str">
            <v>Ищенко Геннадий Павлович</v>
          </cell>
          <cell r="D504" t="str">
            <v>электрослесарь (слесарь) дежурный и по ремонту оборудования</v>
          </cell>
          <cell r="E504" t="str">
            <v>ВА2010077 860858</v>
          </cell>
          <cell r="F504">
            <v>1079.5999999999999</v>
          </cell>
          <cell r="G504">
            <v>915.27</v>
          </cell>
          <cell r="H504">
            <v>0</v>
          </cell>
        </row>
        <row r="505">
          <cell r="C505" t="str">
            <v>Ищенко Иван Владимирович</v>
          </cell>
          <cell r="D505" t="str">
            <v>горнорабочий о/г.р</v>
          </cell>
          <cell r="E505" t="str">
            <v>ШГ2010599 061768</v>
          </cell>
          <cell r="F505">
            <v>1060.7</v>
          </cell>
          <cell r="G505">
            <v>899.25</v>
          </cell>
          <cell r="H505">
            <v>0</v>
          </cell>
        </row>
        <row r="506">
          <cell r="C506" t="str">
            <v>Кальсин Андрей Аркадьевич</v>
          </cell>
          <cell r="D506" t="str">
            <v>электрослесарь (слесарь) дежурный и по ремонту оборудования о/г.р</v>
          </cell>
          <cell r="E506" t="str">
            <v>ЧБ2010571 780715</v>
          </cell>
          <cell r="F506">
            <v>1149</v>
          </cell>
          <cell r="G506">
            <v>974.08</v>
          </cell>
          <cell r="H506">
            <v>0</v>
          </cell>
        </row>
        <row r="507">
          <cell r="C507" t="str">
            <v>Каппес Николай Владимирович</v>
          </cell>
          <cell r="D507" t="str">
            <v xml:space="preserve">горнорабочий </v>
          </cell>
          <cell r="E507" t="str">
            <v>АЕ2010030 537020</v>
          </cell>
          <cell r="F507">
            <v>2090.3000000000002</v>
          </cell>
          <cell r="G507">
            <v>1771.79</v>
          </cell>
          <cell r="H507">
            <v>1151.53</v>
          </cell>
        </row>
        <row r="508">
          <cell r="E508" t="str">
            <v>ЕВ2010156 966284</v>
          </cell>
          <cell r="F508">
            <v>1358.4</v>
          </cell>
          <cell r="G508">
            <v>1151.53</v>
          </cell>
          <cell r="H508">
            <v>0</v>
          </cell>
        </row>
        <row r="509">
          <cell r="C509" t="str">
            <v>Карунин Павел Николаевич</v>
          </cell>
          <cell r="D509" t="str">
            <v>горнорабочий на маркшейдерских работах</v>
          </cell>
          <cell r="E509" t="str">
            <v>ЮЭ2010697  953260</v>
          </cell>
          <cell r="F509">
            <v>1077.3</v>
          </cell>
          <cell r="G509">
            <v>912.97</v>
          </cell>
          <cell r="H509">
            <v>0</v>
          </cell>
        </row>
        <row r="510">
          <cell r="C510" t="str">
            <v>Катенев Юрий Николаевич</v>
          </cell>
          <cell r="D510" t="str">
            <v xml:space="preserve">горнорабочий </v>
          </cell>
          <cell r="E510" t="str">
            <v>ЮЭ2010697 044864</v>
          </cell>
          <cell r="F510">
            <v>1079.5999999999999</v>
          </cell>
          <cell r="G510">
            <v>915.27</v>
          </cell>
          <cell r="H510">
            <v>0</v>
          </cell>
        </row>
        <row r="511">
          <cell r="C511" t="str">
            <v>Кижватов Сергей Александрович</v>
          </cell>
          <cell r="D511" t="str">
            <v xml:space="preserve">горнорабочий </v>
          </cell>
          <cell r="E511" t="str">
            <v>ЧБ2010571 481939</v>
          </cell>
          <cell r="F511">
            <v>1079.5999999999999</v>
          </cell>
          <cell r="G511">
            <v>915.27</v>
          </cell>
          <cell r="H511">
            <v>0</v>
          </cell>
        </row>
        <row r="512">
          <cell r="C512" t="str">
            <v>Клочко Евгений Владимирович</v>
          </cell>
          <cell r="D512" t="str">
            <v>электрогазосварщик, занятый на резке и ручной сварке</v>
          </cell>
          <cell r="E512" t="str">
            <v>ШБ2010597 906572</v>
          </cell>
          <cell r="F512">
            <v>1497.9</v>
          </cell>
          <cell r="G512">
            <v>1269.75</v>
          </cell>
          <cell r="H512">
            <v>1269.75</v>
          </cell>
        </row>
        <row r="513">
          <cell r="E513" t="str">
            <v>ЕВ2010156 982871</v>
          </cell>
          <cell r="F513">
            <v>1497.9</v>
          </cell>
          <cell r="G513">
            <v>1269.75</v>
          </cell>
          <cell r="H513">
            <v>0</v>
          </cell>
        </row>
        <row r="514">
          <cell r="C514" t="str">
            <v>Клочков Роман Леонидович</v>
          </cell>
          <cell r="D514" t="str">
            <v xml:space="preserve">горнорабочий </v>
          </cell>
          <cell r="E514" t="str">
            <v>ШГ2010599 055440</v>
          </cell>
          <cell r="F514">
            <v>1218.9000000000001</v>
          </cell>
          <cell r="G514">
            <v>1033.31</v>
          </cell>
          <cell r="H514">
            <v>1417.04</v>
          </cell>
        </row>
        <row r="515">
          <cell r="E515" t="str">
            <v>ЕВ2010156 930317</v>
          </cell>
          <cell r="F515">
            <v>1671.7</v>
          </cell>
          <cell r="G515">
            <v>1417.04</v>
          </cell>
          <cell r="H515">
            <v>0</v>
          </cell>
        </row>
        <row r="516">
          <cell r="C516" t="str">
            <v>Князев Руслан Анатольевич</v>
          </cell>
          <cell r="D516" t="str">
            <v>проходчик на поверхностных работах</v>
          </cell>
          <cell r="E516" t="str">
            <v>ЭТ2010663 937311</v>
          </cell>
          <cell r="F516">
            <v>2160.4</v>
          </cell>
          <cell r="G516">
            <v>1831.2</v>
          </cell>
          <cell r="H516">
            <v>2266.96</v>
          </cell>
        </row>
        <row r="517">
          <cell r="E517" t="str">
            <v>ЕВ2010156 983791</v>
          </cell>
          <cell r="F517">
            <v>2674.6</v>
          </cell>
          <cell r="G517">
            <v>2266.96</v>
          </cell>
          <cell r="H517">
            <v>0</v>
          </cell>
        </row>
        <row r="518">
          <cell r="C518" t="str">
            <v>Колесников Юрий Викторович</v>
          </cell>
          <cell r="D518" t="str">
            <v>электрогазосварщик, занятый на резке и ручной сварке</v>
          </cell>
          <cell r="E518" t="str">
            <v>ВЛ2010086 114622</v>
          </cell>
          <cell r="F518">
            <v>1079.5999999999999</v>
          </cell>
          <cell r="G518">
            <v>915.27</v>
          </cell>
          <cell r="H518">
            <v>974.08</v>
          </cell>
        </row>
        <row r="519">
          <cell r="E519" t="str">
            <v>ЕВ2010156 929751</v>
          </cell>
          <cell r="F519">
            <v>1149</v>
          </cell>
          <cell r="G519">
            <v>974.08</v>
          </cell>
          <cell r="H519">
            <v>0</v>
          </cell>
        </row>
        <row r="520">
          <cell r="C520" t="str">
            <v>Колесниченко Виталий Геннадьевич</v>
          </cell>
          <cell r="D520" t="str">
            <v>проходчик на поверхностных работах</v>
          </cell>
          <cell r="E520" t="str">
            <v>ЮЭ2010697 044005</v>
          </cell>
          <cell r="F520">
            <v>1218.9000000000001</v>
          </cell>
          <cell r="G520">
            <v>1033.31</v>
          </cell>
          <cell r="H520">
            <v>0</v>
          </cell>
        </row>
        <row r="521">
          <cell r="C521" t="str">
            <v>Колесниченко Геннадий Георгиевич</v>
          </cell>
          <cell r="D521" t="str">
            <v>электрослесарь (слесарь) дежурный и по ремонту оборудования о/г.р</v>
          </cell>
          <cell r="E521" t="str">
            <v>ЮЭ2010697 043723</v>
          </cell>
          <cell r="F521">
            <v>1149</v>
          </cell>
          <cell r="G521">
            <v>974.08</v>
          </cell>
          <cell r="H521">
            <v>915.27</v>
          </cell>
        </row>
        <row r="522">
          <cell r="E522" t="str">
            <v>ГВ2010105 485459</v>
          </cell>
          <cell r="F522">
            <v>1079.5999999999999</v>
          </cell>
          <cell r="G522">
            <v>915.27</v>
          </cell>
          <cell r="H522">
            <v>0</v>
          </cell>
        </row>
        <row r="523">
          <cell r="C523" t="str">
            <v>Колпаков Вадим Михайлович</v>
          </cell>
          <cell r="D523" t="str">
            <v>электрогазосварщик, занятый на резке и ручной сварке</v>
          </cell>
          <cell r="E523" t="str">
            <v>ШБ2010597 880190</v>
          </cell>
          <cell r="F523">
            <v>1664.6</v>
          </cell>
          <cell r="G523">
            <v>1411.02</v>
          </cell>
          <cell r="H523">
            <v>1638.82</v>
          </cell>
        </row>
        <row r="524">
          <cell r="E524" t="str">
            <v>АП2010037 923577</v>
          </cell>
          <cell r="F524">
            <v>1933.4</v>
          </cell>
          <cell r="G524">
            <v>1638.82</v>
          </cell>
          <cell r="H524">
            <v>0</v>
          </cell>
        </row>
        <row r="525">
          <cell r="C525" t="str">
            <v>Кострубин Геннадий Иванович</v>
          </cell>
          <cell r="D525" t="str">
            <v xml:space="preserve">горнорабочий </v>
          </cell>
          <cell r="E525" t="str">
            <v>ГЕ2010108 884613</v>
          </cell>
          <cell r="F525">
            <v>1079.5999999999999</v>
          </cell>
          <cell r="G525">
            <v>915.27</v>
          </cell>
          <cell r="H525">
            <v>0</v>
          </cell>
        </row>
        <row r="526">
          <cell r="C526" t="str">
            <v>Котляров Александр Николаевич</v>
          </cell>
          <cell r="D526" t="str">
            <v>проходчик на поверхностных работах</v>
          </cell>
          <cell r="E526" t="str">
            <v>ЮЭ2010697 947645</v>
          </cell>
          <cell r="F526">
            <v>1079.5999999999999</v>
          </cell>
          <cell r="G526">
            <v>915.27</v>
          </cell>
          <cell r="H526">
            <v>1121.96</v>
          </cell>
        </row>
        <row r="527">
          <cell r="E527">
            <v>2007013716621</v>
          </cell>
          <cell r="F527">
            <v>1323.5</v>
          </cell>
          <cell r="G527">
            <v>1121.96</v>
          </cell>
          <cell r="H527">
            <v>0</v>
          </cell>
        </row>
        <row r="528">
          <cell r="C528" t="str">
            <v>Котляров Геннадий Иванович</v>
          </cell>
          <cell r="D528" t="str">
            <v>проходчик на поверхностных работах</v>
          </cell>
          <cell r="E528" t="str">
            <v>ЮЭ2010697 978754</v>
          </cell>
          <cell r="F528">
            <v>1257</v>
          </cell>
          <cell r="G528">
            <v>1065.5999999999999</v>
          </cell>
          <cell r="H528">
            <v>2081.79</v>
          </cell>
        </row>
        <row r="529">
          <cell r="E529" t="str">
            <v>ЕВ2010156 981365</v>
          </cell>
          <cell r="F529">
            <v>2456.1</v>
          </cell>
          <cell r="G529">
            <v>2081.79</v>
          </cell>
          <cell r="H529">
            <v>0</v>
          </cell>
        </row>
        <row r="530">
          <cell r="C530" t="str">
            <v>Корныш Олег Григорьевич</v>
          </cell>
          <cell r="D530" t="str">
            <v>электрогазосварщик, занятый на резке и ручной сварке</v>
          </cell>
          <cell r="E530" t="str">
            <v>ЧБ2010571 847643</v>
          </cell>
          <cell r="F530">
            <v>1776.4</v>
          </cell>
          <cell r="G530">
            <v>1505.77</v>
          </cell>
          <cell r="H530">
            <v>0</v>
          </cell>
        </row>
        <row r="531">
          <cell r="C531" t="str">
            <v>Кравцов Владимир Сергеевич</v>
          </cell>
          <cell r="D531" t="str">
            <v>электрогазосварщик, занятый на резке и ручной сварке</v>
          </cell>
          <cell r="E531" t="str">
            <v>ВЛ2010086 113342</v>
          </cell>
          <cell r="F531">
            <v>1079.5999999999999</v>
          </cell>
          <cell r="G531">
            <v>915.27</v>
          </cell>
          <cell r="H531">
            <v>915.27</v>
          </cell>
        </row>
        <row r="532">
          <cell r="E532" t="str">
            <v>ЕВ2010156 910422</v>
          </cell>
          <cell r="F532">
            <v>1079.5999999999999</v>
          </cell>
          <cell r="G532">
            <v>915.27</v>
          </cell>
          <cell r="H532">
            <v>0</v>
          </cell>
        </row>
        <row r="533">
          <cell r="C533" t="str">
            <v>Кравченко Вадим Анатольевич</v>
          </cell>
          <cell r="D533" t="str">
            <v xml:space="preserve">горнорабочий </v>
          </cell>
          <cell r="E533" t="str">
            <v>ГЕ2010108 884614</v>
          </cell>
          <cell r="F533">
            <v>1079.5999999999999</v>
          </cell>
          <cell r="G533">
            <v>915.27</v>
          </cell>
          <cell r="H533">
            <v>0</v>
          </cell>
        </row>
        <row r="534">
          <cell r="C534" t="str">
            <v>Кривощеков Александр Павлович</v>
          </cell>
          <cell r="D534" t="str">
            <v>проходчик на поверхностных работах</v>
          </cell>
          <cell r="E534" t="str">
            <v>ЧБ2010571 780995</v>
          </cell>
          <cell r="F534">
            <v>1149</v>
          </cell>
          <cell r="G534">
            <v>974.08</v>
          </cell>
          <cell r="H534">
            <v>1121.96</v>
          </cell>
        </row>
        <row r="535">
          <cell r="E535" t="str">
            <v>ЕВ2010156 968125</v>
          </cell>
          <cell r="F535">
            <v>1323.5</v>
          </cell>
          <cell r="G535">
            <v>1121.96</v>
          </cell>
          <cell r="H535">
            <v>0</v>
          </cell>
        </row>
        <row r="536">
          <cell r="C536" t="str">
            <v>Кривченков Александр Федорович</v>
          </cell>
          <cell r="D536" t="str">
            <v xml:space="preserve">горнорабочий </v>
          </cell>
          <cell r="E536" t="str">
            <v>ШГ2010599 052815</v>
          </cell>
          <cell r="F536">
            <v>1149</v>
          </cell>
          <cell r="G536">
            <v>974.08</v>
          </cell>
          <cell r="H536">
            <v>0</v>
          </cell>
        </row>
        <row r="537">
          <cell r="C537" t="str">
            <v>Кропачев Антон Александрович</v>
          </cell>
          <cell r="D537" t="str">
            <v>проходчик на поверхностных работах</v>
          </cell>
          <cell r="E537" t="str">
            <v>ЧБ2010571 780836</v>
          </cell>
          <cell r="F537">
            <v>997</v>
          </cell>
          <cell r="G537">
            <v>845.26</v>
          </cell>
          <cell r="H537">
            <v>1121.96</v>
          </cell>
        </row>
        <row r="538">
          <cell r="E538" t="str">
            <v>ЕВ2010156 971786</v>
          </cell>
          <cell r="F538">
            <v>1323.5</v>
          </cell>
          <cell r="G538">
            <v>1121.96</v>
          </cell>
          <cell r="H538">
            <v>0</v>
          </cell>
        </row>
        <row r="539">
          <cell r="C539" t="str">
            <v>Кузин Иван Владимирович</v>
          </cell>
          <cell r="D539" t="str">
            <v>горнорабочий</v>
          </cell>
          <cell r="E539" t="str">
            <v>ШГ2010599 061095</v>
          </cell>
          <cell r="F539">
            <v>1149</v>
          </cell>
          <cell r="G539">
            <v>974.08</v>
          </cell>
          <cell r="H539">
            <v>0</v>
          </cell>
        </row>
        <row r="540">
          <cell r="C540" t="str">
            <v>Кузнецов Вячеслав Анатольевич</v>
          </cell>
          <cell r="D540" t="str">
            <v>проходчик на поверхностных работах</v>
          </cell>
          <cell r="E540" t="str">
            <v>ЮЭ2010697 043972</v>
          </cell>
          <cell r="F540">
            <v>1149</v>
          </cell>
          <cell r="G540">
            <v>974.08</v>
          </cell>
          <cell r="H540">
            <v>0</v>
          </cell>
        </row>
        <row r="541">
          <cell r="C541" t="str">
            <v>Кузнецовский Алексей Борисович</v>
          </cell>
          <cell r="D541" t="str">
            <v>электрогазосварщик, занятый на резке и ручной сварке</v>
          </cell>
          <cell r="E541" t="str">
            <v>ЧБ2010571 562555</v>
          </cell>
          <cell r="F541">
            <v>1428.1</v>
          </cell>
          <cell r="G541">
            <v>1210.6099999999999</v>
          </cell>
          <cell r="H541">
            <v>1210.6099999999999</v>
          </cell>
        </row>
        <row r="542">
          <cell r="E542" t="str">
            <v>ЕВ2010156 930609</v>
          </cell>
          <cell r="F542">
            <v>1428.1</v>
          </cell>
          <cell r="G542">
            <v>1210.6099999999999</v>
          </cell>
          <cell r="H542">
            <v>0</v>
          </cell>
        </row>
        <row r="543">
          <cell r="C543" t="str">
            <v>Кулагин Дмитрий Геннадьевич</v>
          </cell>
          <cell r="D543" t="str">
            <v>проходчик на поверхностных работах</v>
          </cell>
          <cell r="E543" t="str">
            <v>ЕЛ2010163 001788</v>
          </cell>
          <cell r="F543">
            <v>1251.7</v>
          </cell>
          <cell r="G543">
            <v>1061.1099999999999</v>
          </cell>
          <cell r="H543">
            <v>1491.2</v>
          </cell>
        </row>
        <row r="544">
          <cell r="E544">
            <v>2007013712364</v>
          </cell>
          <cell r="F544">
            <v>1759.2</v>
          </cell>
          <cell r="G544">
            <v>1491.2</v>
          </cell>
          <cell r="H544">
            <v>0</v>
          </cell>
        </row>
        <row r="545">
          <cell r="C545" t="str">
            <v>Лабутин Евгений Петрович</v>
          </cell>
          <cell r="D545" t="str">
            <v>проходчик на поверхностных работах</v>
          </cell>
          <cell r="E545" t="str">
            <v>ЮЭ2010697 044639</v>
          </cell>
          <cell r="F545">
            <v>1079.5999999999999</v>
          </cell>
          <cell r="G545">
            <v>915.27</v>
          </cell>
          <cell r="H545">
            <v>0</v>
          </cell>
        </row>
        <row r="546">
          <cell r="C546" t="str">
            <v>Лаврик Виктор Александрович</v>
          </cell>
          <cell r="D546" t="str">
            <v>проходчик на поверхностных работах</v>
          </cell>
          <cell r="E546" t="str">
            <v>ЮЛ2010683 554343</v>
          </cell>
          <cell r="F546">
            <v>1497.9</v>
          </cell>
          <cell r="G546">
            <v>1269.75</v>
          </cell>
          <cell r="H546">
            <v>1269.75</v>
          </cell>
        </row>
        <row r="547">
          <cell r="E547" t="str">
            <v>ЮЛ2010683 554344</v>
          </cell>
          <cell r="F547">
            <v>1497.9</v>
          </cell>
          <cell r="G547">
            <v>1269.75</v>
          </cell>
          <cell r="H547">
            <v>0</v>
          </cell>
        </row>
        <row r="548">
          <cell r="C548" t="str">
            <v>Лаптев Иван Климентьевич</v>
          </cell>
          <cell r="D548" t="str">
            <v>проходчик на поверхностных работах</v>
          </cell>
          <cell r="E548" t="str">
            <v>АИ2010032 666146</v>
          </cell>
          <cell r="F548">
            <v>2299.4</v>
          </cell>
          <cell r="G548">
            <v>1948.99</v>
          </cell>
          <cell r="H548">
            <v>1328.73</v>
          </cell>
        </row>
        <row r="549">
          <cell r="E549" t="str">
            <v>ГВ2010105 484812</v>
          </cell>
          <cell r="F549">
            <v>1567.5</v>
          </cell>
          <cell r="G549">
            <v>1328.73</v>
          </cell>
          <cell r="H549">
            <v>0</v>
          </cell>
        </row>
        <row r="550">
          <cell r="C550" t="str">
            <v>Лелин Денис Игоревич</v>
          </cell>
          <cell r="D550" t="str">
            <v xml:space="preserve">горнорабочий </v>
          </cell>
          <cell r="E550" t="str">
            <v>ЕВ2010156 729241</v>
          </cell>
          <cell r="F550">
            <v>1149</v>
          </cell>
          <cell r="G550">
            <v>974.08</v>
          </cell>
          <cell r="H550">
            <v>0</v>
          </cell>
        </row>
        <row r="551">
          <cell r="C551" t="str">
            <v>Лихота Анатолий Анатольевич</v>
          </cell>
          <cell r="D551" t="str">
            <v>электрогазосварщик, занятый на резке и ручной сварке</v>
          </cell>
          <cell r="E551" t="str">
            <v>ЮЭ2010697 707341</v>
          </cell>
          <cell r="F551">
            <v>1428.1</v>
          </cell>
          <cell r="G551">
            <v>1210.6099999999999</v>
          </cell>
          <cell r="H551">
            <v>1417.3</v>
          </cell>
        </row>
        <row r="552">
          <cell r="E552" t="str">
            <v>ЕВ2010156  903721</v>
          </cell>
          <cell r="F552">
            <v>1672</v>
          </cell>
          <cell r="G552">
            <v>1417.3</v>
          </cell>
          <cell r="H552">
            <v>0</v>
          </cell>
        </row>
        <row r="553">
          <cell r="C553" t="str">
            <v>Мамаев Игорь Николаевич</v>
          </cell>
          <cell r="D553" t="str">
            <v>электрослесарь (слесарь) дежурный и по ремонту оборудования</v>
          </cell>
          <cell r="E553" t="str">
            <v>ЧБ2010571 196465</v>
          </cell>
          <cell r="F553">
            <v>1079.5999999999999</v>
          </cell>
          <cell r="G553">
            <v>915.27</v>
          </cell>
          <cell r="H553">
            <v>974.08</v>
          </cell>
        </row>
        <row r="554">
          <cell r="E554" t="str">
            <v>ВЕ2010082 117643</v>
          </cell>
          <cell r="F554">
            <v>1149</v>
          </cell>
          <cell r="G554">
            <v>974.08</v>
          </cell>
          <cell r="H554">
            <v>0</v>
          </cell>
        </row>
        <row r="555">
          <cell r="C555" t="str">
            <v>Мардасов Александр Федорович</v>
          </cell>
          <cell r="D555" t="str">
            <v>проходчик на поверхностных работах</v>
          </cell>
          <cell r="E555" t="str">
            <v>ЯИ2010707  977521</v>
          </cell>
          <cell r="F555">
            <v>1358.4</v>
          </cell>
          <cell r="G555">
            <v>1151.53</v>
          </cell>
          <cell r="H555">
            <v>1233.82</v>
          </cell>
        </row>
        <row r="556">
          <cell r="E556" t="str">
            <v>ЕВ2010156 935930</v>
          </cell>
          <cell r="F556">
            <v>1455.5</v>
          </cell>
          <cell r="G556">
            <v>1233.82</v>
          </cell>
          <cell r="H556">
            <v>0</v>
          </cell>
        </row>
        <row r="557">
          <cell r="C557" t="str">
            <v>Михайлов Олег Викторович</v>
          </cell>
          <cell r="D557" t="str">
            <v>проходчик на поверхностных работах</v>
          </cell>
          <cell r="E557" t="str">
            <v>ЮЭ2010697 909697</v>
          </cell>
          <cell r="F557">
            <v>1149</v>
          </cell>
          <cell r="G557">
            <v>974.08</v>
          </cell>
          <cell r="H557">
            <v>0</v>
          </cell>
        </row>
        <row r="558">
          <cell r="C558" t="str">
            <v>Мягков Максим Александрович</v>
          </cell>
          <cell r="D558" t="str">
            <v>проходчик на поверхностных работах</v>
          </cell>
          <cell r="E558" t="str">
            <v>ЯИ2010707 201881</v>
          </cell>
          <cell r="F558">
            <v>1567.5</v>
          </cell>
          <cell r="G558">
            <v>1328.73</v>
          </cell>
          <cell r="H558">
            <v>1638.82</v>
          </cell>
        </row>
        <row r="559">
          <cell r="E559" t="str">
            <v>АП2010037 936096</v>
          </cell>
          <cell r="F559">
            <v>1933.4</v>
          </cell>
          <cell r="G559">
            <v>1638.82</v>
          </cell>
          <cell r="H559">
            <v>0</v>
          </cell>
        </row>
        <row r="560">
          <cell r="C560" t="str">
            <v>Назаров Владимир Александрович</v>
          </cell>
          <cell r="D560" t="str">
            <v>проходчик на поверхностных работах</v>
          </cell>
          <cell r="E560" t="str">
            <v>ЮЭ2010697 896074</v>
          </cell>
          <cell r="F560">
            <v>1894.7</v>
          </cell>
          <cell r="G560">
            <v>1677.38</v>
          </cell>
          <cell r="H560">
            <v>2414.16</v>
          </cell>
        </row>
        <row r="561">
          <cell r="E561" t="str">
            <v>ГВ2010105 485465</v>
          </cell>
          <cell r="F561">
            <v>2848.3</v>
          </cell>
          <cell r="G561">
            <v>2414.16</v>
          </cell>
          <cell r="H561">
            <v>0</v>
          </cell>
        </row>
        <row r="562">
          <cell r="C562" t="str">
            <v>Наумов Николай Сергеевич</v>
          </cell>
          <cell r="D562" t="str">
            <v xml:space="preserve">горнорабочий </v>
          </cell>
          <cell r="E562" t="str">
            <v>АИ2010032 751791</v>
          </cell>
          <cell r="F562">
            <v>1060.7</v>
          </cell>
          <cell r="G562">
            <v>899.25</v>
          </cell>
          <cell r="H562">
            <v>0</v>
          </cell>
        </row>
        <row r="563">
          <cell r="C563" t="str">
            <v>Наумович Андрей Александрович</v>
          </cell>
          <cell r="D563" t="str">
            <v xml:space="preserve">горнорабочий </v>
          </cell>
          <cell r="E563" t="str">
            <v xml:space="preserve"> ЮЭ2010697 947116</v>
          </cell>
          <cell r="F563">
            <v>1079.5999999999999</v>
          </cell>
          <cell r="G563">
            <v>915.27</v>
          </cell>
          <cell r="H563">
            <v>0</v>
          </cell>
        </row>
        <row r="564">
          <cell r="C564" t="str">
            <v>Невмержицкий Сергей Александрович</v>
          </cell>
          <cell r="D564" t="str">
            <v>электрослесарь (слесарь) дежурный и по ремонту оборудования</v>
          </cell>
          <cell r="E564" t="str">
            <v>ВЛ2010086 291149</v>
          </cell>
          <cell r="F564">
            <v>1567.5</v>
          </cell>
          <cell r="G564">
            <v>1328.73</v>
          </cell>
          <cell r="H564">
            <v>1638.82</v>
          </cell>
        </row>
        <row r="565">
          <cell r="E565" t="str">
            <v xml:space="preserve"> ЕГ2010157 235218</v>
          </cell>
          <cell r="F565">
            <v>1933.4</v>
          </cell>
          <cell r="G565">
            <v>1638.82</v>
          </cell>
          <cell r="H565">
            <v>0</v>
          </cell>
        </row>
        <row r="566">
          <cell r="C566" t="str">
            <v>Орищенко Алексей Викторович</v>
          </cell>
          <cell r="D566" t="str">
            <v>проходчик на поверхностных работах</v>
          </cell>
          <cell r="E566" t="str">
            <v>ЧБ2010571 780572</v>
          </cell>
          <cell r="F566">
            <v>1079.5999999999999</v>
          </cell>
          <cell r="G566">
            <v>915.27</v>
          </cell>
          <cell r="H566">
            <v>0</v>
          </cell>
        </row>
        <row r="567">
          <cell r="C567" t="str">
            <v>Осауленко Александр Олегович</v>
          </cell>
          <cell r="D567" t="str">
            <v>горнорабочий</v>
          </cell>
          <cell r="E567" t="str">
            <v>ЮЭ2010697 947965</v>
          </cell>
          <cell r="F567">
            <v>1079.5999999999999</v>
          </cell>
          <cell r="G567">
            <v>915.27</v>
          </cell>
          <cell r="H567">
            <v>0</v>
          </cell>
        </row>
        <row r="568">
          <cell r="C568" t="str">
            <v>Павлов Петр Алексеевич</v>
          </cell>
          <cell r="D568" t="str">
            <v>электрогазосварщик, занятый на резке и ручной сварке</v>
          </cell>
          <cell r="E568" t="str">
            <v>ШБ2010597 788521</v>
          </cell>
          <cell r="F568">
            <v>1497.9</v>
          </cell>
          <cell r="G568">
            <v>1269.75</v>
          </cell>
          <cell r="H568">
            <v>1269.75</v>
          </cell>
        </row>
        <row r="569">
          <cell r="E569" t="str">
            <v>ГМ2010113 132537</v>
          </cell>
          <cell r="F569">
            <v>1497.9</v>
          </cell>
          <cell r="G569">
            <v>1269.75</v>
          </cell>
          <cell r="H569">
            <v>0</v>
          </cell>
        </row>
        <row r="570">
          <cell r="C570" t="str">
            <v>Пак Роман Валерьевич</v>
          </cell>
          <cell r="D570" t="str">
            <v>электрогазосварщик, занятый на резке и ручной сварке</v>
          </cell>
          <cell r="E570" t="str">
            <v>АК2010033 139316</v>
          </cell>
          <cell r="F570">
            <v>1497.9</v>
          </cell>
          <cell r="G570">
            <v>1269.75</v>
          </cell>
          <cell r="H570">
            <v>2192.73</v>
          </cell>
        </row>
        <row r="571">
          <cell r="E571" t="str">
            <v>АК2010033 139319</v>
          </cell>
          <cell r="F571">
            <v>2587</v>
          </cell>
          <cell r="G571">
            <v>2192.73</v>
          </cell>
          <cell r="H571">
            <v>0</v>
          </cell>
        </row>
        <row r="572">
          <cell r="C572" t="str">
            <v>Пигарев Алексей Владимирович</v>
          </cell>
          <cell r="D572" t="str">
            <v>проходчик на поверхностных работах</v>
          </cell>
          <cell r="E572" t="str">
            <v>ЮЭ2010697 044863</v>
          </cell>
          <cell r="F572">
            <v>1080</v>
          </cell>
          <cell r="G572">
            <v>915.25</v>
          </cell>
          <cell r="H572">
            <v>1195.5999999999999</v>
          </cell>
        </row>
        <row r="573">
          <cell r="E573" t="str">
            <v>ЕВ2010156 990797</v>
          </cell>
          <cell r="F573">
            <v>1410.4</v>
          </cell>
          <cell r="G573">
            <v>1195.5999999999999</v>
          </cell>
          <cell r="H573">
            <v>0</v>
          </cell>
        </row>
        <row r="574">
          <cell r="C574" t="str">
            <v>Плаченов Владимир Владимирович</v>
          </cell>
          <cell r="D574" t="str">
            <v>проходчик на поверхностных работах</v>
          </cell>
          <cell r="E574" t="str">
            <v>ЮЭ2010697 896071</v>
          </cell>
          <cell r="F574">
            <v>1894.7</v>
          </cell>
          <cell r="G574">
            <v>1677.38</v>
          </cell>
          <cell r="H574">
            <v>1638.82</v>
          </cell>
        </row>
        <row r="575">
          <cell r="E575" t="str">
            <v>ГВ2010105 485466</v>
          </cell>
          <cell r="F575">
            <v>1933.4</v>
          </cell>
          <cell r="G575">
            <v>1638.82</v>
          </cell>
          <cell r="H575">
            <v>0</v>
          </cell>
        </row>
        <row r="576">
          <cell r="C576" t="str">
            <v>Плешаков Юрий Викторович</v>
          </cell>
          <cell r="D576" t="str">
            <v>электрослесарь (слесарь) дежурный и по ремонту оборудования</v>
          </cell>
          <cell r="E576" t="str">
            <v>ЕВ2010156 970147</v>
          </cell>
          <cell r="F576">
            <v>1323.5</v>
          </cell>
          <cell r="G576">
            <v>1121.96</v>
          </cell>
          <cell r="H576">
            <v>0</v>
          </cell>
        </row>
        <row r="577">
          <cell r="C577" t="str">
            <v>Плотников Андрей Витальевич</v>
          </cell>
          <cell r="D577" t="str">
            <v>электрослесарь (слесарь) дежурный и по ремонту оборудования</v>
          </cell>
          <cell r="E577" t="str">
            <v>ЧБ2010571 780714</v>
          </cell>
          <cell r="F577">
            <v>1149</v>
          </cell>
          <cell r="G577">
            <v>974.08</v>
          </cell>
          <cell r="H577">
            <v>0</v>
          </cell>
        </row>
        <row r="578">
          <cell r="C578" t="str">
            <v>Подустов Андрей Александрович</v>
          </cell>
          <cell r="D578" t="str">
            <v xml:space="preserve">горнорабочий </v>
          </cell>
          <cell r="E578" t="str">
            <v>ЮЭ2010697 896072</v>
          </cell>
          <cell r="F578">
            <v>1894.7</v>
          </cell>
          <cell r="G578">
            <v>1677.38</v>
          </cell>
          <cell r="H578">
            <v>2414.16</v>
          </cell>
        </row>
        <row r="579">
          <cell r="E579" t="str">
            <v>ГВ2010105 485464</v>
          </cell>
          <cell r="F579">
            <v>2848.3</v>
          </cell>
          <cell r="G579">
            <v>2414.16</v>
          </cell>
          <cell r="H579">
            <v>0</v>
          </cell>
        </row>
        <row r="580">
          <cell r="C580" t="str">
            <v>Поклонцев Сергей Владимирович</v>
          </cell>
          <cell r="D580" t="str">
            <v>проходчик на поверхностных работах</v>
          </cell>
          <cell r="E580" t="str">
            <v>ЮЭ2010697 706921</v>
          </cell>
          <cell r="F580">
            <v>1428.1</v>
          </cell>
          <cell r="G580">
            <v>1210.6099999999999</v>
          </cell>
          <cell r="H580">
            <v>0</v>
          </cell>
        </row>
        <row r="581">
          <cell r="C581" t="str">
            <v>Поляков Игорь Юрьевич</v>
          </cell>
          <cell r="D581" t="str">
            <v>электрослесарь (слесарь) дежурный и по ремонту оборудования</v>
          </cell>
          <cell r="E581" t="str">
            <v>БГ2010104 241527</v>
          </cell>
          <cell r="F581">
            <v>1149</v>
          </cell>
          <cell r="G581">
            <v>974.08</v>
          </cell>
          <cell r="H581">
            <v>1195.5999999999999</v>
          </cell>
        </row>
        <row r="582">
          <cell r="E582" t="str">
            <v xml:space="preserve">ШГ2010599 061841 </v>
          </cell>
          <cell r="F582">
            <v>1410.4</v>
          </cell>
          <cell r="G582">
            <v>1195.5999999999999</v>
          </cell>
          <cell r="H582">
            <v>0</v>
          </cell>
        </row>
        <row r="583">
          <cell r="C583" t="str">
            <v>Потелещенко Олег Вадимович</v>
          </cell>
          <cell r="D583" t="str">
            <v>электрогазосварщик, занятый на резке и ручной сварке</v>
          </cell>
          <cell r="E583" t="str">
            <v>ЮЭ2010697               915753</v>
          </cell>
          <cell r="F583">
            <v>1079.5999999999999</v>
          </cell>
          <cell r="G583">
            <v>915.27</v>
          </cell>
          <cell r="H583">
            <v>1121.96</v>
          </cell>
        </row>
        <row r="584">
          <cell r="E584" t="str">
            <v>ГЕ2010108 885126</v>
          </cell>
          <cell r="F584">
            <v>1323.5</v>
          </cell>
          <cell r="G584">
            <v>1121.96</v>
          </cell>
          <cell r="H584">
            <v>0</v>
          </cell>
        </row>
        <row r="585">
          <cell r="C585" t="str">
            <v>Починков Михаил Юрьевич</v>
          </cell>
          <cell r="D585" t="str">
            <v>электрослесарь (слесарь) дежурный и по ремонту оборудования</v>
          </cell>
          <cell r="E585" t="str">
            <v>ШГ2010599 055458</v>
          </cell>
          <cell r="F585">
            <v>1218.9000000000001</v>
          </cell>
          <cell r="G585">
            <v>1033.31</v>
          </cell>
          <cell r="H585">
            <v>887.8</v>
          </cell>
        </row>
        <row r="586">
          <cell r="E586">
            <v>72670400448801</v>
          </cell>
          <cell r="F586">
            <v>1047.5999999999999</v>
          </cell>
          <cell r="G586">
            <v>887.8</v>
          </cell>
          <cell r="H586">
            <v>0</v>
          </cell>
        </row>
        <row r="587">
          <cell r="C587" t="str">
            <v>Прокошев Евгений Евгеньевич</v>
          </cell>
          <cell r="D587" t="str">
            <v>электрогазосварщик занятый на резке и ручной сварке о/г.р.</v>
          </cell>
          <cell r="E587" t="str">
            <v>ГВ2010105 484819</v>
          </cell>
          <cell r="F587">
            <v>1428.1</v>
          </cell>
          <cell r="G587">
            <v>1210.6099999999999</v>
          </cell>
          <cell r="H587">
            <v>0</v>
          </cell>
        </row>
        <row r="588">
          <cell r="C588" t="str">
            <v>Пудов Алексей Владимирович</v>
          </cell>
          <cell r="D588" t="str">
            <v xml:space="preserve">горнорабочий </v>
          </cell>
          <cell r="E588" t="str">
            <v>ЮЭ2010697 915755</v>
          </cell>
          <cell r="F588">
            <v>1079.5999999999999</v>
          </cell>
          <cell r="G588">
            <v>915.27</v>
          </cell>
          <cell r="H588">
            <v>1036.03</v>
          </cell>
        </row>
        <row r="589">
          <cell r="E589" t="str">
            <v>АП2010037 917305</v>
          </cell>
          <cell r="F589">
            <v>1222.0999999999999</v>
          </cell>
          <cell r="G589">
            <v>1036.03</v>
          </cell>
          <cell r="H589">
            <v>0</v>
          </cell>
        </row>
        <row r="590">
          <cell r="C590" t="str">
            <v>Рожков Александр Викторович</v>
          </cell>
          <cell r="D590" t="str">
            <v xml:space="preserve">горнорабочий </v>
          </cell>
          <cell r="E590" t="str">
            <v>ГВ2010105 484857</v>
          </cell>
          <cell r="F590">
            <v>1047.5999999999999</v>
          </cell>
          <cell r="G590">
            <v>888.15</v>
          </cell>
          <cell r="H590">
            <v>0</v>
          </cell>
        </row>
        <row r="591">
          <cell r="C591" t="str">
            <v>Романов Владимир Вячеславович</v>
          </cell>
          <cell r="D591" t="str">
            <v>электрогазосварщик занятый на резке и ручной сварке о/г.р.</v>
          </cell>
          <cell r="E591" t="str">
            <v>АК2010033 042398</v>
          </cell>
          <cell r="F591">
            <v>1567.5</v>
          </cell>
          <cell r="G591">
            <v>1328.73</v>
          </cell>
          <cell r="H591">
            <v>1210.6099999999999</v>
          </cell>
        </row>
        <row r="592">
          <cell r="E592" t="str">
            <v>АК2010033 042399</v>
          </cell>
          <cell r="F592">
            <v>1428.1</v>
          </cell>
          <cell r="G592">
            <v>1210.6099999999999</v>
          </cell>
          <cell r="H592">
            <v>0</v>
          </cell>
        </row>
        <row r="593">
          <cell r="C593" t="str">
            <v>Самсонов Геннадий Владимирович</v>
          </cell>
          <cell r="D593" t="str">
            <v>электрогазосварщик занятый на резке и ручной сварке о/г.р.</v>
          </cell>
          <cell r="E593" t="str">
            <v>ГВ2010105 591882</v>
          </cell>
          <cell r="F593">
            <v>1567.5</v>
          </cell>
          <cell r="G593">
            <v>1328.74</v>
          </cell>
          <cell r="H593">
            <v>0</v>
          </cell>
        </row>
        <row r="594">
          <cell r="C594" t="str">
            <v>Сапожников Валентин Александрович</v>
          </cell>
          <cell r="D594" t="str">
            <v>проходчик на поверхностных работах</v>
          </cell>
          <cell r="E594" t="str">
            <v>ЧБ2010571 780578</v>
          </cell>
          <cell r="F594">
            <v>1079.5999999999999</v>
          </cell>
          <cell r="G594">
            <v>915.27</v>
          </cell>
          <cell r="H594">
            <v>0</v>
          </cell>
        </row>
        <row r="595">
          <cell r="C595" t="str">
            <v>Серобаба Игорь Владимирович</v>
          </cell>
          <cell r="D595" t="str">
            <v>проходчик на поверхностных работах</v>
          </cell>
          <cell r="E595" t="str">
            <v>ВЛ2010086 494644</v>
          </cell>
          <cell r="F595">
            <v>1497.9</v>
          </cell>
          <cell r="G595">
            <v>1269.75</v>
          </cell>
          <cell r="H595">
            <v>1638.82</v>
          </cell>
        </row>
        <row r="596">
          <cell r="E596" t="str">
            <v>ВБ2010078 961611</v>
          </cell>
          <cell r="F596">
            <v>1933.4</v>
          </cell>
          <cell r="G596">
            <v>1638.82</v>
          </cell>
          <cell r="H596">
            <v>0</v>
          </cell>
        </row>
        <row r="597">
          <cell r="C597" t="str">
            <v>Сиднеков Олег Анатольевич</v>
          </cell>
          <cell r="D597" t="str">
            <v>электрогазосварщик, занятый на резке и ручной сварке</v>
          </cell>
          <cell r="E597" t="str">
            <v>ЩН2010633 911284</v>
          </cell>
          <cell r="F597">
            <v>1567.5</v>
          </cell>
          <cell r="G597">
            <v>1328.73</v>
          </cell>
          <cell r="H597">
            <v>1638.82</v>
          </cell>
        </row>
        <row r="598">
          <cell r="E598" t="str">
            <v>АП2010037  912322</v>
          </cell>
          <cell r="F598">
            <v>1933.4</v>
          </cell>
          <cell r="G598">
            <v>1638.82</v>
          </cell>
          <cell r="H598">
            <v>0</v>
          </cell>
        </row>
        <row r="599">
          <cell r="C599" t="str">
            <v>Сидоренко Николай Анатольевич</v>
          </cell>
          <cell r="D599" t="str">
            <v xml:space="preserve">горнорабочий </v>
          </cell>
          <cell r="E599" t="str">
            <v>ЮЭ2010697 947179</v>
          </cell>
          <cell r="F599">
            <v>1776.4</v>
          </cell>
          <cell r="G599">
            <v>1505.77</v>
          </cell>
          <cell r="H599">
            <v>899.25</v>
          </cell>
        </row>
        <row r="600">
          <cell r="E600">
            <v>2007013737483</v>
          </cell>
          <cell r="F600">
            <v>1060.7</v>
          </cell>
          <cell r="G600">
            <v>899.25</v>
          </cell>
          <cell r="H600">
            <v>0</v>
          </cell>
        </row>
        <row r="601">
          <cell r="C601" t="str">
            <v>Синцов Дмитрий Александрович</v>
          </cell>
          <cell r="D601" t="str">
            <v>электрогазосварщик, занятый на резке и ручной сварке</v>
          </cell>
          <cell r="E601" t="str">
            <v>ВЛ2010086 113349</v>
          </cell>
          <cell r="F601">
            <v>1079.5999999999999</v>
          </cell>
          <cell r="G601">
            <v>915.27</v>
          </cell>
          <cell r="H601">
            <v>0</v>
          </cell>
        </row>
        <row r="602">
          <cell r="C602" t="str">
            <v>Сирота Александр Лазаревич</v>
          </cell>
          <cell r="D602" t="str">
            <v>машинист компрессорных установок</v>
          </cell>
          <cell r="E602" t="str">
            <v>ВЛ2010086 289990</v>
          </cell>
          <cell r="F602">
            <v>1567.5</v>
          </cell>
          <cell r="G602">
            <v>1328.73</v>
          </cell>
          <cell r="H602">
            <v>1638.82</v>
          </cell>
        </row>
        <row r="603">
          <cell r="E603" t="str">
            <v>ЕВ2010156  987044</v>
          </cell>
          <cell r="F603">
            <v>1933.4</v>
          </cell>
          <cell r="G603">
            <v>1638.82</v>
          </cell>
          <cell r="H603">
            <v>0</v>
          </cell>
        </row>
        <row r="604">
          <cell r="C604" t="str">
            <v>Скориков Денис Сергеевич</v>
          </cell>
          <cell r="D604" t="str">
            <v xml:space="preserve">горнорабочий </v>
          </cell>
          <cell r="E604" t="str">
            <v>ЮЭ2010697 499556</v>
          </cell>
          <cell r="F604">
            <v>1497.9</v>
          </cell>
          <cell r="G604">
            <v>1269.75</v>
          </cell>
          <cell r="H604">
            <v>1371.79</v>
          </cell>
        </row>
        <row r="605">
          <cell r="E605" t="str">
            <v>АП2010037 926476</v>
          </cell>
          <cell r="F605">
            <v>1618.3</v>
          </cell>
          <cell r="G605">
            <v>1371.79</v>
          </cell>
          <cell r="H605">
            <v>0</v>
          </cell>
        </row>
        <row r="606">
          <cell r="C606" t="str">
            <v>Скориков Евгений Сергеевич</v>
          </cell>
          <cell r="D606" t="str">
            <v xml:space="preserve">горнорабочий </v>
          </cell>
          <cell r="E606" t="str">
            <v>ЮЭ2010697 499554</v>
          </cell>
          <cell r="F606">
            <v>1428.1</v>
          </cell>
          <cell r="G606">
            <v>1210.6099999999999</v>
          </cell>
          <cell r="H606">
            <v>0</v>
          </cell>
        </row>
        <row r="607">
          <cell r="C607" t="str">
            <v>Скориков Сергей Викторович</v>
          </cell>
          <cell r="D607" t="str">
            <v>проходчик на поверхностных работах</v>
          </cell>
          <cell r="E607" t="str">
            <v>ЮЭ2010697 499557</v>
          </cell>
          <cell r="F607">
            <v>1497.9</v>
          </cell>
          <cell r="G607">
            <v>1269.75</v>
          </cell>
          <cell r="H607">
            <v>1371.79</v>
          </cell>
        </row>
        <row r="608">
          <cell r="E608" t="str">
            <v>АП2010037 926475</v>
          </cell>
          <cell r="F608">
            <v>1618.3</v>
          </cell>
          <cell r="G608">
            <v>1371.79</v>
          </cell>
          <cell r="H608">
            <v>0</v>
          </cell>
        </row>
        <row r="609">
          <cell r="C609" t="str">
            <v>Скотинников Андрей Николаевич</v>
          </cell>
          <cell r="D609" t="str">
            <v>проходчик на поверхностных работах</v>
          </cell>
          <cell r="E609" t="str">
            <v>ЧБ2010571 780644</v>
          </cell>
          <cell r="F609">
            <v>1079.5999999999999</v>
          </cell>
          <cell r="G609">
            <v>915.27</v>
          </cell>
          <cell r="H609">
            <v>0</v>
          </cell>
        </row>
        <row r="610">
          <cell r="C610" t="str">
            <v>Соболев Андрей Васильевич</v>
          </cell>
          <cell r="D610" t="str">
            <v xml:space="preserve">горнорабочий </v>
          </cell>
          <cell r="E610" t="str">
            <v>ЮЭ2010697 947180</v>
          </cell>
          <cell r="F610">
            <v>1776.4</v>
          </cell>
          <cell r="G610">
            <v>1505.77</v>
          </cell>
          <cell r="H610">
            <v>915.27</v>
          </cell>
        </row>
        <row r="611">
          <cell r="E611">
            <v>2007012507288</v>
          </cell>
          <cell r="F611">
            <v>1079.5999999999999</v>
          </cell>
          <cell r="G611">
            <v>915.27</v>
          </cell>
          <cell r="H611">
            <v>0</v>
          </cell>
        </row>
        <row r="612">
          <cell r="C612" t="str">
            <v>Соломенцев Валерий Викторович</v>
          </cell>
          <cell r="D612" t="str">
            <v>электрогазосварщик, занятый на резке и ручной сварке</v>
          </cell>
          <cell r="E612" t="str">
            <v>ГЕ2010108 884612</v>
          </cell>
          <cell r="F612">
            <v>1149</v>
          </cell>
          <cell r="G612">
            <v>974.08</v>
          </cell>
          <cell r="H612">
            <v>0</v>
          </cell>
        </row>
        <row r="613">
          <cell r="C613" t="str">
            <v>Сорокин Григорий Александрович</v>
          </cell>
          <cell r="D613" t="str">
            <v>электрослесарь (слесарь) дежурный и по ремонту оборудования</v>
          </cell>
          <cell r="E613" t="str">
            <v>ВЛ2010086 116695</v>
          </cell>
          <cell r="F613">
            <v>1079.5999999999999</v>
          </cell>
          <cell r="G613">
            <v>915.27</v>
          </cell>
          <cell r="H613">
            <v>1121.96</v>
          </cell>
        </row>
        <row r="614">
          <cell r="E614" t="str">
            <v>ВЛ2010086 116698</v>
          </cell>
          <cell r="F614">
            <v>1323.5</v>
          </cell>
          <cell r="G614">
            <v>1121.96</v>
          </cell>
          <cell r="H614">
            <v>0</v>
          </cell>
        </row>
        <row r="615">
          <cell r="C615" t="str">
            <v>Степанов Николай Григорьевич</v>
          </cell>
          <cell r="D615" t="str">
            <v>проходчик на поверхностных работах</v>
          </cell>
          <cell r="E615" t="str">
            <v>ШГ2010599 055459</v>
          </cell>
          <cell r="F615">
            <v>1218.9000000000001</v>
          </cell>
          <cell r="G615">
            <v>1033.31</v>
          </cell>
          <cell r="H615">
            <v>1033.31</v>
          </cell>
        </row>
        <row r="616">
          <cell r="E616" t="str">
            <v>ГЕ2010108 884622</v>
          </cell>
          <cell r="F616">
            <v>1218.9000000000001</v>
          </cell>
          <cell r="G616">
            <v>1033.31</v>
          </cell>
          <cell r="H616">
            <v>0</v>
          </cell>
        </row>
        <row r="617">
          <cell r="C617" t="str">
            <v>Стетюха Сергей Анатольевич</v>
          </cell>
          <cell r="D617" t="str">
            <v>электрогазосварщик, занятый на резке и ручной сварке</v>
          </cell>
          <cell r="E617" t="str">
            <v>ЮЭ2010697 044120</v>
          </cell>
          <cell r="F617">
            <v>1149</v>
          </cell>
          <cell r="G617">
            <v>974.08</v>
          </cell>
          <cell r="H617">
            <v>0</v>
          </cell>
        </row>
        <row r="618">
          <cell r="C618" t="str">
            <v>Стешенко Александр Владимирович</v>
          </cell>
          <cell r="D618" t="str">
            <v>электрогазосварщик, занятый на резке и ручной сварке</v>
          </cell>
          <cell r="E618" t="str">
            <v>ЧБ2010571 847641</v>
          </cell>
          <cell r="F618">
            <v>1776.4</v>
          </cell>
          <cell r="G618">
            <v>1505.77</v>
          </cell>
          <cell r="H618">
            <v>0</v>
          </cell>
        </row>
        <row r="619">
          <cell r="C619" t="str">
            <v>Сухов Алексей Федорович</v>
          </cell>
          <cell r="D619" t="str">
            <v xml:space="preserve">горнорабочий </v>
          </cell>
          <cell r="E619" t="str">
            <v>АЕ2010030 412831</v>
          </cell>
          <cell r="F619">
            <v>940</v>
          </cell>
          <cell r="G619">
            <v>796.96</v>
          </cell>
          <cell r="H619">
            <v>0</v>
          </cell>
        </row>
        <row r="620">
          <cell r="C620" t="str">
            <v>Сухляк Юрий Алексеевич</v>
          </cell>
          <cell r="D620" t="str">
            <v>электрогазосварщик, занятый на резке и ручной сварке</v>
          </cell>
          <cell r="E620" t="str">
            <v>ЧБ2010571 985085</v>
          </cell>
          <cell r="F620">
            <v>1567.5</v>
          </cell>
          <cell r="G620">
            <v>1328.73</v>
          </cell>
          <cell r="H620">
            <v>1491.2</v>
          </cell>
        </row>
        <row r="621">
          <cell r="E621" t="str">
            <v>АП2010037  937779</v>
          </cell>
          <cell r="F621">
            <v>1759.2</v>
          </cell>
          <cell r="G621">
            <v>1491.2</v>
          </cell>
          <cell r="H621">
            <v>0</v>
          </cell>
        </row>
        <row r="622">
          <cell r="C622" t="str">
            <v>Сытник Александр Анатольевич</v>
          </cell>
          <cell r="D622" t="str">
            <v>проходчик на поверхностных работах</v>
          </cell>
          <cell r="E622" t="str">
            <v>ЮЭ2010697 909675</v>
          </cell>
          <cell r="F622">
            <v>1047.5999999999999</v>
          </cell>
          <cell r="G622">
            <v>888.15</v>
          </cell>
          <cell r="H622">
            <v>0</v>
          </cell>
        </row>
        <row r="623">
          <cell r="C623" t="str">
            <v>Тарабановский Андрей Викторович</v>
          </cell>
          <cell r="D623" t="str">
            <v>электрослесарь (слесарь) дежурный и по ремонту оборудования</v>
          </cell>
          <cell r="E623" t="str">
            <v>ЧБ2010571 780664</v>
          </cell>
          <cell r="F623">
            <v>1060.7</v>
          </cell>
          <cell r="G623">
            <v>899.25</v>
          </cell>
          <cell r="H623">
            <v>915.27</v>
          </cell>
        </row>
        <row r="624">
          <cell r="E624" t="str">
            <v>ЧБ2010571  780665</v>
          </cell>
          <cell r="F624">
            <v>1079.5999999999999</v>
          </cell>
          <cell r="G624">
            <v>915.27</v>
          </cell>
          <cell r="H624">
            <v>0</v>
          </cell>
        </row>
        <row r="625">
          <cell r="C625" t="str">
            <v>Татевосян Арсен Георгиевич</v>
          </cell>
          <cell r="D625" t="str">
            <v>электрогазосварщик, занятый на резке и ручной сварке</v>
          </cell>
          <cell r="E625" t="str">
            <v>АК2010033 046135</v>
          </cell>
          <cell r="F625">
            <v>1315.4</v>
          </cell>
          <cell r="G625">
            <v>1115.0899999999999</v>
          </cell>
          <cell r="H625">
            <v>0</v>
          </cell>
        </row>
        <row r="626">
          <cell r="C626" t="str">
            <v>Тербулатов Эльдар Исмаилович</v>
          </cell>
          <cell r="D626" t="str">
            <v>машинист передвижной дизельной электростанции</v>
          </cell>
          <cell r="E626" t="str">
            <v>ВЛ2010086 289992</v>
          </cell>
          <cell r="F626">
            <v>1567.5</v>
          </cell>
          <cell r="G626">
            <v>1328.73</v>
          </cell>
          <cell r="H626">
            <v>0</v>
          </cell>
        </row>
        <row r="627">
          <cell r="C627" t="str">
            <v>Тилов Мухажир Камалович</v>
          </cell>
          <cell r="D627" t="str">
            <v>электросварщик ручной сварки</v>
          </cell>
          <cell r="E627" t="str">
            <v>ВЛ2010086 289993</v>
          </cell>
          <cell r="F627">
            <v>1567.5</v>
          </cell>
          <cell r="G627">
            <v>1328.73</v>
          </cell>
          <cell r="H627">
            <v>0</v>
          </cell>
        </row>
        <row r="628">
          <cell r="C628" t="str">
            <v>Тимохин Александр Викторович</v>
          </cell>
          <cell r="D628" t="str">
            <v>электрогазосварщик, занятый на резке и ручной сварке</v>
          </cell>
          <cell r="E628" t="str">
            <v>ЮЭ2010697 945205</v>
          </cell>
          <cell r="F628">
            <v>1567.5</v>
          </cell>
          <cell r="G628">
            <v>1328.74</v>
          </cell>
          <cell r="H628">
            <v>0</v>
          </cell>
        </row>
        <row r="629">
          <cell r="C629" t="str">
            <v>Тишков Дмитрий Владимирович</v>
          </cell>
          <cell r="D629" t="str">
            <v>электрогазосварщик, занятый на резке и ручной сварке</v>
          </cell>
          <cell r="E629" t="str">
            <v>ЧБ2010571 847642</v>
          </cell>
          <cell r="F629">
            <v>1776.4</v>
          </cell>
          <cell r="G629">
            <v>1505.77</v>
          </cell>
          <cell r="H629">
            <v>1343.31</v>
          </cell>
        </row>
        <row r="630">
          <cell r="E630" t="str">
            <v>АП2010037 902886</v>
          </cell>
          <cell r="F630">
            <v>1584.7</v>
          </cell>
          <cell r="G630">
            <v>1343.31</v>
          </cell>
          <cell r="H630">
            <v>0</v>
          </cell>
        </row>
        <row r="631">
          <cell r="C631" t="str">
            <v>Толиченко Максим Станиславович</v>
          </cell>
          <cell r="D631" t="str">
            <v>электрогазосварщик, занятый на резке и ручной сварке</v>
          </cell>
          <cell r="E631" t="str">
            <v>ЕВ2010156 969540</v>
          </cell>
          <cell r="F631">
            <v>1497.7</v>
          </cell>
          <cell r="G631">
            <v>1269.5899999999999</v>
          </cell>
          <cell r="H631">
            <v>0</v>
          </cell>
        </row>
        <row r="632">
          <cell r="C632" t="str">
            <v>Улецкий Геннадий Гаврилович</v>
          </cell>
          <cell r="D632" t="str">
            <v>электросварщик ручной сварки</v>
          </cell>
          <cell r="E632" t="str">
            <v>ЮЭ2010697 043616</v>
          </cell>
          <cell r="F632">
            <v>1060.7</v>
          </cell>
          <cell r="G632">
            <v>899.25</v>
          </cell>
          <cell r="H632">
            <v>974.08</v>
          </cell>
        </row>
        <row r="633">
          <cell r="E633" t="str">
            <v>ГМ2010113 494191</v>
          </cell>
          <cell r="F633">
            <v>1149</v>
          </cell>
          <cell r="G633">
            <v>974.08</v>
          </cell>
          <cell r="H633">
            <v>0</v>
          </cell>
        </row>
        <row r="634">
          <cell r="C634" t="str">
            <v>Урсу Лилиян Иванович</v>
          </cell>
          <cell r="D634" t="str">
            <v xml:space="preserve">горнорабочий </v>
          </cell>
          <cell r="E634" t="str">
            <v>АК2010033 139315</v>
          </cell>
          <cell r="F634">
            <v>1497.9</v>
          </cell>
          <cell r="G634">
            <v>1269.75</v>
          </cell>
          <cell r="H634">
            <v>0</v>
          </cell>
        </row>
        <row r="635">
          <cell r="C635" t="str">
            <v>Федоров Алексей Алексеевич</v>
          </cell>
          <cell r="D635" t="str">
            <v>электрослесарь дежурный и по ремонту оборудования</v>
          </cell>
          <cell r="E635" t="str">
            <v>АК2010033 138481</v>
          </cell>
          <cell r="F635">
            <v>1497.9</v>
          </cell>
          <cell r="G635">
            <v>1269.75</v>
          </cell>
          <cell r="H635">
            <v>0</v>
          </cell>
        </row>
        <row r="636">
          <cell r="C636" t="str">
            <v>Федоров Игорь Александрович</v>
          </cell>
          <cell r="D636" t="str">
            <v>проходчик на поверхностных работах</v>
          </cell>
          <cell r="E636" t="str">
            <v>ГЕ2010108  884611</v>
          </cell>
          <cell r="F636">
            <v>1149</v>
          </cell>
          <cell r="G636">
            <v>974.08</v>
          </cell>
          <cell r="H636">
            <v>0</v>
          </cell>
        </row>
        <row r="637">
          <cell r="C637" t="str">
            <v>Федотов Дмитрий Витальевич</v>
          </cell>
          <cell r="D637" t="str">
            <v>проходчик на поверхностных работах</v>
          </cell>
          <cell r="E637" t="str">
            <v>ЯИ2010707 201892</v>
          </cell>
          <cell r="F637">
            <v>1567.5</v>
          </cell>
          <cell r="G637">
            <v>1328.73</v>
          </cell>
          <cell r="H637">
            <v>0</v>
          </cell>
        </row>
        <row r="638">
          <cell r="C638" t="str">
            <v>Фесиков Владимир Александрович</v>
          </cell>
          <cell r="D638" t="str">
            <v>горнорабочий</v>
          </cell>
          <cell r="E638" t="str">
            <v>ЮЭ2010697 915977</v>
          </cell>
          <cell r="F638">
            <v>1079.5999999999999</v>
          </cell>
          <cell r="G638">
            <v>915.27</v>
          </cell>
          <cell r="H638">
            <v>0</v>
          </cell>
        </row>
        <row r="639">
          <cell r="C639" t="str">
            <v>Фефилов Валерий Леонидович</v>
          </cell>
          <cell r="D639" t="str">
            <v>электрослесарь дежурный и по ремонту оборудования</v>
          </cell>
          <cell r="E639" t="str">
            <v>ЮМ2010684 418040</v>
          </cell>
          <cell r="F639">
            <v>1149</v>
          </cell>
          <cell r="G639">
            <v>974.08</v>
          </cell>
          <cell r="H639">
            <v>915.27</v>
          </cell>
        </row>
        <row r="640">
          <cell r="E640" t="str">
            <v>ГВ2010105 485455</v>
          </cell>
          <cell r="F640">
            <v>1079.5999999999999</v>
          </cell>
          <cell r="G640">
            <v>915.27</v>
          </cell>
          <cell r="H640">
            <v>0</v>
          </cell>
        </row>
        <row r="641">
          <cell r="C641" t="str">
            <v>Фомин Алексей Николаевич</v>
          </cell>
          <cell r="D641" t="str">
            <v>проходчик на поверхностных работах</v>
          </cell>
          <cell r="E641" t="str">
            <v>ВЕ2010082 594260</v>
          </cell>
          <cell r="F641">
            <v>997</v>
          </cell>
          <cell r="G641">
            <v>845.26</v>
          </cell>
          <cell r="H641">
            <v>0</v>
          </cell>
        </row>
        <row r="642">
          <cell r="C642" t="str">
            <v>Чайко Александр Тимофеевич</v>
          </cell>
          <cell r="D642" t="str">
            <v>элекрогазосварщик занятый на резке и ручной сварке о/г.р.</v>
          </cell>
          <cell r="E642" t="str">
            <v>ВЛ2010086 048698</v>
          </cell>
          <cell r="F642">
            <v>1497.9</v>
          </cell>
          <cell r="G642">
            <v>1269.75</v>
          </cell>
          <cell r="H642">
            <v>1565.1</v>
          </cell>
        </row>
        <row r="643">
          <cell r="E643" t="str">
            <v>ВЛ2010086 048699</v>
          </cell>
          <cell r="F643">
            <v>1846.4</v>
          </cell>
          <cell r="G643">
            <v>1565.1</v>
          </cell>
          <cell r="H643">
            <v>0</v>
          </cell>
        </row>
        <row r="644">
          <cell r="C644" t="str">
            <v>Черновол Анатолий Алексеевич</v>
          </cell>
          <cell r="D644" t="str">
            <v>электрослесарь (слесарь) дежурный и по ремонту оборудования</v>
          </cell>
          <cell r="E644" t="str">
            <v>АИ2010032 765058</v>
          </cell>
          <cell r="F644">
            <v>1567.5</v>
          </cell>
          <cell r="G644">
            <v>1328.73</v>
          </cell>
          <cell r="H644">
            <v>1328.73</v>
          </cell>
        </row>
        <row r="645">
          <cell r="E645" t="str">
            <v>АИ2010032 767958</v>
          </cell>
          <cell r="F645">
            <v>1567.5</v>
          </cell>
          <cell r="G645">
            <v>1328.73</v>
          </cell>
          <cell r="H645">
            <v>0</v>
          </cell>
        </row>
        <row r="646">
          <cell r="C646" t="str">
            <v>Чеховской Андрей Николаевич</v>
          </cell>
          <cell r="D646" t="str">
            <v>электрогазосварщик, занятый на резке и ручной сварке</v>
          </cell>
          <cell r="E646" t="str">
            <v>ВЛ2010086 117382</v>
          </cell>
          <cell r="F646">
            <v>1149</v>
          </cell>
          <cell r="G646">
            <v>974.08</v>
          </cell>
          <cell r="H646">
            <v>0</v>
          </cell>
        </row>
        <row r="647">
          <cell r="C647" t="str">
            <v>Чмиль Денис Сергеевич</v>
          </cell>
          <cell r="D647" t="str">
            <v>проходчик на поверхностных работах</v>
          </cell>
          <cell r="E647" t="str">
            <v>ГМ2010113 446847</v>
          </cell>
          <cell r="F647">
            <v>1079.5999999999999</v>
          </cell>
          <cell r="G647">
            <v>915.27</v>
          </cell>
          <cell r="H647">
            <v>0</v>
          </cell>
        </row>
        <row r="648">
          <cell r="C648" t="str">
            <v>Харлампьев Валентин Юрьевич</v>
          </cell>
          <cell r="D648" t="str">
            <v>проходчик на поверхностных работах</v>
          </cell>
          <cell r="E648" t="str">
            <v>АИ2010032 666147</v>
          </cell>
          <cell r="F648">
            <v>2299.4</v>
          </cell>
          <cell r="G648">
            <v>1948.99</v>
          </cell>
          <cell r="H648">
            <v>1948.99</v>
          </cell>
        </row>
        <row r="649">
          <cell r="E649" t="str">
            <v>ГМ2010113 446433</v>
          </cell>
          <cell r="F649">
            <v>2299.4</v>
          </cell>
          <cell r="G649">
            <v>1948.99</v>
          </cell>
          <cell r="H649">
            <v>0</v>
          </cell>
        </row>
        <row r="650">
          <cell r="C650" t="str">
            <v>Хворостенко Анатолий Николаевич</v>
          </cell>
          <cell r="D650" t="str">
            <v>элекрогазосварщик занятый на резке и ручной сварке о/г.р.</v>
          </cell>
          <cell r="E650" t="str">
            <v>АК2010033 139653</v>
          </cell>
          <cell r="F650">
            <v>2090.3000000000002</v>
          </cell>
          <cell r="G650">
            <v>1771.79</v>
          </cell>
          <cell r="H650">
            <v>2192.73</v>
          </cell>
        </row>
        <row r="651">
          <cell r="E651" t="str">
            <v>ЕВ2010156 961733</v>
          </cell>
          <cell r="F651">
            <v>2587</v>
          </cell>
          <cell r="G651">
            <v>2192.73</v>
          </cell>
          <cell r="H651">
            <v>0</v>
          </cell>
        </row>
        <row r="652">
          <cell r="C652" t="str">
            <v>Христофоров Геннадий Дмитриевич</v>
          </cell>
          <cell r="D652" t="str">
            <v>проходчик на поверхностных работах</v>
          </cell>
          <cell r="E652" t="str">
            <v>ЮЭ2010697 896073</v>
          </cell>
          <cell r="F652">
            <v>1894.7</v>
          </cell>
          <cell r="G652">
            <v>1677.38</v>
          </cell>
          <cell r="H652">
            <v>1638.82</v>
          </cell>
        </row>
        <row r="653">
          <cell r="E653" t="str">
            <v>ГВ2010105 485467</v>
          </cell>
          <cell r="F653">
            <v>1933.4</v>
          </cell>
          <cell r="G653">
            <v>1638.82</v>
          </cell>
          <cell r="H653">
            <v>0</v>
          </cell>
        </row>
        <row r="654">
          <cell r="C654" t="str">
            <v>Шарапова Оксана Михайловна</v>
          </cell>
          <cell r="D654" t="str">
            <v>горнорабочий на маркшейдерских работах</v>
          </cell>
          <cell r="E654" t="str">
            <v>ВЕ2010082 694605</v>
          </cell>
          <cell r="F654">
            <v>2111.8000000000002</v>
          </cell>
          <cell r="G654">
            <v>1790.01</v>
          </cell>
          <cell r="H654">
            <v>0</v>
          </cell>
        </row>
        <row r="655">
          <cell r="C655" t="str">
            <v>Шаталов Олег Николаевич</v>
          </cell>
          <cell r="D655" t="str">
            <v>электросварщик ручной сварки</v>
          </cell>
          <cell r="E655" t="str">
            <v>ЮЭ2010697 896080</v>
          </cell>
          <cell r="F655">
            <v>1567.5</v>
          </cell>
          <cell r="G655">
            <v>1328.73</v>
          </cell>
          <cell r="H655">
            <v>1269.5899999999999</v>
          </cell>
        </row>
        <row r="656">
          <cell r="E656" t="str">
            <v>ГВ2010105 485325</v>
          </cell>
          <cell r="F656">
            <v>1497.7</v>
          </cell>
          <cell r="G656">
            <v>1269.5899999999999</v>
          </cell>
          <cell r="H656">
            <v>0</v>
          </cell>
        </row>
        <row r="657">
          <cell r="C657" t="str">
            <v>Шевченко Александр Викторович</v>
          </cell>
          <cell r="D657" t="str">
            <v>горнорабочий</v>
          </cell>
          <cell r="E657" t="str">
            <v xml:space="preserve">ГЕ2010108 885127                </v>
          </cell>
          <cell r="F657">
            <v>1323.5</v>
          </cell>
          <cell r="G657">
            <v>1121.96</v>
          </cell>
          <cell r="H657">
            <v>0</v>
          </cell>
        </row>
        <row r="658">
          <cell r="C658" t="str">
            <v>Шевченко Николай Алексеевич</v>
          </cell>
          <cell r="D658" t="str">
            <v>электросварщик ручной сварки</v>
          </cell>
          <cell r="E658" t="str">
            <v>ЧБ2010571 562554</v>
          </cell>
          <cell r="F658">
            <v>1428.1</v>
          </cell>
          <cell r="G658">
            <v>1210.6099999999999</v>
          </cell>
          <cell r="H658">
            <v>0</v>
          </cell>
        </row>
        <row r="659">
          <cell r="C659" t="str">
            <v>Шеин Валерий Сергеевич</v>
          </cell>
          <cell r="D659" t="str">
            <v>машинист компрессорных установок</v>
          </cell>
          <cell r="E659" t="str">
            <v>АК2010086 288224</v>
          </cell>
          <cell r="F659">
            <v>1567.5</v>
          </cell>
          <cell r="G659">
            <v>1328.73</v>
          </cell>
          <cell r="H659">
            <v>1328.73</v>
          </cell>
        </row>
        <row r="660">
          <cell r="E660" t="str">
            <v>ГВ2010105 484900</v>
          </cell>
          <cell r="F660">
            <v>1567.5</v>
          </cell>
          <cell r="G660">
            <v>1328.73</v>
          </cell>
          <cell r="H660">
            <v>0</v>
          </cell>
        </row>
        <row r="661">
          <cell r="C661" t="str">
            <v>Шиян Игорь Анатольевич</v>
          </cell>
          <cell r="D661" t="str">
            <v>электрослесарь (слесарь) дежурный и по ремонту оборудования</v>
          </cell>
          <cell r="E661" t="str">
            <v>ЧБ2010571 780651</v>
          </cell>
          <cell r="F661">
            <v>1218.9000000000001</v>
          </cell>
          <cell r="G661">
            <v>1033.31</v>
          </cell>
          <cell r="H661">
            <v>915.27</v>
          </cell>
        </row>
        <row r="662">
          <cell r="E662" t="str">
            <v>ГВ2010105 485454</v>
          </cell>
          <cell r="F662">
            <v>1079.5999999999999</v>
          </cell>
          <cell r="G662">
            <v>915.27</v>
          </cell>
          <cell r="H662">
            <v>0</v>
          </cell>
        </row>
        <row r="663">
          <cell r="C663" t="str">
            <v>Шквира Славик Тамазович</v>
          </cell>
          <cell r="D663" t="str">
            <v>электрогазосварщик, занятый на резке и ручной сварке</v>
          </cell>
          <cell r="E663" t="str">
            <v>ЯЯ2010725 200706</v>
          </cell>
          <cell r="F663">
            <v>2090.3000000000002</v>
          </cell>
          <cell r="G663">
            <v>1771.79</v>
          </cell>
          <cell r="H663">
            <v>0</v>
          </cell>
        </row>
        <row r="664">
          <cell r="C664" t="str">
            <v>Шульга Александр Александрович</v>
          </cell>
          <cell r="D664" t="str">
            <v>электрослесарь (слесарь) дежурный и по ремонту оборудования</v>
          </cell>
          <cell r="E664" t="str">
            <v>ЧБ2010571 780829</v>
          </cell>
          <cell r="F664">
            <v>997</v>
          </cell>
          <cell r="G664">
            <v>845.26</v>
          </cell>
          <cell r="H664">
            <v>0</v>
          </cell>
        </row>
        <row r="665">
          <cell r="C665" t="str">
            <v>Шумский Сергей Евгеньевич</v>
          </cell>
          <cell r="D665" t="str">
            <v>проходчик на поверхностных работах</v>
          </cell>
          <cell r="E665" t="str">
            <v>ЮЭ2010697 947327</v>
          </cell>
          <cell r="F665">
            <v>1079.5999999999999</v>
          </cell>
          <cell r="G665">
            <v>915.27</v>
          </cell>
          <cell r="H665">
            <v>0</v>
          </cell>
        </row>
        <row r="666">
          <cell r="C666" t="str">
            <v>Янченко Владимир Дмитриевич</v>
          </cell>
          <cell r="D666" t="str">
            <v>электрогазосварщик, занятый на резке и ручной сварке</v>
          </cell>
          <cell r="E666" t="str">
            <v>АК 2010033 138480</v>
          </cell>
          <cell r="F666">
            <v>1497.9</v>
          </cell>
          <cell r="G666">
            <v>1269.75</v>
          </cell>
          <cell r="H666">
            <v>1601.09</v>
          </cell>
        </row>
        <row r="667">
          <cell r="E667" t="str">
            <v>ЕВ2010156  720772</v>
          </cell>
          <cell r="F667">
            <v>1804.1</v>
          </cell>
          <cell r="G667">
            <v>1601.09</v>
          </cell>
          <cell r="H667">
            <v>0</v>
          </cell>
        </row>
        <row r="668">
          <cell r="C668" t="str">
            <v>Яценко Андрей Николаевич</v>
          </cell>
          <cell r="D668" t="str">
            <v>проходчик на поверхностных работах</v>
          </cell>
          <cell r="E668" t="str">
            <v>ЮЭ2010697 909674</v>
          </cell>
          <cell r="F668">
            <v>1047.5999999999999</v>
          </cell>
          <cell r="G668">
            <v>888.15</v>
          </cell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C671" t="str">
            <v>Дьяковский Владимир Иванович</v>
          </cell>
          <cell r="D671" t="str">
            <v>машинист крана автомобильного</v>
          </cell>
          <cell r="E671" t="str">
            <v>ЮЭ2010697 858765</v>
          </cell>
          <cell r="F671">
            <v>2299.4</v>
          </cell>
          <cell r="G671">
            <v>1948.99</v>
          </cell>
          <cell r="H671">
            <v>0</v>
          </cell>
        </row>
        <row r="672">
          <cell r="C672" t="str">
            <v>Запорожец Сергей Анатольевич</v>
          </cell>
          <cell r="D672" t="str">
            <v>машинист крана автомобильного</v>
          </cell>
          <cell r="E672" t="str">
            <v>ВЕ2010082 694597</v>
          </cell>
          <cell r="F672">
            <v>2090.3000000000002</v>
          </cell>
          <cell r="G672">
            <v>1771.79</v>
          </cell>
          <cell r="H672">
            <v>0</v>
          </cell>
        </row>
        <row r="673">
          <cell r="C673" t="str">
            <v>Зайцев Тимофей Иванович</v>
          </cell>
          <cell r="D673" t="str">
            <v>машинист крана автомобильного</v>
          </cell>
          <cell r="E673" t="str">
            <v>ВЛ2010086 228064</v>
          </cell>
          <cell r="F673">
            <v>3397.3</v>
          </cell>
          <cell r="G673">
            <v>2879.42</v>
          </cell>
          <cell r="H673">
            <v>0</v>
          </cell>
        </row>
        <row r="674">
          <cell r="C674" t="str">
            <v>Румянцев Сергей Рафаилович</v>
          </cell>
          <cell r="D674" t="str">
            <v>машинист крана автомобильного</v>
          </cell>
          <cell r="E674" t="str">
            <v>ЮЭ2010697 885743</v>
          </cell>
          <cell r="F674">
            <v>2299.4</v>
          </cell>
          <cell r="G674">
            <v>1948.99</v>
          </cell>
          <cell r="H674">
            <v>0</v>
          </cell>
        </row>
        <row r="675">
          <cell r="C675" t="str">
            <v>Рыков Сергей Николаевич</v>
          </cell>
          <cell r="D675" t="str">
            <v>машинист крана автомобильного</v>
          </cell>
          <cell r="E675" t="str">
            <v>ГВ2010105 484528</v>
          </cell>
          <cell r="F675">
            <v>933.2</v>
          </cell>
          <cell r="G675">
            <v>791.2</v>
          </cell>
          <cell r="H675">
            <v>0</v>
          </cell>
        </row>
        <row r="676">
          <cell r="C676" t="str">
            <v>Сергеев Юрий Николаевич</v>
          </cell>
          <cell r="D676" t="str">
            <v>машинист бульдозера</v>
          </cell>
          <cell r="E676" t="str">
            <v>ЮЭ2010697 564194</v>
          </cell>
          <cell r="F676">
            <v>1567.5</v>
          </cell>
          <cell r="G676">
            <v>1328.73</v>
          </cell>
          <cell r="H676">
            <v>0</v>
          </cell>
        </row>
        <row r="677">
          <cell r="C677" t="str">
            <v>Снимщиков Александр Иванович</v>
          </cell>
          <cell r="D677" t="str">
            <v>машинист бульдозера</v>
          </cell>
          <cell r="E677" t="str">
            <v>ЯЯ2010725 295954</v>
          </cell>
          <cell r="F677">
            <v>1497.9</v>
          </cell>
          <cell r="G677">
            <v>1269.75</v>
          </cell>
          <cell r="H677">
            <v>1638.82</v>
          </cell>
        </row>
        <row r="678">
          <cell r="E678" t="str">
            <v>АС2010039 807528</v>
          </cell>
          <cell r="F678">
            <v>1933.4</v>
          </cell>
          <cell r="G678">
            <v>1638.82</v>
          </cell>
          <cell r="H678">
            <v>0</v>
          </cell>
        </row>
        <row r="679">
          <cell r="H679">
            <v>0</v>
          </cell>
        </row>
        <row r="680">
          <cell r="C680" t="str">
            <v>Агафонов Андрей Андреевич</v>
          </cell>
          <cell r="D680" t="str">
            <v>водитель автомобиля</v>
          </cell>
          <cell r="E680" t="str">
            <v>ГВ2010105 484557</v>
          </cell>
          <cell r="F680">
            <v>2194.9</v>
          </cell>
          <cell r="G680">
            <v>1860.43</v>
          </cell>
          <cell r="H680">
            <v>0</v>
          </cell>
        </row>
        <row r="681">
          <cell r="C681" t="str">
            <v>Галашев Сергей Павлович</v>
          </cell>
          <cell r="D681" t="str">
            <v>водитель автомобиля</v>
          </cell>
          <cell r="E681" t="str">
            <v>ГВ2010105 484526</v>
          </cell>
          <cell r="F681">
            <v>1428.1</v>
          </cell>
          <cell r="G681">
            <v>1210.6099999999999</v>
          </cell>
          <cell r="H681">
            <v>0</v>
          </cell>
        </row>
        <row r="682">
          <cell r="C682" t="str">
            <v>Горлатов Андрей Владимирович</v>
          </cell>
          <cell r="D682" t="str">
            <v>водитель автомобиля</v>
          </cell>
          <cell r="E682" t="str">
            <v>АИ2010032 718731</v>
          </cell>
          <cell r="F682">
            <v>2090.3000000000002</v>
          </cell>
          <cell r="G682">
            <v>1771.79</v>
          </cell>
          <cell r="H682">
            <v>0</v>
          </cell>
        </row>
        <row r="683">
          <cell r="C683" t="str">
            <v>Жердев Руслан Геннадьевич</v>
          </cell>
          <cell r="D683" t="str">
            <v>водитель автомобиля</v>
          </cell>
          <cell r="E683" t="str">
            <v>ГЕ2010108 884636</v>
          </cell>
          <cell r="F683">
            <v>2194.9</v>
          </cell>
          <cell r="G683">
            <v>1860.43</v>
          </cell>
          <cell r="H683">
            <v>0</v>
          </cell>
        </row>
        <row r="684">
          <cell r="C684" t="str">
            <v>Лукьянов Юрий Александрович</v>
          </cell>
          <cell r="D684" t="str">
            <v>водитель автомобиля</v>
          </cell>
          <cell r="E684" t="str">
            <v>ЩН2010633 306677</v>
          </cell>
          <cell r="F684">
            <v>1497.9</v>
          </cell>
          <cell r="G684">
            <v>1269.75</v>
          </cell>
          <cell r="H684">
            <v>0</v>
          </cell>
        </row>
        <row r="685">
          <cell r="C685" t="str">
            <v>Хачидзе Аркадий Элвардович</v>
          </cell>
          <cell r="D685" t="str">
            <v>водитель автомобиля</v>
          </cell>
          <cell r="E685" t="str">
            <v>ВЕ2010082 694540</v>
          </cell>
          <cell r="F685">
            <v>2194.9</v>
          </cell>
          <cell r="G685">
            <v>1860.43</v>
          </cell>
          <cell r="H685">
            <v>0</v>
          </cell>
        </row>
        <row r="686">
          <cell r="C686" t="str">
            <v>Шахмаев Геннадий Геннадьевич</v>
          </cell>
          <cell r="D686" t="str">
            <v>водитель автомобиля</v>
          </cell>
          <cell r="E686" t="str">
            <v>ВЕ2010082 694539</v>
          </cell>
          <cell r="F686">
            <v>2194.9</v>
          </cell>
          <cell r="G686">
            <v>1860.43</v>
          </cell>
          <cell r="H686">
            <v>0</v>
          </cell>
        </row>
        <row r="687">
          <cell r="H687">
            <v>0</v>
          </cell>
        </row>
        <row r="688">
          <cell r="C688" t="str">
            <v>Гондарев Анатолий Алексеевич</v>
          </cell>
          <cell r="D688" t="str">
            <v>водитель автомобиля</v>
          </cell>
          <cell r="E688" t="str">
            <v>АК2010033 048062</v>
          </cell>
          <cell r="F688">
            <v>1497.9</v>
          </cell>
          <cell r="G688">
            <v>1269.75</v>
          </cell>
          <cell r="H688">
            <v>0</v>
          </cell>
        </row>
        <row r="689">
          <cell r="C689" t="str">
            <v>Рожновский Владимир Николаевич</v>
          </cell>
          <cell r="D689" t="str">
            <v>водитель автомобиля</v>
          </cell>
          <cell r="E689" t="str">
            <v>ГВ2010105 484722</v>
          </cell>
          <cell r="F689">
            <v>2194.9</v>
          </cell>
          <cell r="G689">
            <v>1860.43</v>
          </cell>
          <cell r="H689">
            <v>0</v>
          </cell>
        </row>
        <row r="690">
          <cell r="H690">
            <v>0</v>
          </cell>
        </row>
        <row r="691">
          <cell r="C691" t="str">
            <v>Бондаренко Вячеслав Борисович</v>
          </cell>
          <cell r="D691" t="str">
            <v>водитель автобуса</v>
          </cell>
          <cell r="E691" t="str">
            <v>АИ2010032 753822</v>
          </cell>
          <cell r="F691">
            <v>1671.7</v>
          </cell>
          <cell r="G691">
            <v>1417.04</v>
          </cell>
          <cell r="H691">
            <v>0</v>
          </cell>
        </row>
        <row r="692">
          <cell r="C692" t="str">
            <v>Костин Валерий Павлович</v>
          </cell>
          <cell r="D692" t="str">
            <v>водитель автобуса</v>
          </cell>
          <cell r="E692" t="str">
            <v>ГВ2010105 484569</v>
          </cell>
          <cell r="F692">
            <v>1149</v>
          </cell>
          <cell r="G692">
            <v>974.08</v>
          </cell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C695" t="str">
            <v>Мажугин Александр Петрович</v>
          </cell>
          <cell r="D695" t="str">
            <v>механик автомобильной колонны</v>
          </cell>
          <cell r="E695" t="str">
            <v>АК2010033 183193</v>
          </cell>
          <cell r="F695">
            <v>2090.3000000000002</v>
          </cell>
          <cell r="G695">
            <v>1771.79</v>
          </cell>
          <cell r="H695">
            <v>0</v>
          </cell>
        </row>
        <row r="696">
          <cell r="H696">
            <v>0</v>
          </cell>
        </row>
        <row r="697">
          <cell r="C697" t="str">
            <v>Головченко Сергей Евгеньевич</v>
          </cell>
          <cell r="D697" t="str">
            <v>слесарь по ремонту автомобилей</v>
          </cell>
          <cell r="E697" t="str">
            <v>ЧБ2010571 838022</v>
          </cell>
          <cell r="F697">
            <v>2194.9</v>
          </cell>
          <cell r="G697">
            <v>1860.43</v>
          </cell>
          <cell r="H697">
            <v>0</v>
          </cell>
        </row>
        <row r="698">
          <cell r="C698" t="str">
            <v>Усанов Михаил Юрьевич</v>
          </cell>
          <cell r="D698" t="str">
            <v>слесарь по ремонту автомобилей</v>
          </cell>
          <cell r="E698" t="str">
            <v>ГВ2010105 484527</v>
          </cell>
          <cell r="F698">
            <v>1428.1</v>
          </cell>
          <cell r="G698">
            <v>1210.6099999999999</v>
          </cell>
          <cell r="H698">
            <v>0</v>
          </cell>
        </row>
        <row r="699">
          <cell r="H699">
            <v>0</v>
          </cell>
        </row>
        <row r="700">
          <cell r="C700" t="str">
            <v>Горохова Алена Николаевна</v>
          </cell>
          <cell r="D700" t="str">
            <v>инженер-лаборант</v>
          </cell>
          <cell r="E700" t="str">
            <v>АИ2010032 675079</v>
          </cell>
          <cell r="F700">
            <v>2299.4</v>
          </cell>
          <cell r="G700">
            <v>1948.99</v>
          </cell>
          <cell r="H700">
            <v>1948.99</v>
          </cell>
        </row>
        <row r="701">
          <cell r="E701" t="str">
            <v>АИ2010032 675080</v>
          </cell>
          <cell r="F701">
            <v>2299.4</v>
          </cell>
          <cell r="G701">
            <v>1948.99</v>
          </cell>
          <cell r="H701">
            <v>0</v>
          </cell>
        </row>
        <row r="702">
          <cell r="C702" t="str">
            <v>Карпенко Любовь Валентиновна</v>
          </cell>
          <cell r="D702" t="str">
            <v>инженер II категории</v>
          </cell>
          <cell r="E702" t="str">
            <v>ЮЭ2010697 351279</v>
          </cell>
          <cell r="F702">
            <v>2717.7</v>
          </cell>
          <cell r="G702">
            <v>2303.4899999999998</v>
          </cell>
          <cell r="H702">
            <v>1774.15</v>
          </cell>
        </row>
        <row r="703">
          <cell r="E703">
            <v>8236124764931</v>
          </cell>
          <cell r="F703">
            <v>2093.5</v>
          </cell>
          <cell r="G703">
            <v>1774.15</v>
          </cell>
          <cell r="H703">
            <v>0</v>
          </cell>
        </row>
        <row r="704">
          <cell r="C704" t="str">
            <v>Итого:</v>
          </cell>
          <cell r="G704">
            <v>352202</v>
          </cell>
        </row>
        <row r="936">
          <cell r="C936" t="str">
            <v>Воробьев Борис Олегович</v>
          </cell>
          <cell r="D936" t="str">
            <v xml:space="preserve">Мастер горный </v>
          </cell>
          <cell r="E936" t="str">
            <v>ЮЭ 2010697 679976</v>
          </cell>
          <cell r="F936">
            <v>2587</v>
          </cell>
          <cell r="G936">
            <v>2192.73</v>
          </cell>
          <cell r="H936">
            <v>0</v>
          </cell>
        </row>
        <row r="937">
          <cell r="C937" t="str">
            <v>Довбня Владислав Сергеевич</v>
          </cell>
          <cell r="D937" t="str">
            <v>Маркшейдер</v>
          </cell>
          <cell r="E937" t="str">
            <v>ГВ 2010104 292357</v>
          </cell>
          <cell r="F937">
            <v>2194.6</v>
          </cell>
          <cell r="G937">
            <v>1860.18</v>
          </cell>
          <cell r="H937">
            <v>0</v>
          </cell>
        </row>
        <row r="938">
          <cell r="C938" t="str">
            <v>Коротун Павел Владимирович</v>
          </cell>
          <cell r="D938" t="str">
            <v xml:space="preserve">Мастер горный </v>
          </cell>
          <cell r="E938" t="str">
            <v>ВЛ 2010086 115207</v>
          </cell>
          <cell r="F938">
            <v>1933.4</v>
          </cell>
          <cell r="G938">
            <v>1638.82</v>
          </cell>
          <cell r="H938">
            <v>0</v>
          </cell>
        </row>
        <row r="939">
          <cell r="C939" t="str">
            <v>Криворотов Сергей Александрович</v>
          </cell>
          <cell r="D939" t="str">
            <v>Помощник электромеханика</v>
          </cell>
          <cell r="E939" t="str">
            <v>ГК 2010111 280617</v>
          </cell>
          <cell r="F939">
            <v>1933.4</v>
          </cell>
          <cell r="G939">
            <v>1638.82</v>
          </cell>
          <cell r="H939">
            <v>0</v>
          </cell>
        </row>
        <row r="940">
          <cell r="C940" t="str">
            <v>Матяшов Роман Игоревич</v>
          </cell>
          <cell r="D940" t="str">
            <v>Помощник электромеханика</v>
          </cell>
          <cell r="E940" t="str">
            <v>ЦМ 2010554 058439</v>
          </cell>
          <cell r="F940">
            <v>1410.4</v>
          </cell>
          <cell r="G940">
            <v>1195.5999999999999</v>
          </cell>
          <cell r="H940">
            <v>0</v>
          </cell>
        </row>
        <row r="941">
          <cell r="C941" t="str">
            <v>Петров Андрей Юрьевич</v>
          </cell>
          <cell r="D941" t="str">
            <v>Маркшейдер</v>
          </cell>
          <cell r="E941" t="str">
            <v>ГЕ2010108 884710</v>
          </cell>
          <cell r="F941">
            <v>1933.4</v>
          </cell>
          <cell r="G941">
            <v>1638.82</v>
          </cell>
          <cell r="H941">
            <v>0</v>
          </cell>
        </row>
        <row r="942">
          <cell r="C942" t="str">
            <v>Рыбчак Евгений Васильевич</v>
          </cell>
          <cell r="D942" t="str">
            <v>Маркшейдер</v>
          </cell>
          <cell r="E942" t="str">
            <v>АК 2010033 153548</v>
          </cell>
          <cell r="F942">
            <v>2587</v>
          </cell>
          <cell r="G942">
            <v>2192.73</v>
          </cell>
          <cell r="H942">
            <v>0</v>
          </cell>
        </row>
        <row r="943">
          <cell r="C943" t="str">
            <v>Фролов Дмитрий Юрьевич</v>
          </cell>
          <cell r="D943" t="str">
            <v>Помощник электромеханика</v>
          </cell>
          <cell r="E943" t="str">
            <v>ВЛ2010086 292193</v>
          </cell>
          <cell r="F943">
            <v>2299.4</v>
          </cell>
          <cell r="G943">
            <v>1948.99</v>
          </cell>
          <cell r="H943">
            <v>2414.16</v>
          </cell>
        </row>
        <row r="944">
          <cell r="E944" t="str">
            <v>ВЛ 2010086 292194</v>
          </cell>
          <cell r="F944">
            <v>2848.3</v>
          </cell>
          <cell r="G944">
            <v>2414.16</v>
          </cell>
          <cell r="H944">
            <v>0</v>
          </cell>
        </row>
        <row r="945">
          <cell r="C945" t="str">
            <v>Шунин Роман Витальевич</v>
          </cell>
          <cell r="D945" t="str">
            <v xml:space="preserve">Мастер горный </v>
          </cell>
          <cell r="E945" t="str">
            <v>АП 2010037  961462</v>
          </cell>
          <cell r="F945">
            <v>1220.3</v>
          </cell>
          <cell r="G945">
            <v>1034.5</v>
          </cell>
          <cell r="H945">
            <v>0</v>
          </cell>
        </row>
        <row r="946">
          <cell r="H946">
            <v>0</v>
          </cell>
        </row>
        <row r="947">
          <cell r="C947" t="str">
            <v>Абашев Рустам Хакимуллович</v>
          </cell>
          <cell r="D947" t="str">
            <v>электрогазосварщик занятый на резке и ручной сварке о/г.р.</v>
          </cell>
          <cell r="E947" t="str">
            <v>АП 2010037 984852</v>
          </cell>
          <cell r="F947">
            <v>1149</v>
          </cell>
          <cell r="G947">
            <v>974.08</v>
          </cell>
          <cell r="H947">
            <v>974.08</v>
          </cell>
        </row>
        <row r="948">
          <cell r="E948" t="str">
            <v>БЭ 2010074 922072</v>
          </cell>
          <cell r="F948">
            <v>1149</v>
          </cell>
          <cell r="G948">
            <v>974.08</v>
          </cell>
          <cell r="H948">
            <v>0</v>
          </cell>
        </row>
        <row r="949">
          <cell r="C949" t="str">
            <v>Акимов Сергей Владимирович</v>
          </cell>
          <cell r="D949" t="str">
            <v>электросварщик ручной сварки о/г.р.</v>
          </cell>
          <cell r="E949" t="str">
            <v>ЮЭ 2010684 418372</v>
          </cell>
          <cell r="F949">
            <v>1410.4</v>
          </cell>
          <cell r="G949">
            <v>1195.5999999999999</v>
          </cell>
          <cell r="H949">
            <v>1121.96</v>
          </cell>
        </row>
        <row r="950">
          <cell r="E950" t="str">
            <v>АП 2010037 309955</v>
          </cell>
          <cell r="F950">
            <v>1323.5</v>
          </cell>
          <cell r="G950">
            <v>1121.96</v>
          </cell>
          <cell r="H950">
            <v>0</v>
          </cell>
        </row>
        <row r="951">
          <cell r="C951" t="str">
            <v>Алексеев Юрий Семенович</v>
          </cell>
          <cell r="D951" t="str">
            <v>проходчик на поверхностных работах</v>
          </cell>
          <cell r="E951" t="str">
            <v>АИ 2010032 720752</v>
          </cell>
          <cell r="F951">
            <v>3083.7</v>
          </cell>
          <cell r="G951">
            <v>2613.65</v>
          </cell>
          <cell r="H951">
            <v>2192.73</v>
          </cell>
        </row>
        <row r="952">
          <cell r="E952" t="str">
            <v>ГЕ 2010108 885345</v>
          </cell>
          <cell r="F952">
            <v>2587</v>
          </cell>
          <cell r="G952">
            <v>2192.73</v>
          </cell>
          <cell r="H952">
            <v>0</v>
          </cell>
        </row>
        <row r="953">
          <cell r="C953" t="str">
            <v>Алелеков Виктор Николаевич</v>
          </cell>
          <cell r="D953" t="str">
            <v>электросварщик ручной сварки о/г.р.</v>
          </cell>
          <cell r="E953" t="str">
            <v>АЕ 2010030 521255</v>
          </cell>
          <cell r="F953">
            <v>3083.7</v>
          </cell>
          <cell r="G953">
            <v>2613.65</v>
          </cell>
          <cell r="H953">
            <v>2192.73</v>
          </cell>
        </row>
        <row r="954">
          <cell r="E954" t="str">
            <v>ЯИ 2010707 811691</v>
          </cell>
          <cell r="F954">
            <v>2587</v>
          </cell>
          <cell r="G954">
            <v>2192.73</v>
          </cell>
          <cell r="H954">
            <v>0</v>
          </cell>
        </row>
        <row r="955">
          <cell r="C955" t="str">
            <v>Ангиленко Игорь Вадимович</v>
          </cell>
          <cell r="D955" t="str">
            <v>проходчик на поверхностных работах</v>
          </cell>
          <cell r="E955" t="str">
            <v>ЮЭ 2010697 045338</v>
          </cell>
          <cell r="F955">
            <v>1323.5</v>
          </cell>
          <cell r="G955">
            <v>1121.96</v>
          </cell>
          <cell r="H955">
            <v>0</v>
          </cell>
        </row>
        <row r="956">
          <cell r="C956" t="str">
            <v>Андреев Максим Николаевич</v>
          </cell>
          <cell r="D956" t="str">
            <v>электрослесарь (слесарь) дежурный и по ремонту оборудования</v>
          </cell>
          <cell r="E956" t="str">
            <v>ЮЭ 2010697 948871</v>
          </cell>
          <cell r="F956">
            <v>1410.4</v>
          </cell>
          <cell r="G956">
            <v>1195.5999999999999</v>
          </cell>
          <cell r="H956">
            <v>0</v>
          </cell>
        </row>
        <row r="957">
          <cell r="C957" t="str">
            <v>Антонов Алексей Евгеньевич</v>
          </cell>
          <cell r="D957" t="str">
            <v>электрослесарь (слесарь) дежурный и по ремонту оборудования</v>
          </cell>
          <cell r="E957" t="str">
            <v>ЧБ 2010571 781269</v>
          </cell>
          <cell r="F957">
            <v>1323.5</v>
          </cell>
          <cell r="G957">
            <v>1121.96</v>
          </cell>
          <cell r="H957">
            <v>0</v>
          </cell>
        </row>
        <row r="958">
          <cell r="C958" t="str">
            <v>Апарович Виталий Геннадьевич</v>
          </cell>
          <cell r="D958" t="str">
            <v xml:space="preserve">горнорабочий </v>
          </cell>
          <cell r="E958" t="str">
            <v>ЮМ 2010684 419531</v>
          </cell>
          <cell r="F958">
            <v>1567.4</v>
          </cell>
          <cell r="G958">
            <v>1328.65</v>
          </cell>
          <cell r="H958">
            <v>1121.96</v>
          </cell>
        </row>
        <row r="959">
          <cell r="E959" t="str">
            <v>АС 2010039 821065</v>
          </cell>
          <cell r="F959">
            <v>1323.5</v>
          </cell>
          <cell r="G959">
            <v>1121.96</v>
          </cell>
          <cell r="H959">
            <v>0</v>
          </cell>
        </row>
        <row r="960">
          <cell r="C960" t="str">
            <v>Артюхин Александр Николаевич</v>
          </cell>
          <cell r="D960" t="str">
            <v>электросварщик ручной сварки о/г.р.</v>
          </cell>
          <cell r="E960" t="str">
            <v>ЮЭ 2010697 046197</v>
          </cell>
          <cell r="F960">
            <v>1410.4</v>
          </cell>
          <cell r="G960">
            <v>1195.5999999999999</v>
          </cell>
          <cell r="H960">
            <v>0</v>
          </cell>
        </row>
        <row r="961">
          <cell r="C961" t="str">
            <v>Базовой Евгений Викторович</v>
          </cell>
          <cell r="D961" t="str">
            <v>электрогазосварщик занятый на резке и ручной сварке о/г.р.</v>
          </cell>
          <cell r="E961" t="str">
            <v>С 2007014 122585</v>
          </cell>
          <cell r="F961">
            <v>1323.5</v>
          </cell>
          <cell r="G961">
            <v>1121.96</v>
          </cell>
          <cell r="H961">
            <v>0</v>
          </cell>
        </row>
        <row r="962">
          <cell r="C962" t="str">
            <v>Базулин Александр Васильевич</v>
          </cell>
          <cell r="D962" t="str">
            <v>электрослесарь (слесарь) дежурный и по ремонту оборудования</v>
          </cell>
          <cell r="E962" t="str">
            <v>ВЛ 2010086 294776</v>
          </cell>
          <cell r="F962">
            <v>1933.4</v>
          </cell>
          <cell r="G962">
            <v>1638.82</v>
          </cell>
          <cell r="H962">
            <v>1638.82</v>
          </cell>
        </row>
        <row r="963">
          <cell r="E963" t="str">
            <v>АП 2010037  352620</v>
          </cell>
          <cell r="F963">
            <v>1933.4</v>
          </cell>
          <cell r="G963">
            <v>1638.82</v>
          </cell>
          <cell r="H963">
            <v>0</v>
          </cell>
        </row>
        <row r="964">
          <cell r="C964" t="str">
            <v>Барков Алексей Александрович</v>
          </cell>
          <cell r="D964" t="str">
            <v xml:space="preserve">горнорабочий </v>
          </cell>
          <cell r="E964" t="str">
            <v>Г 2010003 752298</v>
          </cell>
          <cell r="F964">
            <v>2107.9</v>
          </cell>
          <cell r="G964">
            <v>1786.71</v>
          </cell>
          <cell r="H964">
            <v>1786.71</v>
          </cell>
        </row>
        <row r="965">
          <cell r="E965" t="str">
            <v>ГМ 2010113 964481</v>
          </cell>
          <cell r="F965">
            <v>2107.9</v>
          </cell>
          <cell r="G965">
            <v>1786.71</v>
          </cell>
          <cell r="H965">
            <v>0</v>
          </cell>
        </row>
        <row r="966">
          <cell r="C966" t="str">
            <v>Беловолов Геннадий Анатольевич</v>
          </cell>
          <cell r="D966" t="str">
            <v>проходчик на поверхностных работах</v>
          </cell>
          <cell r="E966" t="str">
            <v>ГВ 2010105 485390</v>
          </cell>
          <cell r="F966">
            <v>1584.7</v>
          </cell>
          <cell r="G966">
            <v>1343.31</v>
          </cell>
          <cell r="H966">
            <v>0</v>
          </cell>
        </row>
        <row r="967">
          <cell r="C967" t="str">
            <v>Белоусов Павел Анатольевич</v>
          </cell>
          <cell r="D967" t="str">
            <v>электрослесарь (слесарь) дежурный и по ремонту оборудования</v>
          </cell>
          <cell r="E967" t="str">
            <v>ВЛ 2010086 425340</v>
          </cell>
          <cell r="F967">
            <v>2299.4</v>
          </cell>
          <cell r="G967">
            <v>1948.99</v>
          </cell>
          <cell r="H967">
            <v>0</v>
          </cell>
        </row>
        <row r="968">
          <cell r="C968" t="str">
            <v>Бида Андрей Александрович</v>
          </cell>
          <cell r="D968" t="str">
            <v>электросварщик ручной сварки</v>
          </cell>
          <cell r="E968" t="str">
            <v>ЮЭ 2010697 915566</v>
          </cell>
          <cell r="F968">
            <v>1323.5</v>
          </cell>
          <cell r="G968">
            <v>1121.96</v>
          </cell>
          <cell r="H968">
            <v>0</v>
          </cell>
        </row>
        <row r="969">
          <cell r="C969" t="str">
            <v>Билалов Сергей Владимирович</v>
          </cell>
          <cell r="D969" t="str">
            <v>электрогазосварщик занятый на резке и ручной сварке о/г.р.</v>
          </cell>
          <cell r="E969" t="str">
            <v>ЕГ 2010157 714135</v>
          </cell>
          <cell r="F969">
            <v>1497.7</v>
          </cell>
          <cell r="G969">
            <v>1269.5899999999999</v>
          </cell>
          <cell r="H969">
            <v>1121.96</v>
          </cell>
        </row>
        <row r="970">
          <cell r="E970" t="str">
            <v xml:space="preserve">С 200701 4122586              </v>
          </cell>
          <cell r="F970">
            <v>1323.5</v>
          </cell>
          <cell r="G970">
            <v>1121.96</v>
          </cell>
          <cell r="H970">
            <v>0</v>
          </cell>
        </row>
        <row r="971">
          <cell r="C971" t="str">
            <v>Богатырев Сергей Александрович</v>
          </cell>
          <cell r="D971" t="str">
            <v>проходчик на поверхностных работах</v>
          </cell>
          <cell r="E971" t="str">
            <v>ГВ 2010105 485391</v>
          </cell>
          <cell r="F971">
            <v>1584.7</v>
          </cell>
          <cell r="G971">
            <v>1343.31</v>
          </cell>
          <cell r="H971">
            <v>0</v>
          </cell>
        </row>
        <row r="972">
          <cell r="C972" t="str">
            <v>Бондарев Иван Викторович</v>
          </cell>
          <cell r="D972" t="str">
            <v>горнорабочий о/г.р</v>
          </cell>
          <cell r="E972" t="str">
            <v>ЮЭ 2010697 045833</v>
          </cell>
          <cell r="F972">
            <v>1323.5</v>
          </cell>
          <cell r="G972">
            <v>1121.96</v>
          </cell>
          <cell r="H972">
            <v>1121.96</v>
          </cell>
        </row>
        <row r="973">
          <cell r="E973" t="str">
            <v>ГМ 2010113 963743</v>
          </cell>
          <cell r="F973">
            <v>1323.5</v>
          </cell>
          <cell r="G973">
            <v>1121.96</v>
          </cell>
          <cell r="H973">
            <v>0</v>
          </cell>
        </row>
        <row r="974">
          <cell r="C974" t="str">
            <v>Вальков Виктор Анатольевич</v>
          </cell>
          <cell r="D974" t="str">
            <v>электрослесарь (слесарь) дежурный и по ремонту оборудования</v>
          </cell>
          <cell r="E974" t="str">
            <v>ГК 2010111 280618</v>
          </cell>
          <cell r="F974">
            <v>1933.4</v>
          </cell>
          <cell r="G974">
            <v>1638.82</v>
          </cell>
          <cell r="H974">
            <v>1638.82</v>
          </cell>
        </row>
        <row r="975">
          <cell r="E975" t="str">
            <v>АП 2010037  307482</v>
          </cell>
          <cell r="F975">
            <v>1933.4</v>
          </cell>
          <cell r="G975">
            <v>1638.82</v>
          </cell>
          <cell r="H975">
            <v>0</v>
          </cell>
        </row>
        <row r="976">
          <cell r="C976" t="str">
            <v>Володин Сергей Николаевич</v>
          </cell>
          <cell r="D976" t="str">
            <v>проходчик на поверхностных работах</v>
          </cell>
          <cell r="E976" t="str">
            <v>АП 2010037 986263</v>
          </cell>
          <cell r="F976">
            <v>1323.5</v>
          </cell>
          <cell r="G976">
            <v>1121.96</v>
          </cell>
          <cell r="H976">
            <v>0</v>
          </cell>
        </row>
        <row r="977">
          <cell r="C977" t="str">
            <v>Волчков Игорь Николаевич</v>
          </cell>
          <cell r="D977" t="str">
            <v>электросварщик ручной сварки</v>
          </cell>
          <cell r="E977" t="str">
            <v>ЕГ 2010157 714341</v>
          </cell>
          <cell r="F977">
            <v>1497.7</v>
          </cell>
          <cell r="G977">
            <v>1269.5899999999999</v>
          </cell>
          <cell r="H977">
            <v>0</v>
          </cell>
        </row>
        <row r="978">
          <cell r="C978" t="str">
            <v>Воробьев Андрей Сергеевич</v>
          </cell>
          <cell r="D978" t="str">
            <v>проходчик на поверхностных работах</v>
          </cell>
          <cell r="E978" t="str">
            <v>Р 2007013 717568</v>
          </cell>
          <cell r="F978">
            <v>1410.4</v>
          </cell>
          <cell r="G978">
            <v>1195.5999999999999</v>
          </cell>
          <cell r="H978">
            <v>1099.96</v>
          </cell>
        </row>
        <row r="979">
          <cell r="E979" t="str">
            <v>С 2007014 119399</v>
          </cell>
          <cell r="F979">
            <v>1299.9000000000001</v>
          </cell>
          <cell r="G979">
            <v>1099.96</v>
          </cell>
          <cell r="H979">
            <v>0</v>
          </cell>
        </row>
        <row r="980">
          <cell r="C980" t="str">
            <v>Галибин Сергей Валентинович</v>
          </cell>
          <cell r="D980" t="str">
            <v>электрослесарь (слесарь) дежурный и по ремонту оборудования</v>
          </cell>
          <cell r="E980" t="str">
            <v>ВЛ 2010086 583662</v>
          </cell>
          <cell r="F980">
            <v>2299.4</v>
          </cell>
          <cell r="G980">
            <v>1948.99</v>
          </cell>
          <cell r="H980">
            <v>1638.82</v>
          </cell>
        </row>
        <row r="981">
          <cell r="E981" t="str">
            <v>АС 2010039 828547</v>
          </cell>
          <cell r="F981">
            <v>1933.4</v>
          </cell>
          <cell r="G981">
            <v>1638.82</v>
          </cell>
          <cell r="H981">
            <v>0</v>
          </cell>
        </row>
        <row r="982">
          <cell r="C982" t="str">
            <v>Гамидов Юсиф Ашраф Оглы</v>
          </cell>
          <cell r="D982" t="str">
            <v xml:space="preserve">горнорабочий </v>
          </cell>
          <cell r="E982" t="str">
            <v>ГБ 2010104 257029</v>
          </cell>
          <cell r="F982">
            <v>2717.7</v>
          </cell>
          <cell r="G982">
            <v>2303.4899999999998</v>
          </cell>
          <cell r="H982">
            <v>0</v>
          </cell>
        </row>
        <row r="983">
          <cell r="C983" t="str">
            <v>Ганусевич Олег Валерьевич</v>
          </cell>
          <cell r="D983" t="str">
            <v>электрослесарь (слесарь) дежурный и по ремонту оборудования</v>
          </cell>
          <cell r="E983" t="str">
            <v>ГБ 2010104 243593</v>
          </cell>
          <cell r="F983">
            <v>1497.7</v>
          </cell>
          <cell r="G983">
            <v>1269.5899999999999</v>
          </cell>
          <cell r="H983">
            <v>1564.75</v>
          </cell>
        </row>
        <row r="984">
          <cell r="E984" t="str">
            <v>734203 60767094</v>
          </cell>
          <cell r="F984">
            <v>1846.4</v>
          </cell>
          <cell r="G984">
            <v>1564.75</v>
          </cell>
          <cell r="H984">
            <v>0</v>
          </cell>
        </row>
        <row r="985">
          <cell r="C985" t="str">
            <v>Герасименко Владислав Владиславович</v>
          </cell>
          <cell r="D985" t="str">
            <v>проходчик на поверхностных работах</v>
          </cell>
          <cell r="E985" t="str">
            <v>ГБ 2010104 243416</v>
          </cell>
          <cell r="F985">
            <v>1410.4</v>
          </cell>
          <cell r="G985">
            <v>1195.5999999999999</v>
          </cell>
          <cell r="H985">
            <v>0</v>
          </cell>
        </row>
        <row r="986">
          <cell r="C986" t="str">
            <v>Гладченко Виктор Иванович</v>
          </cell>
          <cell r="D986" t="str">
            <v>электрослесарь (слесарь) дежурный и по ремонту оборудования</v>
          </cell>
          <cell r="E986" t="str">
            <v>ГБ 2010104 241884</v>
          </cell>
          <cell r="F986">
            <v>1410.4</v>
          </cell>
          <cell r="G986">
            <v>1195.5999999999999</v>
          </cell>
          <cell r="H986">
            <v>1195.5999999999999</v>
          </cell>
        </row>
        <row r="987">
          <cell r="E987" t="str">
            <v>ГБ 2010104 241885</v>
          </cell>
          <cell r="F987">
            <v>1410.4</v>
          </cell>
          <cell r="G987">
            <v>1195.5999999999999</v>
          </cell>
          <cell r="H987">
            <v>0</v>
          </cell>
        </row>
        <row r="988">
          <cell r="C988" t="str">
            <v>Гулов Руслан Викторович</v>
          </cell>
          <cell r="D988" t="str">
            <v xml:space="preserve">горнорабочий </v>
          </cell>
          <cell r="E988" t="str">
            <v>АП 2010037 331712</v>
          </cell>
          <cell r="F988">
            <v>1410.4</v>
          </cell>
          <cell r="G988">
            <v>1195.5999999999999</v>
          </cell>
          <cell r="H988">
            <v>0</v>
          </cell>
        </row>
        <row r="989">
          <cell r="C989" t="str">
            <v>Гуляев Валерий Александрович</v>
          </cell>
          <cell r="D989" t="str">
            <v>электрослесарь (слесарь) дежурный и по ремонту оборудования</v>
          </cell>
          <cell r="E989" t="str">
            <v>ВЛ 2010086 117244</v>
          </cell>
          <cell r="F989">
            <v>1323.5</v>
          </cell>
          <cell r="G989">
            <v>1121.96</v>
          </cell>
          <cell r="H989">
            <v>0</v>
          </cell>
        </row>
        <row r="990">
          <cell r="C990" t="str">
            <v>Гусак Александр Леонидович</v>
          </cell>
          <cell r="D990" t="str">
            <v>электросварщик ручной сварки</v>
          </cell>
          <cell r="E990" t="str">
            <v>ШБ 2010597 746610</v>
          </cell>
          <cell r="F990">
            <v>1933.4</v>
          </cell>
          <cell r="G990">
            <v>1638.82</v>
          </cell>
          <cell r="H990">
            <v>0</v>
          </cell>
        </row>
        <row r="991">
          <cell r="C991" t="str">
            <v>Гущин Владимир Петрович</v>
          </cell>
          <cell r="D991" t="str">
            <v>электрослесарь (слесарь) дежурный и по ремонту оборудования</v>
          </cell>
          <cell r="E991" t="str">
            <v>ЕГ 2010157 714107</v>
          </cell>
          <cell r="F991">
            <v>1323.5</v>
          </cell>
          <cell r="G991">
            <v>1121.96</v>
          </cell>
          <cell r="H991">
            <v>1121.96</v>
          </cell>
        </row>
        <row r="992">
          <cell r="E992" t="str">
            <v>БЭ 2010074 924362</v>
          </cell>
          <cell r="F992">
            <v>1323.5</v>
          </cell>
          <cell r="G992">
            <v>1121.96</v>
          </cell>
          <cell r="H992">
            <v>0</v>
          </cell>
        </row>
        <row r="993">
          <cell r="C993" t="str">
            <v>Дзюбин Анатолий Владимирович</v>
          </cell>
          <cell r="D993" t="str">
            <v>электрогазосварщик занятый на резке и ручной сварке о/г.р.</v>
          </cell>
          <cell r="E993" t="str">
            <v>АП 2010037 964170</v>
          </cell>
          <cell r="F993">
            <v>1864.4</v>
          </cell>
          <cell r="G993">
            <v>1583.1</v>
          </cell>
          <cell r="H993">
            <v>0</v>
          </cell>
        </row>
        <row r="994">
          <cell r="C994" t="str">
            <v>Дзюбин Владимир Владимирович</v>
          </cell>
          <cell r="D994" t="str">
            <v>электрогазосварщик занятый на резке и ручной сварке о/г.р.</v>
          </cell>
          <cell r="E994" t="str">
            <v>АП 2010037 964171</v>
          </cell>
          <cell r="F994">
            <v>1864.4</v>
          </cell>
          <cell r="G994">
            <v>1583.1</v>
          </cell>
          <cell r="H994">
            <v>0</v>
          </cell>
        </row>
        <row r="995">
          <cell r="C995" t="str">
            <v>Дзюбин Юрий Владимирович</v>
          </cell>
          <cell r="D995" t="str">
            <v>электрогазосварщик занятый на резке и ручной сварке о/г.р.</v>
          </cell>
          <cell r="E995" t="str">
            <v>АП2010037 964169</v>
          </cell>
          <cell r="F995">
            <v>1864.4</v>
          </cell>
          <cell r="G995">
            <v>1583.1</v>
          </cell>
          <cell r="H995">
            <v>0</v>
          </cell>
        </row>
        <row r="996">
          <cell r="C996" t="str">
            <v>Драгунцов Александр Владимирович</v>
          </cell>
          <cell r="D996" t="str">
            <v>проходчик на поверхностных работах</v>
          </cell>
          <cell r="E996" t="str">
            <v>ЮЭ 2010697 045662</v>
          </cell>
          <cell r="F996">
            <v>1671.7</v>
          </cell>
          <cell r="G996">
            <v>1417.04</v>
          </cell>
          <cell r="H996">
            <v>1101.96</v>
          </cell>
        </row>
        <row r="997">
          <cell r="E997" t="str">
            <v>ЮЭ 2010697 045345</v>
          </cell>
          <cell r="F997">
            <v>1299.9000000000001</v>
          </cell>
          <cell r="G997">
            <v>1101.96</v>
          </cell>
          <cell r="H997">
            <v>0</v>
          </cell>
        </row>
        <row r="998">
          <cell r="C998" t="str">
            <v>Дударов Муса Кантемирович</v>
          </cell>
          <cell r="D998" t="str">
            <v>проходчик на поверхностных работах</v>
          </cell>
          <cell r="E998" t="str">
            <v>ВЛ 2010086 293471</v>
          </cell>
          <cell r="F998">
            <v>1933.4</v>
          </cell>
          <cell r="G998">
            <v>1638.82</v>
          </cell>
          <cell r="H998">
            <v>0</v>
          </cell>
        </row>
        <row r="999">
          <cell r="C999" t="str">
            <v>Дужик Виктор Васильевич</v>
          </cell>
          <cell r="D999" t="str">
            <v>горнорабочий</v>
          </cell>
          <cell r="E999" t="str">
            <v>ЮЭ 2010697 949326</v>
          </cell>
          <cell r="F999">
            <v>1497.7</v>
          </cell>
          <cell r="G999">
            <v>1269.5899999999999</v>
          </cell>
          <cell r="H999">
            <v>1121.96</v>
          </cell>
        </row>
        <row r="1000">
          <cell r="E1000" t="str">
            <v>С 2007014  122587</v>
          </cell>
          <cell r="F1000">
            <v>1323.5</v>
          </cell>
          <cell r="G1000">
            <v>1121.96</v>
          </cell>
          <cell r="H1000">
            <v>0</v>
          </cell>
        </row>
        <row r="1001">
          <cell r="C1001" t="str">
            <v>Дьяков Андрей Николаевич</v>
          </cell>
          <cell r="D1001" t="str">
            <v xml:space="preserve">горнорабочий </v>
          </cell>
          <cell r="E1001" t="str">
            <v>ЯИ 2010707 811703</v>
          </cell>
          <cell r="F1001">
            <v>3083.7</v>
          </cell>
          <cell r="G1001">
            <v>2613.65</v>
          </cell>
          <cell r="H1001">
            <v>2303.4899999999998</v>
          </cell>
        </row>
        <row r="1002">
          <cell r="E1002" t="str">
            <v>С 2007014 110679</v>
          </cell>
          <cell r="F1002">
            <v>2717.7</v>
          </cell>
          <cell r="G1002">
            <v>2303.4899999999998</v>
          </cell>
          <cell r="H1002">
            <v>0</v>
          </cell>
        </row>
        <row r="1003">
          <cell r="C1003" t="str">
            <v>Ермилов Роман Юрьевич</v>
          </cell>
          <cell r="D1003" t="str">
            <v>электрогазосварщик, занятый на резке и ручной сварке</v>
          </cell>
          <cell r="E1003" t="str">
            <v>ЕГ 2010157 714245</v>
          </cell>
          <cell r="F1003">
            <v>1497.7</v>
          </cell>
          <cell r="G1003">
            <v>1269.5899999999999</v>
          </cell>
          <cell r="H1003">
            <v>0</v>
          </cell>
        </row>
        <row r="1004">
          <cell r="C1004" t="str">
            <v>Журба Дмитрий Александрович</v>
          </cell>
          <cell r="D1004" t="str">
            <v>проходчик на поверхностных работах</v>
          </cell>
          <cell r="E1004" t="str">
            <v>ЦН 2010555 973532</v>
          </cell>
          <cell r="F1004">
            <v>3240</v>
          </cell>
          <cell r="G1004">
            <v>2746.05</v>
          </cell>
          <cell r="H1004">
            <v>0</v>
          </cell>
        </row>
        <row r="1005">
          <cell r="C1005" t="str">
            <v>Зорькин Виталий Сергеевич</v>
          </cell>
          <cell r="D1005" t="str">
            <v>проходчик на поверхностных работах</v>
          </cell>
          <cell r="E1005" t="str">
            <v>ЮЭ 2010697 948518</v>
          </cell>
          <cell r="F1005">
            <v>1567.4</v>
          </cell>
          <cell r="G1005">
            <v>1328.65</v>
          </cell>
          <cell r="H1005">
            <v>0</v>
          </cell>
        </row>
        <row r="1006">
          <cell r="C1006" t="str">
            <v>Зюзик Сергей Анатольевич</v>
          </cell>
          <cell r="D1006" t="str">
            <v>горнорабочий о/г.р</v>
          </cell>
          <cell r="E1006" t="str">
            <v>ГБ 2010104 240521</v>
          </cell>
          <cell r="F1006">
            <v>1410.4</v>
          </cell>
          <cell r="G1006">
            <v>1195.5999999999999</v>
          </cell>
          <cell r="H1006">
            <v>1101.96</v>
          </cell>
        </row>
        <row r="1007">
          <cell r="E1007" t="str">
            <v>ШГ 2010599  061979</v>
          </cell>
          <cell r="F1007">
            <v>1299.9000000000001</v>
          </cell>
          <cell r="G1007">
            <v>1101.96</v>
          </cell>
          <cell r="H1007">
            <v>0</v>
          </cell>
        </row>
        <row r="1008">
          <cell r="C1008" t="str">
            <v>Камышников Александр Сергеевич</v>
          </cell>
          <cell r="D1008" t="str">
            <v>проходчик на поверхностных работах</v>
          </cell>
          <cell r="E1008" t="str">
            <v>АП 2010037 986262</v>
          </cell>
          <cell r="F1008">
            <v>1323.5</v>
          </cell>
          <cell r="G1008">
            <v>1121.96</v>
          </cell>
          <cell r="H1008">
            <v>0</v>
          </cell>
        </row>
        <row r="1009">
          <cell r="C1009" t="str">
            <v>Каппес Николай Владимирович</v>
          </cell>
          <cell r="D1009" t="str">
            <v xml:space="preserve">горнорабочий </v>
          </cell>
          <cell r="E1009" t="str">
            <v>ВЛ 2010086 593867</v>
          </cell>
          <cell r="F1009">
            <v>3083.7</v>
          </cell>
          <cell r="G1009">
            <v>2613.65</v>
          </cell>
          <cell r="H1009">
            <v>1417.3</v>
          </cell>
        </row>
        <row r="1010">
          <cell r="E1010" t="str">
            <v>АС 2010039 837382</v>
          </cell>
          <cell r="F1010">
            <v>1672</v>
          </cell>
          <cell r="G1010">
            <v>1417.3</v>
          </cell>
          <cell r="H1010">
            <v>0</v>
          </cell>
        </row>
        <row r="1011">
          <cell r="C1011" t="str">
            <v>Карунин Павел Николаевич</v>
          </cell>
          <cell r="D1011" t="str">
            <v>горнорабочий на маркшейдерских работах</v>
          </cell>
          <cell r="E1011" t="str">
            <v>ГЕ 2010108 884911</v>
          </cell>
          <cell r="F1011">
            <v>1933.4</v>
          </cell>
          <cell r="G1011">
            <v>1638.82</v>
          </cell>
          <cell r="H1011">
            <v>0</v>
          </cell>
        </row>
        <row r="1012">
          <cell r="C1012" t="str">
            <v>Катенев Юрий Николаевич</v>
          </cell>
          <cell r="D1012" t="str">
            <v xml:space="preserve">горнорабочий </v>
          </cell>
          <cell r="E1012" t="str">
            <v>ЮЭ 2010697 046857</v>
          </cell>
          <cell r="F1012">
            <v>1410.4</v>
          </cell>
          <cell r="G1012">
            <v>1195.5999999999999</v>
          </cell>
          <cell r="H1012">
            <v>1121.96</v>
          </cell>
        </row>
        <row r="1013">
          <cell r="E1013" t="str">
            <v>АП 2010037 347343</v>
          </cell>
          <cell r="F1013">
            <v>1323.5</v>
          </cell>
          <cell r="G1013">
            <v>1121.96</v>
          </cell>
          <cell r="H1013">
            <v>0</v>
          </cell>
        </row>
        <row r="1014">
          <cell r="C1014" t="str">
            <v>Клочко Евгений Владимирович</v>
          </cell>
          <cell r="D1014" t="str">
            <v>электрогазосварщик, занятый на резке и ручной сварке</v>
          </cell>
          <cell r="E1014" t="str">
            <v>ШБ 2010597 907069</v>
          </cell>
          <cell r="F1014">
            <v>2194.8000000000002</v>
          </cell>
          <cell r="G1014">
            <v>1860.34</v>
          </cell>
          <cell r="H1014">
            <v>1565.1</v>
          </cell>
        </row>
        <row r="1015">
          <cell r="E1015" t="str">
            <v>ЕВ 2010156  997272</v>
          </cell>
          <cell r="F1015">
            <v>1846.4</v>
          </cell>
          <cell r="G1015">
            <v>1565.1</v>
          </cell>
          <cell r="H1015">
            <v>0</v>
          </cell>
        </row>
        <row r="1016">
          <cell r="C1016" t="str">
            <v>Клочков Роман Леонидович</v>
          </cell>
          <cell r="D1016" t="str">
            <v xml:space="preserve">горнорабочий </v>
          </cell>
          <cell r="E1016" t="str">
            <v>ГБ 2010104 243524</v>
          </cell>
          <cell r="F1016">
            <v>1410.4</v>
          </cell>
          <cell r="G1016">
            <v>1195.5999999999999</v>
          </cell>
          <cell r="H1016">
            <v>1101.96</v>
          </cell>
        </row>
        <row r="1017">
          <cell r="E1017" t="str">
            <v>ГЕ 2010108 885332</v>
          </cell>
          <cell r="F1017">
            <v>1299.9000000000001</v>
          </cell>
          <cell r="G1017">
            <v>1101.96</v>
          </cell>
          <cell r="H1017">
            <v>0</v>
          </cell>
        </row>
        <row r="1018">
          <cell r="C1018" t="str">
            <v>Князев Руслан Анатольевич</v>
          </cell>
          <cell r="D1018" t="str">
            <v>проходчик на поверхностных работах</v>
          </cell>
          <cell r="E1018" t="str">
            <v>ЭУ 2010664 192881</v>
          </cell>
          <cell r="F1018">
            <v>2674.6</v>
          </cell>
          <cell r="G1018">
            <v>2266.96</v>
          </cell>
          <cell r="H1018">
            <v>0</v>
          </cell>
        </row>
        <row r="1019">
          <cell r="C1019" t="str">
            <v>Колесников Юрий Викторович</v>
          </cell>
          <cell r="D1019" t="str">
            <v>электрогазосварщик, занятый на резке и ручной сварке</v>
          </cell>
          <cell r="E1019" t="str">
            <v>ЧБ 2010571 781309</v>
          </cell>
          <cell r="F1019">
            <v>1443.6</v>
          </cell>
          <cell r="G1019">
            <v>1223.74</v>
          </cell>
          <cell r="H1019">
            <v>1121.96</v>
          </cell>
        </row>
        <row r="1020">
          <cell r="E1020" t="str">
            <v>ГМ 2010113 963752</v>
          </cell>
          <cell r="F1020">
            <v>1323.5</v>
          </cell>
          <cell r="G1020">
            <v>1121.96</v>
          </cell>
          <cell r="H1020">
            <v>0</v>
          </cell>
        </row>
        <row r="1021">
          <cell r="C1021" t="str">
            <v>Колпаков Вадим Михайлович</v>
          </cell>
          <cell r="D1021" t="str">
            <v>электрогазосварщик, занятый на резке и ручной сварке</v>
          </cell>
          <cell r="E1021" t="str">
            <v>ШБ 2010597 837090</v>
          </cell>
          <cell r="F1021">
            <v>1933.4</v>
          </cell>
          <cell r="G1021">
            <v>1638.82</v>
          </cell>
          <cell r="H1021">
            <v>1638.82</v>
          </cell>
        </row>
        <row r="1022">
          <cell r="E1022" t="str">
            <v>АП 2010037 312763</v>
          </cell>
          <cell r="F1022">
            <v>1933.4</v>
          </cell>
          <cell r="G1022">
            <v>1638.82</v>
          </cell>
          <cell r="H1022">
            <v>0</v>
          </cell>
        </row>
        <row r="1023">
          <cell r="C1023" t="str">
            <v>Котляров Александр Николаевич</v>
          </cell>
          <cell r="D1023" t="str">
            <v>проходчик на поверхностных работах</v>
          </cell>
          <cell r="E1023" t="str">
            <v>ЮЭ 2010697 948626</v>
          </cell>
          <cell r="F1023">
            <v>1323.5</v>
          </cell>
          <cell r="G1023">
            <v>1121.96</v>
          </cell>
          <cell r="H1023">
            <v>1101.96</v>
          </cell>
        </row>
        <row r="1024">
          <cell r="E1024" t="str">
            <v>ГМ 2010113 963717</v>
          </cell>
          <cell r="F1024">
            <v>1299.9000000000001</v>
          </cell>
          <cell r="G1024">
            <v>1101.96</v>
          </cell>
          <cell r="H1024">
            <v>0</v>
          </cell>
        </row>
        <row r="1025">
          <cell r="C1025" t="str">
            <v>Котляров Геннадий Сергеевич</v>
          </cell>
          <cell r="D1025" t="str">
            <v>проходчик на поверхностных работах</v>
          </cell>
          <cell r="E1025" t="str">
            <v>ЮЭ 2010697 982868</v>
          </cell>
          <cell r="F1025">
            <v>1672</v>
          </cell>
          <cell r="G1025">
            <v>1417.3</v>
          </cell>
          <cell r="H1025">
            <v>1417.3</v>
          </cell>
        </row>
        <row r="1026">
          <cell r="E1026" t="str">
            <v>БР 2010064  188744</v>
          </cell>
          <cell r="F1026">
            <v>1672</v>
          </cell>
          <cell r="G1026">
            <v>1417.3</v>
          </cell>
          <cell r="H1026">
            <v>0</v>
          </cell>
        </row>
        <row r="1027">
          <cell r="C1027" t="str">
            <v>Кравцов Владимир Сергеевич</v>
          </cell>
          <cell r="D1027" t="str">
            <v>электрогазосварщик, занятый на резке и ручной сварке</v>
          </cell>
          <cell r="E1027" t="str">
            <v>ЧБ 2010571 781284</v>
          </cell>
          <cell r="F1027">
            <v>1323.5</v>
          </cell>
          <cell r="G1027">
            <v>1121.96</v>
          </cell>
          <cell r="H1027">
            <v>0</v>
          </cell>
        </row>
        <row r="1028">
          <cell r="C1028" t="str">
            <v>Кривощеков Александр Павлович</v>
          </cell>
          <cell r="D1028" t="str">
            <v>проходчик на поверхностных работах</v>
          </cell>
          <cell r="E1028" t="str">
            <v>ЧБ 2010571 781591</v>
          </cell>
          <cell r="F1028">
            <v>1497.7</v>
          </cell>
          <cell r="G1028">
            <v>1269.5899999999999</v>
          </cell>
          <cell r="H1028">
            <v>1034.5</v>
          </cell>
        </row>
        <row r="1029">
          <cell r="E1029" t="str">
            <v>АП2010037 352608</v>
          </cell>
          <cell r="F1029">
            <v>1220.3</v>
          </cell>
          <cell r="G1029">
            <v>1034.5</v>
          </cell>
          <cell r="H1029">
            <v>0</v>
          </cell>
        </row>
        <row r="1030">
          <cell r="C1030" t="str">
            <v>Кривченков Александр Федорович</v>
          </cell>
          <cell r="D1030" t="str">
            <v xml:space="preserve">горнорабочий </v>
          </cell>
          <cell r="E1030" t="str">
            <v>ШГ 2010599 061621</v>
          </cell>
          <cell r="F1030">
            <v>1410.4</v>
          </cell>
          <cell r="G1030">
            <v>1195.5999999999999</v>
          </cell>
          <cell r="H1030">
            <v>1195.5999999999999</v>
          </cell>
        </row>
        <row r="1031">
          <cell r="E1031" t="str">
            <v>ГБ 2010104 240882</v>
          </cell>
          <cell r="F1031">
            <v>1410.4</v>
          </cell>
          <cell r="G1031">
            <v>1195.5999999999999</v>
          </cell>
          <cell r="H1031">
            <v>0</v>
          </cell>
        </row>
        <row r="1032">
          <cell r="C1032" t="str">
            <v>Кропачев Антон Александрович</v>
          </cell>
          <cell r="D1032" t="str">
            <v>проходчик на поверхностных работах</v>
          </cell>
          <cell r="E1032" t="str">
            <v>ЧБ 2010571 781563</v>
          </cell>
          <cell r="F1032">
            <v>1323.5</v>
          </cell>
          <cell r="G1032">
            <v>1121.96</v>
          </cell>
          <cell r="H1032">
            <v>0</v>
          </cell>
        </row>
        <row r="1033">
          <cell r="C1033" t="str">
            <v>Кузин Иван Владимирович</v>
          </cell>
          <cell r="D1033" t="str">
            <v>горнорабочий</v>
          </cell>
          <cell r="E1033" t="str">
            <v>ШГ 2010599 063558</v>
          </cell>
          <cell r="F1033">
            <v>1671.7</v>
          </cell>
          <cell r="G1033">
            <v>1417.04</v>
          </cell>
          <cell r="H1033">
            <v>1565.1</v>
          </cell>
        </row>
        <row r="1034">
          <cell r="E1034" t="str">
            <v>С 2007014 105739</v>
          </cell>
          <cell r="F1034">
            <v>1846.4</v>
          </cell>
          <cell r="G1034">
            <v>1565.1</v>
          </cell>
          <cell r="H1034">
            <v>0</v>
          </cell>
        </row>
        <row r="1035">
          <cell r="C1035" t="str">
            <v>Кузнецов Владислав Анатольевич</v>
          </cell>
          <cell r="D1035" t="str">
            <v>Проходчик на поверхностных работах</v>
          </cell>
          <cell r="E1035" t="str">
            <v>ЮЭ 2010697 044820</v>
          </cell>
          <cell r="F1035">
            <v>1323.5</v>
          </cell>
          <cell r="G1035">
            <v>1121.96</v>
          </cell>
          <cell r="H1035">
            <v>1121.96</v>
          </cell>
        </row>
        <row r="1036">
          <cell r="E1036" t="str">
            <v>АС 2010039 826298</v>
          </cell>
          <cell r="F1036">
            <v>1323.5</v>
          </cell>
          <cell r="G1036">
            <v>1121.96</v>
          </cell>
          <cell r="H1036">
            <v>0</v>
          </cell>
        </row>
        <row r="1037">
          <cell r="C1037" t="str">
            <v>Кузнецовский Алексей Борисович</v>
          </cell>
          <cell r="D1037" t="str">
            <v>электрогазосварщик, занятый на резке и ручной сварке</v>
          </cell>
          <cell r="E1037" t="str">
            <v>ЮЭ 2010697 657391</v>
          </cell>
          <cell r="F1037">
            <v>2587</v>
          </cell>
          <cell r="G1037">
            <v>2192.73</v>
          </cell>
          <cell r="H1037">
            <v>0</v>
          </cell>
        </row>
        <row r="1038">
          <cell r="C1038" t="str">
            <v>Кулагин Дмитрий Геннадьевич</v>
          </cell>
          <cell r="D1038" t="str">
            <v>проходчик на поверхностных работах</v>
          </cell>
          <cell r="E1038" t="str">
            <v>ЕЛ 2010163 003229</v>
          </cell>
          <cell r="F1038">
            <v>1618.3</v>
          </cell>
          <cell r="G1038">
            <v>1371.79</v>
          </cell>
          <cell r="H1038">
            <v>1491.2</v>
          </cell>
        </row>
        <row r="1039">
          <cell r="E1039" t="str">
            <v>С 2007014 117464</v>
          </cell>
          <cell r="F1039">
            <v>1759.2</v>
          </cell>
          <cell r="G1039">
            <v>1491.2</v>
          </cell>
          <cell r="H1039">
            <v>0</v>
          </cell>
        </row>
        <row r="1040">
          <cell r="C1040" t="str">
            <v>Лаврик Виктор Александрович</v>
          </cell>
          <cell r="D1040" t="str">
            <v>проходчик на поверхностных работах</v>
          </cell>
          <cell r="E1040" t="str">
            <v>ЮЛ 2010683 554434</v>
          </cell>
          <cell r="F1040">
            <v>2194.8000000000002</v>
          </cell>
          <cell r="G1040">
            <v>1860.34</v>
          </cell>
          <cell r="H1040">
            <v>0</v>
          </cell>
        </row>
        <row r="1041">
          <cell r="C1041" t="str">
            <v>Ландин Руслан Сергеевич</v>
          </cell>
          <cell r="D1041" t="str">
            <v>проходчик на поверхностных работах</v>
          </cell>
          <cell r="E1041" t="str">
            <v>ЦН 2010555 974859</v>
          </cell>
          <cell r="F1041">
            <v>1443.6</v>
          </cell>
          <cell r="G1041">
            <v>1223.74</v>
          </cell>
          <cell r="H1041">
            <v>0</v>
          </cell>
        </row>
        <row r="1042">
          <cell r="C1042" t="str">
            <v>Лаптев Иван Климентьевич</v>
          </cell>
          <cell r="D1042" t="str">
            <v>проходчик на поверхностных работах</v>
          </cell>
          <cell r="E1042" t="str">
            <v>ВЛ 2010086 179193</v>
          </cell>
          <cell r="F1042">
            <v>3397.3</v>
          </cell>
          <cell r="G1042">
            <v>2879.42</v>
          </cell>
          <cell r="H1042">
            <v>0</v>
          </cell>
        </row>
        <row r="1043">
          <cell r="C1043" t="str">
            <v>Лелин Денис Игоревич</v>
          </cell>
          <cell r="D1043" t="str">
            <v xml:space="preserve">горнорабочий </v>
          </cell>
          <cell r="E1043" t="str">
            <v>ЮЭ 2010697 045557</v>
          </cell>
          <cell r="F1043">
            <v>1567.4</v>
          </cell>
          <cell r="G1043">
            <v>1328.65</v>
          </cell>
          <cell r="H1043">
            <v>0</v>
          </cell>
        </row>
        <row r="1044">
          <cell r="C1044" t="str">
            <v>Лихота Анатолий Анатольевич</v>
          </cell>
          <cell r="D1044" t="str">
            <v>электрогазосварщик, занятый на резке и ручной сварке</v>
          </cell>
          <cell r="E1044" t="str">
            <v>ЮЭ 2010697 678562</v>
          </cell>
          <cell r="F1044">
            <v>1618.3</v>
          </cell>
          <cell r="G1044">
            <v>1371.79</v>
          </cell>
          <cell r="H1044">
            <v>1491.2</v>
          </cell>
        </row>
        <row r="1045">
          <cell r="E1045" t="str">
            <v>ЮЭ 2010697 733126</v>
          </cell>
          <cell r="F1045">
            <v>1759.2</v>
          </cell>
          <cell r="G1045">
            <v>1491.2</v>
          </cell>
          <cell r="H1045">
            <v>0</v>
          </cell>
        </row>
        <row r="1046">
          <cell r="C1046" t="str">
            <v>Мамаев Игорь Николаевич</v>
          </cell>
          <cell r="D1046" t="str">
            <v>электрослесарь (слесарь) дежурный и по ремонту оборудования</v>
          </cell>
          <cell r="E1046" t="str">
            <v>ВЛ 2010086 119372</v>
          </cell>
          <cell r="F1046">
            <v>1323.5</v>
          </cell>
          <cell r="G1046">
            <v>1121.96</v>
          </cell>
          <cell r="H1046">
            <v>0</v>
          </cell>
        </row>
        <row r="1047">
          <cell r="C1047" t="str">
            <v>Мардасов Александр Федорович</v>
          </cell>
          <cell r="D1047" t="str">
            <v>проходчик на поверхностных работах</v>
          </cell>
          <cell r="E1047" t="str">
            <v>ВЛ 2010086 120027</v>
          </cell>
          <cell r="F1047">
            <v>2194.8000000000002</v>
          </cell>
          <cell r="G1047">
            <v>1860.34</v>
          </cell>
          <cell r="H1047">
            <v>835.01</v>
          </cell>
        </row>
        <row r="1048">
          <cell r="E1048" t="str">
            <v>АС 2010039 829412</v>
          </cell>
          <cell r="F1048">
            <v>984.9</v>
          </cell>
          <cell r="G1048">
            <v>835.01</v>
          </cell>
          <cell r="H1048">
            <v>0</v>
          </cell>
        </row>
        <row r="1049">
          <cell r="C1049" t="str">
            <v>Минаев Дмитрий Анатольевич</v>
          </cell>
          <cell r="D1049" t="str">
            <v>проходчик на поверхностных работах</v>
          </cell>
          <cell r="E1049" t="str">
            <v>ЮМ 2010684 418337</v>
          </cell>
          <cell r="F1049">
            <v>1567.4</v>
          </cell>
          <cell r="G1049">
            <v>1328.65</v>
          </cell>
          <cell r="H1049">
            <v>1121.96</v>
          </cell>
        </row>
        <row r="1050">
          <cell r="E1050" t="str">
            <v>ГМ 2010113 963736</v>
          </cell>
          <cell r="F1050">
            <v>1323.5</v>
          </cell>
          <cell r="G1050">
            <v>1121.96</v>
          </cell>
          <cell r="H1050">
            <v>0</v>
          </cell>
        </row>
        <row r="1051">
          <cell r="C1051" t="str">
            <v>Михайлов Олег Викторович</v>
          </cell>
          <cell r="D1051" t="str">
            <v>проходчик на поверхностных работах</v>
          </cell>
          <cell r="E1051" t="str">
            <v>ЮМ 2010684 581285</v>
          </cell>
          <cell r="F1051">
            <v>1634.5</v>
          </cell>
          <cell r="G1051">
            <v>1385.52</v>
          </cell>
          <cell r="H1051">
            <v>0</v>
          </cell>
        </row>
        <row r="1052">
          <cell r="C1052" t="str">
            <v>Мягков Максим Александрович</v>
          </cell>
          <cell r="D1052" t="str">
            <v>проходчик на поверхностных работах</v>
          </cell>
          <cell r="E1052" t="str">
            <v>АК 2010033 074065</v>
          </cell>
          <cell r="F1052">
            <v>1933.4</v>
          </cell>
          <cell r="G1052">
            <v>1638.82</v>
          </cell>
          <cell r="H1052">
            <v>0</v>
          </cell>
        </row>
        <row r="1053">
          <cell r="C1053" t="str">
            <v>Наумов Николай Сергеевич</v>
          </cell>
          <cell r="D1053" t="str">
            <v xml:space="preserve">горнорабочий </v>
          </cell>
          <cell r="E1053" t="str">
            <v>ГБ 2010104 622573</v>
          </cell>
          <cell r="F1053">
            <v>1671.7</v>
          </cell>
          <cell r="G1053">
            <v>1417.04</v>
          </cell>
          <cell r="H1053">
            <v>0</v>
          </cell>
        </row>
        <row r="1054">
          <cell r="C1054" t="str">
            <v>Невмержицкий Сергей Александрович</v>
          </cell>
          <cell r="D1054" t="str">
            <v>электрослесарь (слесарь) дежурный и по ремонту оборудования</v>
          </cell>
          <cell r="E1054" t="str">
            <v>ГК 2010111 280619</v>
          </cell>
          <cell r="F1054">
            <v>1933.4</v>
          </cell>
          <cell r="G1054">
            <v>1638.82</v>
          </cell>
          <cell r="H1054">
            <v>1638.82</v>
          </cell>
        </row>
        <row r="1055">
          <cell r="E1055" t="str">
            <v xml:space="preserve"> АП 2010037 307481</v>
          </cell>
          <cell r="F1055">
            <v>1933.4</v>
          </cell>
          <cell r="G1055">
            <v>1638.82</v>
          </cell>
          <cell r="H1055">
            <v>0</v>
          </cell>
        </row>
        <row r="1056">
          <cell r="C1056" t="str">
            <v>Никитин Михаил Сергеевич</v>
          </cell>
          <cell r="D1056" t="str">
            <v>проходчик на поверхностных работах</v>
          </cell>
          <cell r="E1056" t="str">
            <v>ГЕ 2010108 885373</v>
          </cell>
          <cell r="F1056">
            <v>1323.5</v>
          </cell>
          <cell r="G1056">
            <v>1121.96</v>
          </cell>
          <cell r="H1056">
            <v>0</v>
          </cell>
        </row>
        <row r="1057">
          <cell r="C1057" t="str">
            <v>Павлов Петр Алексеевич</v>
          </cell>
          <cell r="D1057" t="str">
            <v>электрогазосварщик, занятый на резке и ручной сварке</v>
          </cell>
          <cell r="E1057" t="str">
            <v>ВЛ 2010086 051812</v>
          </cell>
          <cell r="F1057">
            <v>2194.8000000000002</v>
          </cell>
          <cell r="G1057">
            <v>1860.34</v>
          </cell>
          <cell r="H1057">
            <v>0</v>
          </cell>
        </row>
        <row r="1058">
          <cell r="C1058" t="str">
            <v>Папазов Сергей Николаевич</v>
          </cell>
          <cell r="D1058" t="str">
            <v xml:space="preserve">горнорабочий </v>
          </cell>
          <cell r="E1058" t="str">
            <v>ВЛ 2010086 228644</v>
          </cell>
          <cell r="F1058">
            <v>2299.4</v>
          </cell>
          <cell r="G1058">
            <v>1948.99</v>
          </cell>
          <cell r="H1058">
            <v>0</v>
          </cell>
        </row>
        <row r="1059">
          <cell r="C1059" t="str">
            <v>Пигарев Алексей Владимирович</v>
          </cell>
          <cell r="D1059" t="str">
            <v>проходчик на поверхностных работах</v>
          </cell>
          <cell r="E1059" t="str">
            <v>ЮЭ 2010697 045989</v>
          </cell>
          <cell r="F1059">
            <v>1357.6</v>
          </cell>
          <cell r="G1059">
            <v>1150.8599999999999</v>
          </cell>
          <cell r="H1059">
            <v>1427.46</v>
          </cell>
        </row>
        <row r="1060">
          <cell r="E1060" t="str">
            <v>АП 2010037 347342</v>
          </cell>
          <cell r="F1060">
            <v>1684.4</v>
          </cell>
          <cell r="G1060">
            <v>1427.46</v>
          </cell>
          <cell r="H1060">
            <v>0</v>
          </cell>
        </row>
        <row r="1061">
          <cell r="C1061" t="str">
            <v>Поляков Игорь Юрьевич</v>
          </cell>
          <cell r="D1061" t="str">
            <v>электрослесарь (слесарь) дежурный и по ремонту оборудования</v>
          </cell>
          <cell r="E1061" t="str">
            <v>ГБ 2010104 245273</v>
          </cell>
          <cell r="F1061">
            <v>1497.7</v>
          </cell>
          <cell r="G1061">
            <v>1269.5899999999999</v>
          </cell>
          <cell r="H1061">
            <v>0</v>
          </cell>
        </row>
        <row r="1062">
          <cell r="C1062" t="str">
            <v>Починков Михаил Юрьевич</v>
          </cell>
          <cell r="D1062" t="str">
            <v>электрослесарь (слесарь) дежурный и по ремонту оборудования</v>
          </cell>
          <cell r="E1062" t="str">
            <v>ГБ 2010104 243594</v>
          </cell>
          <cell r="F1062">
            <v>1497.7</v>
          </cell>
          <cell r="G1062">
            <v>1269.5899999999999</v>
          </cell>
          <cell r="H1062">
            <v>1564.75</v>
          </cell>
        </row>
        <row r="1063">
          <cell r="E1063">
            <v>73420360767094</v>
          </cell>
          <cell r="F1063">
            <v>1846.4</v>
          </cell>
          <cell r="G1063">
            <v>1564.75</v>
          </cell>
          <cell r="H1063">
            <v>0</v>
          </cell>
        </row>
        <row r="1064">
          <cell r="C1064" t="str">
            <v>Прима Николай Алексеевич</v>
          </cell>
          <cell r="D1064" t="str">
            <v>Слесарь по ремонту оборудования</v>
          </cell>
          <cell r="E1064" t="str">
            <v>АП2010037 312762</v>
          </cell>
          <cell r="F1064">
            <v>1933.4</v>
          </cell>
          <cell r="G1064">
            <v>1638.82</v>
          </cell>
          <cell r="H1064">
            <v>0</v>
          </cell>
        </row>
        <row r="1065">
          <cell r="C1065" t="str">
            <v>Прокошев Евгений Евгеньевич</v>
          </cell>
          <cell r="D1065" t="str">
            <v>электрогазосварщик занятый на резке и ручной сварке о/г.р.</v>
          </cell>
          <cell r="E1065" t="str">
            <v>АК 2010033 050493</v>
          </cell>
          <cell r="F1065">
            <v>2194.8000000000002</v>
          </cell>
          <cell r="G1065">
            <v>1860.34</v>
          </cell>
          <cell r="H1065">
            <v>1491.2</v>
          </cell>
        </row>
        <row r="1066">
          <cell r="E1066" t="str">
            <v>АК 2010033 050494</v>
          </cell>
          <cell r="F1066">
            <v>1759.2</v>
          </cell>
          <cell r="G1066">
            <v>1491.2</v>
          </cell>
          <cell r="H1066">
            <v>0</v>
          </cell>
        </row>
        <row r="1067">
          <cell r="C1067" t="str">
            <v>Пудов Алексей Владимирович</v>
          </cell>
          <cell r="D1067" t="str">
            <v xml:space="preserve">горнорабочий </v>
          </cell>
          <cell r="E1067" t="str">
            <v>ЕГ 2010157 714288</v>
          </cell>
          <cell r="F1067">
            <v>1497.7</v>
          </cell>
          <cell r="G1067">
            <v>1269.5899999999999</v>
          </cell>
          <cell r="H1067">
            <v>0</v>
          </cell>
        </row>
        <row r="1068">
          <cell r="C1068" t="str">
            <v>Пятак Виталий Сергеевич</v>
          </cell>
          <cell r="D1068" t="str">
            <v>электрогазосварщик занятый на резке и ручной сварке о/г.р.</v>
          </cell>
          <cell r="E1068" t="str">
            <v>ЕГ 2010157 714241</v>
          </cell>
          <cell r="F1068">
            <v>1497.7</v>
          </cell>
          <cell r="G1068">
            <v>1269.5899999999999</v>
          </cell>
          <cell r="H1068">
            <v>1121.96</v>
          </cell>
        </row>
        <row r="1069">
          <cell r="E1069" t="str">
            <v>БЭ 2010074 902565</v>
          </cell>
          <cell r="F1069">
            <v>1323.5</v>
          </cell>
          <cell r="G1069">
            <v>1121.96</v>
          </cell>
          <cell r="H1069">
            <v>0</v>
          </cell>
        </row>
        <row r="1070">
          <cell r="C1070" t="str">
            <v>Рожков Александр Викторович</v>
          </cell>
          <cell r="D1070" t="str">
            <v xml:space="preserve">горнорабочий </v>
          </cell>
          <cell r="E1070" t="str">
            <v>ЮЭ 2010697 045663</v>
          </cell>
          <cell r="F1070">
            <v>1671.7</v>
          </cell>
          <cell r="G1070">
            <v>1417.04</v>
          </cell>
          <cell r="H1070">
            <v>1101.96</v>
          </cell>
        </row>
        <row r="1071">
          <cell r="E1071" t="str">
            <v>ЮЭ 2010697 045346</v>
          </cell>
          <cell r="F1071">
            <v>1299.9000000000001</v>
          </cell>
          <cell r="G1071">
            <v>1101.96</v>
          </cell>
          <cell r="H1071">
            <v>0</v>
          </cell>
        </row>
        <row r="1072">
          <cell r="C1072" t="str">
            <v>Романов Владимир Вячеславович</v>
          </cell>
          <cell r="D1072" t="str">
            <v>электрогазосварщик занятый на резке и ручной сварке о/г.р.</v>
          </cell>
          <cell r="E1072" t="str">
            <v>ВЛ 2010086 548761</v>
          </cell>
          <cell r="F1072">
            <v>2090.4</v>
          </cell>
          <cell r="G1072">
            <v>1771.87</v>
          </cell>
          <cell r="H1072">
            <v>1491.2</v>
          </cell>
        </row>
        <row r="1073">
          <cell r="E1073" t="str">
            <v>АК 2010033 047711</v>
          </cell>
          <cell r="F1073">
            <v>1759.2</v>
          </cell>
          <cell r="G1073">
            <v>1491.2</v>
          </cell>
          <cell r="H1073">
            <v>0</v>
          </cell>
        </row>
        <row r="1074">
          <cell r="C1074" t="str">
            <v>Рыковский Сергей Викторович</v>
          </cell>
          <cell r="D1074" t="str">
            <v>проходчик на поверхностных работах</v>
          </cell>
          <cell r="E1074" t="str">
            <v>ЮЭ 2010697 911408</v>
          </cell>
          <cell r="F1074">
            <v>1410.4</v>
          </cell>
          <cell r="G1074">
            <v>1195.5999999999999</v>
          </cell>
          <cell r="H1074">
            <v>0</v>
          </cell>
        </row>
        <row r="1075">
          <cell r="C1075" t="str">
            <v>Рытов Александр Иванович</v>
          </cell>
          <cell r="D1075" t="str">
            <v>электрогазосварщик занятый на резке и ручной сварке о/г.р.</v>
          </cell>
          <cell r="E1075" t="str">
            <v>ЯИ 2010707 811683</v>
          </cell>
          <cell r="F1075">
            <v>3083.7</v>
          </cell>
          <cell r="G1075">
            <v>2613.65</v>
          </cell>
          <cell r="H1075">
            <v>2192.73</v>
          </cell>
        </row>
        <row r="1076">
          <cell r="E1076" t="str">
            <v>ЯИ 2010707 811684</v>
          </cell>
          <cell r="F1076">
            <v>2587</v>
          </cell>
          <cell r="G1076">
            <v>2192.73</v>
          </cell>
          <cell r="H1076">
            <v>0</v>
          </cell>
        </row>
        <row r="1077">
          <cell r="C1077" t="str">
            <v>Самаров Сергей Иванович</v>
          </cell>
          <cell r="D1077" t="str">
            <v>электрогазосварщик занятый на резке и ручной сварке о/г.р.</v>
          </cell>
          <cell r="E1077" t="str">
            <v>С 2007014 812747</v>
          </cell>
          <cell r="F1077">
            <v>1396.3</v>
          </cell>
          <cell r="G1077">
            <v>1183.6600000000001</v>
          </cell>
          <cell r="H1077">
            <v>0</v>
          </cell>
        </row>
        <row r="1078">
          <cell r="C1078" t="str">
            <v>Самсонов Геннадий Владимирович</v>
          </cell>
          <cell r="D1078" t="str">
            <v>электрогазосварщик занятый на резке и ручной сварке о/г.р.</v>
          </cell>
          <cell r="E1078" t="str">
            <v>ГЕ 2010108 884617</v>
          </cell>
          <cell r="F1078">
            <v>1323.5</v>
          </cell>
          <cell r="G1078">
            <v>1121.96</v>
          </cell>
          <cell r="H1078">
            <v>1101.96</v>
          </cell>
        </row>
        <row r="1079">
          <cell r="E1079" t="str">
            <v>ЮЭ 2010697 045743</v>
          </cell>
          <cell r="F1079">
            <v>1299.9000000000001</v>
          </cell>
          <cell r="G1079">
            <v>1101.96</v>
          </cell>
          <cell r="H1079">
            <v>0</v>
          </cell>
        </row>
        <row r="1080">
          <cell r="C1080" t="str">
            <v>Сиднеков Олег Анатольевич</v>
          </cell>
          <cell r="D1080" t="str">
            <v>электрогазосварщик, занятый на резке и ручной сварке</v>
          </cell>
          <cell r="E1080" t="str">
            <v>ГБ 2010104 256418</v>
          </cell>
          <cell r="F1080">
            <v>2142.6999999999998</v>
          </cell>
          <cell r="G1080">
            <v>1892.82</v>
          </cell>
          <cell r="H1080">
            <v>0</v>
          </cell>
        </row>
        <row r="1081">
          <cell r="C1081" t="str">
            <v>Синцов Дмитрий Александрович</v>
          </cell>
          <cell r="D1081" t="str">
            <v>электрогазосварщик, занятый на резке и ручной сварке</v>
          </cell>
          <cell r="E1081" t="str">
            <v>ЧБ 2010571 781051</v>
          </cell>
          <cell r="F1081">
            <v>1443.6</v>
          </cell>
          <cell r="G1081">
            <v>1223.74</v>
          </cell>
          <cell r="H1081">
            <v>1034.5</v>
          </cell>
        </row>
        <row r="1082">
          <cell r="E1082" t="str">
            <v>АП 2010037  961461</v>
          </cell>
          <cell r="F1082">
            <v>1220.3</v>
          </cell>
          <cell r="G1082">
            <v>1034.5</v>
          </cell>
          <cell r="H1082">
            <v>0</v>
          </cell>
        </row>
        <row r="1083">
          <cell r="C1083" t="str">
            <v>Сирота Александр Лазаревич</v>
          </cell>
          <cell r="D1083" t="str">
            <v>машинист компрессорных установок</v>
          </cell>
          <cell r="E1083" t="str">
            <v>ВЛ 2010086 294083</v>
          </cell>
          <cell r="F1083">
            <v>1933.4</v>
          </cell>
          <cell r="G1083">
            <v>1638.82</v>
          </cell>
          <cell r="H1083">
            <v>1638.82</v>
          </cell>
        </row>
        <row r="1084">
          <cell r="E1084" t="str">
            <v>АП 2010037 356439</v>
          </cell>
          <cell r="F1084">
            <v>1933.4</v>
          </cell>
          <cell r="G1084">
            <v>1638.82</v>
          </cell>
          <cell r="H1084">
            <v>0</v>
          </cell>
        </row>
        <row r="1085">
          <cell r="C1085" t="str">
            <v>Соломенцев Валерий Викторович</v>
          </cell>
          <cell r="D1085" t="str">
            <v>электрогазосварщик, занятый на резке и ручной сварке</v>
          </cell>
          <cell r="E1085" t="str">
            <v>ЮЭ 2010697 948645</v>
          </cell>
          <cell r="F1085">
            <v>1323.5</v>
          </cell>
          <cell r="G1085">
            <v>1121.96</v>
          </cell>
          <cell r="H1085">
            <v>1101.96</v>
          </cell>
        </row>
        <row r="1086">
          <cell r="E1086" t="str">
            <v>ГЕ 2010108 885335</v>
          </cell>
          <cell r="F1086">
            <v>1299.9000000000001</v>
          </cell>
          <cell r="G1086">
            <v>1101.96</v>
          </cell>
          <cell r="H1086">
            <v>0</v>
          </cell>
        </row>
        <row r="1087">
          <cell r="C1087" t="str">
            <v>Степанов Николай Григорьевич</v>
          </cell>
          <cell r="D1087" t="str">
            <v>проходчик на поверхностных работах</v>
          </cell>
          <cell r="E1087" t="str">
            <v>ГБ 2010104 243417</v>
          </cell>
          <cell r="F1087">
            <v>1410.4</v>
          </cell>
          <cell r="G1087">
            <v>1195.5999999999999</v>
          </cell>
          <cell r="H1087">
            <v>0</v>
          </cell>
        </row>
        <row r="1088">
          <cell r="C1088" t="str">
            <v>Степовой Юрий Анатольевич</v>
          </cell>
          <cell r="D1088" t="str">
            <v>электрогазосварщик, занятый на резке и ручной сварке</v>
          </cell>
          <cell r="E1088" t="str">
            <v>АЕ 2010030 521257</v>
          </cell>
          <cell r="F1088">
            <v>3083.7</v>
          </cell>
          <cell r="G1088">
            <v>2613.65</v>
          </cell>
          <cell r="H1088">
            <v>0</v>
          </cell>
        </row>
        <row r="1089">
          <cell r="C1089" t="str">
            <v>Стетюха Сергей Анатольевич</v>
          </cell>
          <cell r="D1089" t="str">
            <v>электрогазосварщик, занятый на резке и ручной сварке</v>
          </cell>
          <cell r="E1089" t="str">
            <v>ЮЭ 2010697 045363</v>
          </cell>
          <cell r="F1089">
            <v>1567.4</v>
          </cell>
          <cell r="G1089">
            <v>1328.65</v>
          </cell>
          <cell r="H1089">
            <v>1121.96</v>
          </cell>
        </row>
        <row r="1090">
          <cell r="E1090" t="str">
            <v>ГЕ 2010108 885372</v>
          </cell>
          <cell r="F1090">
            <v>1323.5</v>
          </cell>
          <cell r="G1090">
            <v>1121.96</v>
          </cell>
          <cell r="H1090">
            <v>0</v>
          </cell>
        </row>
        <row r="1091">
          <cell r="C1091" t="str">
            <v>Стерляжников Александр Яковлевич</v>
          </cell>
          <cell r="D1091" t="str">
            <v>электрослесарь (слесарь) дежурный и по ремонту оборудования</v>
          </cell>
          <cell r="E1091" t="str">
            <v>АС 2010039 828549</v>
          </cell>
          <cell r="F1091">
            <v>1933.4</v>
          </cell>
          <cell r="G1091">
            <v>1638.82</v>
          </cell>
          <cell r="H1091">
            <v>0</v>
          </cell>
        </row>
        <row r="1092">
          <cell r="C1092" t="str">
            <v>Стешенко Александр Владимирович</v>
          </cell>
          <cell r="D1092" t="str">
            <v>электрогазосварщик, занятый на резке и ручной сварке</v>
          </cell>
          <cell r="E1092" t="str">
            <v>Р 2007013 891795</v>
          </cell>
          <cell r="F1092">
            <v>1497.7</v>
          </cell>
          <cell r="G1092">
            <v>1269.5899999999999</v>
          </cell>
          <cell r="H1092">
            <v>0</v>
          </cell>
        </row>
        <row r="1093">
          <cell r="C1093" t="str">
            <v>Сухляк Юрий Алексеевич</v>
          </cell>
          <cell r="D1093" t="str">
            <v>электрогазосварщик, занятый на резке и ручной сварке</v>
          </cell>
          <cell r="E1093" t="str">
            <v>ВЛ 2010086 552655</v>
          </cell>
          <cell r="F1093">
            <v>1759.2</v>
          </cell>
          <cell r="G1093">
            <v>1491.2</v>
          </cell>
          <cell r="H1093">
            <v>1491.2</v>
          </cell>
        </row>
        <row r="1094">
          <cell r="E1094" t="str">
            <v>С 2007014 119692</v>
          </cell>
          <cell r="F1094">
            <v>1759.2</v>
          </cell>
          <cell r="G1094">
            <v>1491.2</v>
          </cell>
          <cell r="H1094">
            <v>0</v>
          </cell>
        </row>
        <row r="1095">
          <cell r="C1095" t="str">
            <v>Тарабановский Андрей Викторович</v>
          </cell>
          <cell r="D1095" t="str">
            <v>электрослесарь (слесарь) дежурный и по ремонту оборудования</v>
          </cell>
          <cell r="E1095" t="str">
            <v>ЧБ 2010571 781142</v>
          </cell>
          <cell r="F1095">
            <v>1323.5</v>
          </cell>
          <cell r="G1095">
            <v>1121.96</v>
          </cell>
          <cell r="H1095">
            <v>1034.5</v>
          </cell>
        </row>
        <row r="1096">
          <cell r="E1096" t="str">
            <v>АС 2010039 843962</v>
          </cell>
          <cell r="F1096">
            <v>1220.3</v>
          </cell>
          <cell r="G1096">
            <v>1034.5</v>
          </cell>
          <cell r="H1096">
            <v>0</v>
          </cell>
        </row>
        <row r="1097">
          <cell r="C1097" t="str">
            <v>Татевосян Арсен Георгиевич</v>
          </cell>
          <cell r="D1097" t="str">
            <v>электрогазосварщик, занятый на резке и ручной сварке</v>
          </cell>
          <cell r="E1097" t="str">
            <v>АК 2010033 053159</v>
          </cell>
          <cell r="F1097">
            <v>1846.4</v>
          </cell>
          <cell r="G1097">
            <v>1565.1</v>
          </cell>
          <cell r="H1097">
            <v>1491.2</v>
          </cell>
        </row>
        <row r="1098">
          <cell r="E1098" t="str">
            <v>С 2007014 119693</v>
          </cell>
          <cell r="F1098">
            <v>1759.2</v>
          </cell>
          <cell r="G1098">
            <v>1491.2</v>
          </cell>
          <cell r="H1098">
            <v>0</v>
          </cell>
        </row>
        <row r="1099">
          <cell r="C1099" t="str">
            <v>Тилов Мухажир Камалович</v>
          </cell>
          <cell r="D1099" t="str">
            <v>электросварщик ручной сварки</v>
          </cell>
          <cell r="E1099" t="str">
            <v>ВЛ 2010086 295065</v>
          </cell>
          <cell r="F1099">
            <v>1933.4</v>
          </cell>
          <cell r="G1099">
            <v>1638.82</v>
          </cell>
          <cell r="H1099">
            <v>0</v>
          </cell>
        </row>
        <row r="1100">
          <cell r="C1100" t="str">
            <v>Толиченко Максим Станиславович</v>
          </cell>
          <cell r="D1100" t="str">
            <v>электрогазосварщик, занятый на резке и ручной сварке</v>
          </cell>
          <cell r="E1100" t="str">
            <v>ЮМ 2010684 510642</v>
          </cell>
          <cell r="F1100">
            <v>1497.7</v>
          </cell>
          <cell r="G1100">
            <v>1269.5899999999999</v>
          </cell>
          <cell r="H1100">
            <v>0</v>
          </cell>
        </row>
        <row r="1101">
          <cell r="C1101" t="str">
            <v>Улецкий Геннадий Гаврилович</v>
          </cell>
          <cell r="D1101" t="str">
            <v>электросварщик ручной сварки</v>
          </cell>
          <cell r="E1101" t="str">
            <v>ЮЭ 2010697 045483</v>
          </cell>
          <cell r="F1101">
            <v>1567.4</v>
          </cell>
          <cell r="G1101">
            <v>1328.65</v>
          </cell>
          <cell r="H1101">
            <v>1101.96</v>
          </cell>
        </row>
        <row r="1102">
          <cell r="E1102" t="str">
            <v>ЮЭ 2010697 045484</v>
          </cell>
          <cell r="F1102">
            <v>1299.9000000000001</v>
          </cell>
          <cell r="G1102">
            <v>1101.96</v>
          </cell>
          <cell r="H1102">
            <v>0</v>
          </cell>
        </row>
        <row r="1103">
          <cell r="C1103" t="str">
            <v>Федоров Алексей Алексеевич</v>
          </cell>
          <cell r="D1103" t="str">
            <v>электрослесарь дежурный и по ремонту оборудования</v>
          </cell>
          <cell r="E1103" t="str">
            <v>АК 2010033 140912</v>
          </cell>
          <cell r="F1103">
            <v>3240.4</v>
          </cell>
          <cell r="G1103">
            <v>2746.45</v>
          </cell>
          <cell r="H1103">
            <v>2192.73</v>
          </cell>
        </row>
        <row r="1104">
          <cell r="E1104" t="str">
            <v>С 2007014 105740</v>
          </cell>
          <cell r="F1104">
            <v>2587</v>
          </cell>
          <cell r="G1104">
            <v>2192.73</v>
          </cell>
          <cell r="H1104">
            <v>0</v>
          </cell>
        </row>
        <row r="1105">
          <cell r="C1105" t="str">
            <v>Федоров Александр Иванович</v>
          </cell>
          <cell r="D1105" t="str">
            <v>электрослесарь дежурный и по ремонту оборудования</v>
          </cell>
          <cell r="E1105" t="str">
            <v>БЭ 2010074 704263</v>
          </cell>
          <cell r="F1105">
            <v>813.5</v>
          </cell>
          <cell r="G1105">
            <v>689.41</v>
          </cell>
          <cell r="H1105">
            <v>0</v>
          </cell>
        </row>
        <row r="1106">
          <cell r="C1106" t="str">
            <v>Федоров Игорь Александрович</v>
          </cell>
          <cell r="D1106" t="str">
            <v>проходчик на поверхностных работах</v>
          </cell>
          <cell r="E1106" t="str">
            <v>ЮЭ 2010697 948644</v>
          </cell>
          <cell r="F1106">
            <v>1323.5</v>
          </cell>
          <cell r="G1106">
            <v>1121.96</v>
          </cell>
          <cell r="H1106">
            <v>0</v>
          </cell>
        </row>
        <row r="1107">
          <cell r="C1107" t="str">
            <v>Фефилов Валерий Леонидович</v>
          </cell>
          <cell r="D1107" t="str">
            <v>электрослесарь дежурный и по ремонту оборудования</v>
          </cell>
          <cell r="E1107" t="str">
            <v>ЮМ 2010684 418322</v>
          </cell>
          <cell r="F1107">
            <v>1323.5</v>
          </cell>
          <cell r="G1107">
            <v>1121.96</v>
          </cell>
          <cell r="H1107">
            <v>0</v>
          </cell>
        </row>
        <row r="1108">
          <cell r="C1108" t="str">
            <v>Фомин Алексей Николаевич</v>
          </cell>
          <cell r="D1108" t="str">
            <v>проходчик на поверхностных работах</v>
          </cell>
          <cell r="E1108" t="str">
            <v>ЮМ 2010684 419532</v>
          </cell>
          <cell r="F1108">
            <v>1567.4</v>
          </cell>
          <cell r="G1108">
            <v>1328.65</v>
          </cell>
          <cell r="H1108">
            <v>0</v>
          </cell>
        </row>
        <row r="1109">
          <cell r="C1109" t="str">
            <v>Харлампьев Валентин Юрьевич</v>
          </cell>
          <cell r="D1109" t="str">
            <v>проходчик на поверхностных работах</v>
          </cell>
          <cell r="E1109" t="str">
            <v>ГВ 2010105 485201</v>
          </cell>
          <cell r="F1109">
            <v>3397.3</v>
          </cell>
          <cell r="G1109">
            <v>2879.42</v>
          </cell>
          <cell r="H1109">
            <v>2414.16</v>
          </cell>
        </row>
        <row r="1110">
          <cell r="E1110" t="str">
            <v>АС 2010039 809462</v>
          </cell>
          <cell r="F1110">
            <v>2848.3</v>
          </cell>
          <cell r="G1110">
            <v>2414.16</v>
          </cell>
          <cell r="H1110">
            <v>0</v>
          </cell>
        </row>
        <row r="1111">
          <cell r="C1111" t="str">
            <v>Чайко Александр Тимофеевич</v>
          </cell>
          <cell r="D1111" t="str">
            <v>элекрогазосварщик занятый на резке и ручной сварке о/г.р.</v>
          </cell>
          <cell r="E1111" t="str">
            <v>ЕВ 2010156 993604</v>
          </cell>
          <cell r="F1111">
            <v>1846.4</v>
          </cell>
          <cell r="G1111">
            <v>1565.1</v>
          </cell>
          <cell r="H1111">
            <v>1565.1</v>
          </cell>
        </row>
        <row r="1112">
          <cell r="E1112" t="str">
            <v>С 2007014 802783</v>
          </cell>
          <cell r="F1112">
            <v>1846.4</v>
          </cell>
          <cell r="G1112">
            <v>1565.1</v>
          </cell>
          <cell r="H1112">
            <v>0</v>
          </cell>
        </row>
        <row r="1113">
          <cell r="C1113" t="str">
            <v>Черновол Анатолий Алексеевич</v>
          </cell>
          <cell r="D1113" t="str">
            <v>электрослесарь (слесарь) дежурный и по ремонту оборудования</v>
          </cell>
          <cell r="E1113" t="str">
            <v>АИ 2010032 771696</v>
          </cell>
          <cell r="F1113">
            <v>2299.4</v>
          </cell>
          <cell r="G1113">
            <v>1948.99</v>
          </cell>
          <cell r="H1113">
            <v>1638.82</v>
          </cell>
        </row>
        <row r="1114">
          <cell r="E1114" t="str">
            <v>АП 2010037 952686</v>
          </cell>
          <cell r="F1114">
            <v>1933.4</v>
          </cell>
          <cell r="G1114">
            <v>1638.82</v>
          </cell>
          <cell r="H1114">
            <v>0</v>
          </cell>
        </row>
        <row r="1115">
          <cell r="C1115" t="str">
            <v>Чмиль Денис Сергеевич</v>
          </cell>
          <cell r="D1115" t="str">
            <v>проходчик на поверхностных работах</v>
          </cell>
          <cell r="E1115" t="str">
            <v>Р 2007013 712363</v>
          </cell>
          <cell r="F1115">
            <v>1323.5</v>
          </cell>
          <cell r="G1115">
            <v>1121.96</v>
          </cell>
          <cell r="H1115">
            <v>1034.5</v>
          </cell>
        </row>
        <row r="1116">
          <cell r="E1116" t="str">
            <v>С 2007014 118553</v>
          </cell>
          <cell r="F1116">
            <v>1220.3</v>
          </cell>
          <cell r="G1116">
            <v>1034.5</v>
          </cell>
          <cell r="H1116">
            <v>0</v>
          </cell>
        </row>
        <row r="1117">
          <cell r="C1117" t="str">
            <v>Чужиков Алексей Сергеевич</v>
          </cell>
          <cell r="D1117" t="str">
            <v>элекрогазосварщик занятый на резке и ручной сварке о/г.р.</v>
          </cell>
          <cell r="E1117" t="str">
            <v>ЯИ 2010707 811698</v>
          </cell>
          <cell r="F1117">
            <v>2982.3</v>
          </cell>
          <cell r="G1117">
            <v>2527.7199999999998</v>
          </cell>
          <cell r="H1117">
            <v>2303.4899999999998</v>
          </cell>
        </row>
        <row r="1118">
          <cell r="E1118" t="str">
            <v>АП 2010037  963935</v>
          </cell>
          <cell r="F1118">
            <v>2717.7</v>
          </cell>
          <cell r="G1118">
            <v>2303.4899999999998</v>
          </cell>
          <cell r="H1118">
            <v>0</v>
          </cell>
        </row>
        <row r="1119">
          <cell r="C1119" t="str">
            <v>Шакуров Дмитрий Алексеевич</v>
          </cell>
          <cell r="D1119" t="str">
            <v>элекрогазосварщик занятый на резке и ручной сварке о/г.р.</v>
          </cell>
          <cell r="E1119" t="str">
            <v>АЕ 2010030 521256</v>
          </cell>
          <cell r="F1119">
            <v>3083.7</v>
          </cell>
          <cell r="G1119">
            <v>2613.65</v>
          </cell>
          <cell r="H1119">
            <v>2192.73</v>
          </cell>
        </row>
        <row r="1120">
          <cell r="E1120" t="str">
            <v>АК 2010033 140713</v>
          </cell>
          <cell r="F1120">
            <v>2587</v>
          </cell>
          <cell r="G1120">
            <v>2192.73</v>
          </cell>
          <cell r="H1120">
            <v>0</v>
          </cell>
        </row>
        <row r="1121">
          <cell r="C1121" t="str">
            <v>Шарапова Оксана Михайловна</v>
          </cell>
          <cell r="D1121" t="str">
            <v>горнорабочий на маркшейдерских работах</v>
          </cell>
          <cell r="E1121" t="str">
            <v>ЭТ 2010663 842492</v>
          </cell>
          <cell r="F1121">
            <v>2674.6</v>
          </cell>
          <cell r="G1121">
            <v>2266.96</v>
          </cell>
          <cell r="H1121">
            <v>0</v>
          </cell>
        </row>
        <row r="1122">
          <cell r="C1122" t="str">
            <v>Шауэрман Валерий Валерьевич</v>
          </cell>
          <cell r="D1122" t="str">
            <v>проходчик на поверхностных работах</v>
          </cell>
          <cell r="E1122" t="str">
            <v>ЧБ 2010571 562825</v>
          </cell>
          <cell r="F1122">
            <v>3083.7</v>
          </cell>
          <cell r="G1122">
            <v>2613.65</v>
          </cell>
          <cell r="H1122">
            <v>0</v>
          </cell>
        </row>
        <row r="1123">
          <cell r="C1123" t="str">
            <v>Шеин Валерий Сергеевич</v>
          </cell>
          <cell r="D1123" t="str">
            <v>машинист компрессорных установок</v>
          </cell>
          <cell r="E1123" t="str">
            <v>ВЛ 2010086 293104</v>
          </cell>
          <cell r="F1123">
            <v>2299.4</v>
          </cell>
          <cell r="G1123">
            <v>1948.99</v>
          </cell>
          <cell r="H1123">
            <v>1638.82</v>
          </cell>
        </row>
        <row r="1124">
          <cell r="E1124" t="str">
            <v>АК 2010033 075550</v>
          </cell>
          <cell r="F1124">
            <v>1933.4</v>
          </cell>
          <cell r="G1124">
            <v>1638.82</v>
          </cell>
          <cell r="H1124">
            <v>1638.82</v>
          </cell>
        </row>
        <row r="1125">
          <cell r="E1125" t="str">
            <v>ВЛ 2010086 293472</v>
          </cell>
          <cell r="F1125">
            <v>1933.4</v>
          </cell>
          <cell r="G1125">
            <v>1638.82</v>
          </cell>
          <cell r="H1125">
            <v>0</v>
          </cell>
        </row>
        <row r="1126">
          <cell r="C1126" t="str">
            <v>Шеин Павел Валерьевич</v>
          </cell>
          <cell r="D1126" t="str">
            <v>проходчик на поверхностных работах</v>
          </cell>
          <cell r="E1126" t="str">
            <v>ЮМ 2010684 594874</v>
          </cell>
          <cell r="F1126">
            <v>1753.7</v>
          </cell>
          <cell r="G1126">
            <v>1561.39</v>
          </cell>
          <cell r="H1126">
            <v>0</v>
          </cell>
        </row>
        <row r="1127">
          <cell r="C1127" t="str">
            <v>Шиян Игорь Анатольевич</v>
          </cell>
          <cell r="D1127" t="str">
            <v>электрослесарь (слесарь) дежурный и по ремонту оборудования</v>
          </cell>
          <cell r="E1127" t="str">
            <v>ЧБ 2010571 781264</v>
          </cell>
          <cell r="F1127">
            <v>1323.5</v>
          </cell>
          <cell r="G1127">
            <v>1121.96</v>
          </cell>
          <cell r="H1127">
            <v>0</v>
          </cell>
        </row>
        <row r="1128">
          <cell r="C1128" t="str">
            <v>Шквира Славик Тамазович</v>
          </cell>
          <cell r="D1128" t="str">
            <v>электрогазосварщик, занятый на резке и ручной сварке</v>
          </cell>
          <cell r="E1128" t="str">
            <v>АК 2010033 140721</v>
          </cell>
          <cell r="F1128">
            <v>3083.7</v>
          </cell>
          <cell r="G1128">
            <v>2613.65</v>
          </cell>
          <cell r="H1128">
            <v>0</v>
          </cell>
        </row>
        <row r="1129">
          <cell r="C1129" t="str">
            <v>Юрьев Михаил Васильевич</v>
          </cell>
          <cell r="D1129" t="str">
            <v xml:space="preserve">горнорабочий </v>
          </cell>
          <cell r="E1129" t="str">
            <v>АИ 2010032 743707</v>
          </cell>
          <cell r="F1129">
            <v>2299.4</v>
          </cell>
          <cell r="G1129">
            <v>1948.99</v>
          </cell>
          <cell r="H1129">
            <v>0</v>
          </cell>
        </row>
        <row r="1130">
          <cell r="C1130" t="str">
            <v>Янченко Владимир Дмитриевич</v>
          </cell>
          <cell r="D1130" t="str">
            <v>электрогазосварщик, занятый на резке и ручной сварке</v>
          </cell>
          <cell r="E1130" t="str">
            <v>АК 2010033 140911</v>
          </cell>
          <cell r="F1130">
            <v>3240.4</v>
          </cell>
          <cell r="G1130">
            <v>2746.45</v>
          </cell>
          <cell r="H1130">
            <v>2192.73</v>
          </cell>
        </row>
        <row r="1131">
          <cell r="E1131" t="str">
            <v>С 2007014 105741</v>
          </cell>
          <cell r="F1131">
            <v>2587</v>
          </cell>
          <cell r="G1131">
            <v>2192.73</v>
          </cell>
          <cell r="H1131">
            <v>0</v>
          </cell>
        </row>
        <row r="1132">
          <cell r="H1132">
            <v>0</v>
          </cell>
        </row>
        <row r="1133">
          <cell r="C1133" t="str">
            <v>Пряников Евгений Александрович</v>
          </cell>
          <cell r="D1133" t="str">
            <v>Мастер РБУ</v>
          </cell>
          <cell r="E1133" t="str">
            <v>ГБ2010104 257434</v>
          </cell>
          <cell r="F1133">
            <v>2144.9</v>
          </cell>
          <cell r="G1133">
            <v>1895.02</v>
          </cell>
          <cell r="H1133">
            <v>0</v>
          </cell>
        </row>
        <row r="1134">
          <cell r="H1134">
            <v>0</v>
          </cell>
        </row>
        <row r="1135">
          <cell r="C1135" t="str">
            <v>Богомолов Николай Игоревич</v>
          </cell>
          <cell r="D1135" t="str">
            <v>Слесарь</v>
          </cell>
          <cell r="E1135" t="str">
            <v>ЮЭ2010697 681729</v>
          </cell>
          <cell r="F1135">
            <v>1618.3</v>
          </cell>
          <cell r="G1135">
            <v>1371.79</v>
          </cell>
          <cell r="H1135">
            <v>1491.2</v>
          </cell>
        </row>
        <row r="1136">
          <cell r="E1136" t="str">
            <v>БЭ2010074 130119</v>
          </cell>
          <cell r="F1136">
            <v>1759.2</v>
          </cell>
          <cell r="G1136">
            <v>1491.2</v>
          </cell>
          <cell r="H1136">
            <v>0</v>
          </cell>
        </row>
        <row r="1137">
          <cell r="C1137" t="str">
            <v>Буняк Андрей Владимирович</v>
          </cell>
          <cell r="D1137" t="str">
            <v>Электрогазосварщик, занятый на резке и ручной сварке</v>
          </cell>
          <cell r="E1137" t="str">
            <v>ГЕ2010108 885447</v>
          </cell>
          <cell r="F1137">
            <v>2717.7</v>
          </cell>
          <cell r="G1137">
            <v>2303.4899999999998</v>
          </cell>
          <cell r="H1137">
            <v>0</v>
          </cell>
        </row>
        <row r="1138">
          <cell r="C1138" t="str">
            <v>Ерохин Виктор Владимирович</v>
          </cell>
          <cell r="D1138" t="str">
            <v>Слесарь по КИП и автоматике</v>
          </cell>
          <cell r="E1138" t="str">
            <v>ВЛ2010086 539969</v>
          </cell>
          <cell r="F1138">
            <v>2587</v>
          </cell>
          <cell r="G1138">
            <v>2192.73</v>
          </cell>
          <cell r="H1138">
            <v>0</v>
          </cell>
        </row>
        <row r="1139">
          <cell r="C1139" t="str">
            <v>Сычевой Сергей Викторович</v>
          </cell>
          <cell r="D1139" t="str">
            <v>Моторист бетоносмесительных установок</v>
          </cell>
          <cell r="E1139" t="str">
            <v>ГЕ2010108 885446</v>
          </cell>
          <cell r="F1139">
            <v>2717.7</v>
          </cell>
          <cell r="G1139">
            <v>2303.4899999999998</v>
          </cell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C1142" t="str">
            <v>Дьяковский Владимир Иванович</v>
          </cell>
          <cell r="D1142" t="str">
            <v>Машинист крана автомобильного</v>
          </cell>
          <cell r="E1142" t="str">
            <v>ВЛ2010086 243268</v>
          </cell>
          <cell r="F1142">
            <v>2259.1999999999998</v>
          </cell>
          <cell r="G1142">
            <v>1991.44</v>
          </cell>
          <cell r="H1142">
            <v>0</v>
          </cell>
        </row>
        <row r="1143">
          <cell r="C1143" t="str">
            <v>Зайцев Тимофей Иванович</v>
          </cell>
          <cell r="D1143" t="str">
            <v>Машинист крана автомобильного</v>
          </cell>
          <cell r="E1143" t="str">
            <v>ГЕ2010108 885343</v>
          </cell>
          <cell r="F1143">
            <v>2848.3</v>
          </cell>
          <cell r="G1143">
            <v>2414.16</v>
          </cell>
          <cell r="H1143">
            <v>0</v>
          </cell>
        </row>
        <row r="1144">
          <cell r="C1144" t="str">
            <v>Рыков Сергей Николаевич</v>
          </cell>
          <cell r="D1144" t="str">
            <v>Машинист крана автомобильного</v>
          </cell>
          <cell r="E1144" t="str">
            <v>ГБ2010104 551018</v>
          </cell>
          <cell r="F1144">
            <v>1140.5</v>
          </cell>
          <cell r="G1144">
            <v>966.87</v>
          </cell>
          <cell r="H1144">
            <v>0</v>
          </cell>
        </row>
        <row r="1145">
          <cell r="C1145" t="str">
            <v>Свининников Василий Александрович</v>
          </cell>
          <cell r="D1145" t="str">
            <v xml:space="preserve">Водитель погрузчиков,занятые погрузкой горной массы  </v>
          </cell>
          <cell r="E1145" t="str">
            <v>ЦН2010555 977570</v>
          </cell>
          <cell r="F1145">
            <v>2717.7</v>
          </cell>
          <cell r="G1145">
            <v>2304.4899999999998</v>
          </cell>
          <cell r="H1145">
            <v>0</v>
          </cell>
        </row>
        <row r="1146">
          <cell r="C1146" t="str">
            <v>Фильченко Сергей Михайлович</v>
          </cell>
          <cell r="D1146" t="str">
            <v xml:space="preserve">Водитель погрузчиков,занятые погрузкой горной массы  </v>
          </cell>
          <cell r="E1146" t="str">
            <v>ВЛ2010086 553693</v>
          </cell>
          <cell r="F1146">
            <v>2717.7</v>
          </cell>
          <cell r="G1146">
            <v>2303.4899999999998</v>
          </cell>
          <cell r="H1146">
            <v>0</v>
          </cell>
        </row>
        <row r="1147">
          <cell r="H1147">
            <v>0</v>
          </cell>
        </row>
        <row r="1148">
          <cell r="C1148" t="str">
            <v>Агафонов Андрей Андреевич</v>
          </cell>
          <cell r="D1148" t="str">
            <v>Водитель автомобиля</v>
          </cell>
          <cell r="E1148" t="str">
            <v>ГЕ2010108 884945</v>
          </cell>
          <cell r="F1148">
            <v>2717.7</v>
          </cell>
          <cell r="G1148">
            <v>2303.4899999999998</v>
          </cell>
          <cell r="H1148">
            <v>0</v>
          </cell>
        </row>
        <row r="1149">
          <cell r="C1149" t="str">
            <v>Жердев Руслан Геннадьевич</v>
          </cell>
          <cell r="D1149" t="str">
            <v>Водитель автомобиля</v>
          </cell>
          <cell r="E1149" t="str">
            <v>АЕ2010030 526812</v>
          </cell>
          <cell r="F1149">
            <v>2717.7</v>
          </cell>
          <cell r="G1149">
            <v>2303.4899999999998</v>
          </cell>
          <cell r="H1149">
            <v>0</v>
          </cell>
        </row>
        <row r="1150">
          <cell r="C1150" t="str">
            <v>Малухов Роман Сергеевич</v>
          </cell>
          <cell r="D1150" t="str">
            <v>Водитель автомобиля</v>
          </cell>
          <cell r="E1150" t="str">
            <v>ВЛ2010086 583836</v>
          </cell>
          <cell r="F1150">
            <v>1933.4</v>
          </cell>
          <cell r="G1150">
            <v>1638.82</v>
          </cell>
          <cell r="H1150">
            <v>0</v>
          </cell>
        </row>
        <row r="1151">
          <cell r="C1151" t="str">
            <v>Скрыпаль Андрей Викторович</v>
          </cell>
          <cell r="D1151" t="str">
            <v>Водитель автомобиля</v>
          </cell>
          <cell r="E1151" t="str">
            <v>ВЛ2010086 246519</v>
          </cell>
          <cell r="F1151">
            <v>2717.7</v>
          </cell>
          <cell r="G1151">
            <v>2303.4899999999998</v>
          </cell>
          <cell r="H1151">
            <v>0</v>
          </cell>
        </row>
        <row r="1152">
          <cell r="C1152" t="str">
            <v>Фищенко Александр Михайлович</v>
          </cell>
          <cell r="D1152" t="str">
            <v>Водитель автомобиля</v>
          </cell>
          <cell r="E1152" t="str">
            <v>ГЕ2010108 885331</v>
          </cell>
          <cell r="F1152">
            <v>1933.4</v>
          </cell>
          <cell r="G1152">
            <v>1638.82</v>
          </cell>
          <cell r="H1152">
            <v>0</v>
          </cell>
        </row>
        <row r="1153">
          <cell r="C1153" t="str">
            <v>Яньшин Александр Егорович</v>
          </cell>
          <cell r="D1153" t="str">
            <v>Водитель автомобиля</v>
          </cell>
          <cell r="E1153" t="str">
            <v>ВЛ2010086 248934</v>
          </cell>
          <cell r="F1153">
            <v>2848.3</v>
          </cell>
          <cell r="G1153">
            <v>2414.16</v>
          </cell>
          <cell r="H1153">
            <v>0</v>
          </cell>
        </row>
        <row r="1154">
          <cell r="H1154">
            <v>0</v>
          </cell>
        </row>
        <row r="1155">
          <cell r="C1155" t="str">
            <v>Рожновский Владимир Николаевич</v>
          </cell>
          <cell r="D1155" t="str">
            <v>Водитель автомобиля</v>
          </cell>
          <cell r="E1155" t="str">
            <v>АЕ2010030 526938</v>
          </cell>
          <cell r="F1155">
            <v>2717.7</v>
          </cell>
          <cell r="G1155">
            <v>2303.4899999999998</v>
          </cell>
          <cell r="H1155">
            <v>0</v>
          </cell>
        </row>
        <row r="1156">
          <cell r="H1156">
            <v>0</v>
          </cell>
        </row>
        <row r="1157">
          <cell r="C1157" t="str">
            <v>Костин Валерий Павлович</v>
          </cell>
          <cell r="D1157" t="str">
            <v>Водитель автобуса</v>
          </cell>
          <cell r="E1157" t="str">
            <v>ГБ2010104 622585</v>
          </cell>
          <cell r="F1157">
            <v>1410.4</v>
          </cell>
          <cell r="G1157">
            <v>1195.5999999999999</v>
          </cell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C1160" t="str">
            <v>Мажугин Александр Петрович</v>
          </cell>
          <cell r="D1160" t="str">
            <v>Механик автомобильной колонны</v>
          </cell>
          <cell r="E1160" t="str">
            <v>ВЛ2010086 032678</v>
          </cell>
          <cell r="F1160">
            <v>2587</v>
          </cell>
          <cell r="G1160">
            <v>2193.5300000000002</v>
          </cell>
          <cell r="H1160">
            <v>0</v>
          </cell>
        </row>
        <row r="1161">
          <cell r="H1161">
            <v>0</v>
          </cell>
        </row>
        <row r="1162">
          <cell r="C1162" t="str">
            <v>Головченко Сергей Евгеньевич</v>
          </cell>
          <cell r="D1162" t="str">
            <v>Слесарь по ремонту автомобилей</v>
          </cell>
          <cell r="E1162" t="str">
            <v>ЦН2010555 973048</v>
          </cell>
          <cell r="F1162">
            <v>2717.7</v>
          </cell>
          <cell r="G1162">
            <v>2303.4899999999998</v>
          </cell>
          <cell r="H1162">
            <v>0</v>
          </cell>
        </row>
        <row r="1163">
          <cell r="C1163" t="str">
            <v>Усанов Михаил Юрьевич</v>
          </cell>
          <cell r="D1163" t="str">
            <v>Слесарь по ремонту автомобилей</v>
          </cell>
          <cell r="E1163" t="str">
            <v>ВЛ2010086 552290</v>
          </cell>
          <cell r="F1163">
            <v>1759.2</v>
          </cell>
          <cell r="G1163">
            <v>1491.2</v>
          </cell>
          <cell r="H1163">
            <v>0</v>
          </cell>
        </row>
        <row r="1164">
          <cell r="H1164">
            <v>0</v>
          </cell>
        </row>
        <row r="1165">
          <cell r="C1165" t="str">
            <v>Горохова Алена Николаевна</v>
          </cell>
          <cell r="D1165" t="str">
            <v>Инженер-лаборант</v>
          </cell>
          <cell r="E1165" t="str">
            <v>ЕВ2010156 957659</v>
          </cell>
          <cell r="F1165">
            <v>2848.3</v>
          </cell>
          <cell r="G1165">
            <v>2414.16</v>
          </cell>
          <cell r="H1165">
            <v>2879.42</v>
          </cell>
        </row>
        <row r="1166">
          <cell r="E1166" t="str">
            <v>ЕВ2010156 957658</v>
          </cell>
          <cell r="F1166">
            <v>3397.3</v>
          </cell>
          <cell r="G1166">
            <v>2879.42</v>
          </cell>
          <cell r="H1166">
            <v>0</v>
          </cell>
        </row>
        <row r="1167">
          <cell r="C1167" t="str">
            <v>Карпенко Любовь Валентиновна</v>
          </cell>
          <cell r="D1167" t="str">
            <v>Инженер II категории</v>
          </cell>
          <cell r="E1167" t="str">
            <v>5556126 354551</v>
          </cell>
          <cell r="F1167">
            <v>2616.3000000000002</v>
          </cell>
          <cell r="G1167">
            <v>2217.1999999999998</v>
          </cell>
          <cell r="H1167">
            <v>2217.1999999999998</v>
          </cell>
        </row>
        <row r="1168">
          <cell r="E1168" t="str">
            <v>823612 505401</v>
          </cell>
          <cell r="F1168">
            <v>2616.3000000000002</v>
          </cell>
          <cell r="G1168">
            <v>2217.1999999999998</v>
          </cell>
          <cell r="H1168">
            <v>0</v>
          </cell>
        </row>
        <row r="1175">
          <cell r="H1175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х(б)"/>
      <sheetName val="эл т"/>
      <sheetName val="вах(т)"/>
      <sheetName val="#ССЫЛКА"/>
      <sheetName val="июнь ТО-45"/>
      <sheetName val="C.с  (2)"/>
      <sheetName val="инд. 2кв. 09г. ДОП 1"/>
    </sheetNames>
    <sheetDataSet>
      <sheetData sheetId="0" refreshError="1">
        <row r="37">
          <cell r="E37">
            <v>15856.866666666667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роги"/>
      <sheetName val="Сети"/>
      <sheetName val="Площадки"/>
      <sheetName val="база"/>
      <sheetName val="Коэффициенты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 </v>
          </cell>
          <cell r="E1" t="str">
            <v xml:space="preserve"> </v>
          </cell>
        </row>
        <row r="2">
          <cell r="A2" t="str">
            <v>ООО "Институт Каналстройпроект"</v>
          </cell>
          <cell r="E2" t="str">
            <v>Моськин В.А.</v>
          </cell>
          <cell r="G2" t="str">
            <v>Исполнительная смета № 1</v>
          </cell>
          <cell r="J2" t="str">
            <v>стадия П</v>
          </cell>
        </row>
        <row r="3">
          <cell r="A3" t="str">
            <v>ЗАО "Капстройпроект"</v>
          </cell>
          <cell r="E3" t="str">
            <v>Лысов А.Е.</v>
          </cell>
          <cell r="G3" t="str">
            <v>Cмета № 1</v>
          </cell>
          <cell r="J3" t="str">
            <v>стадия РД</v>
          </cell>
        </row>
        <row r="4">
          <cell r="A4" t="str">
            <v>ООО "Каналсетьпроект"</v>
          </cell>
          <cell r="E4" t="str">
            <v>Четыркина Г.В.</v>
          </cell>
          <cell r="G4" t="str">
            <v>Исполнительная смета № 2</v>
          </cell>
        </row>
        <row r="5">
          <cell r="A5" t="str">
            <v>ЗАО "Гендирекция Центр"</v>
          </cell>
          <cell r="E5" t="str">
            <v>Шлячков Д.</v>
          </cell>
          <cell r="G5" t="str">
            <v>Cмета № 2</v>
          </cell>
        </row>
        <row r="6">
          <cell r="A6" t="str">
            <v>ЗАО "ТУКС - 4"</v>
          </cell>
          <cell r="E6" t="str">
            <v>Шувалов Д.Ю.</v>
          </cell>
          <cell r="G6" t="str">
            <v>Исполнительная смета № 3</v>
          </cell>
        </row>
        <row r="7">
          <cell r="A7" t="str">
            <v>ЗАО "ТУКС - 2"</v>
          </cell>
          <cell r="E7" t="str">
            <v>Сагаев Р.Б.</v>
          </cell>
          <cell r="G7" t="str">
            <v>Cмета № 3</v>
          </cell>
        </row>
        <row r="8">
          <cell r="A8" t="str">
            <v>ЗАО "ТУКС - 1"</v>
          </cell>
        </row>
        <row r="9">
          <cell r="A9" t="str">
            <v>ЗАО "ТУКС - 3"</v>
          </cell>
        </row>
        <row r="10">
          <cell r="A10" t="str">
            <v>ЗАО "ТУКС № 7 ЮВ"</v>
          </cell>
        </row>
        <row r="11">
          <cell r="A11" t="str">
            <v>ГУП "Моссвет"</v>
          </cell>
        </row>
        <row r="12">
          <cell r="A12" t="str">
            <v>ЗАО "Альстрой"</v>
          </cell>
        </row>
        <row r="13">
          <cell r="A13" t="str">
            <v>ООО "Архинж"</v>
          </cell>
        </row>
        <row r="14">
          <cell r="A14" t="str">
            <v>МГУП "Мосводоканал УКС ГТС"</v>
          </cell>
        </row>
        <row r="15">
          <cell r="A15" t="str">
            <v>ПУНС МГП "Мосводоканал"</v>
          </cell>
        </row>
        <row r="16">
          <cell r="A16" t="str">
            <v>ЗАО "УКС"</v>
          </cell>
        </row>
        <row r="17">
          <cell r="A17" t="str">
            <v>ЗАО "УКС объектов здравоохранения"</v>
          </cell>
        </row>
        <row r="18">
          <cell r="A18" t="str">
            <v>ООО "Зеленоградкапстрой"</v>
          </cell>
        </row>
        <row r="19">
          <cell r="A19" t="str">
            <v>ГУП МНИИП "Моспроект-4"</v>
          </cell>
        </row>
        <row r="20">
          <cell r="A20" t="str">
            <v>ЗАО "Дон-строй"</v>
          </cell>
        </row>
        <row r="21">
          <cell r="A21" t="str">
            <v>ООО "Региональная финансово-строительная компания"</v>
          </cell>
        </row>
        <row r="22">
          <cell r="A22" t="str">
            <v>ООО "ПИК Инвест"</v>
          </cell>
        </row>
        <row r="23">
          <cell r="A23" t="str">
            <v>ЗАО "Инвестстрой"</v>
          </cell>
        </row>
        <row r="24">
          <cell r="A24" t="str">
            <v>ООО  ОКС "СУ-155"</v>
          </cell>
        </row>
        <row r="25">
          <cell r="A25" t="str">
            <v>ООО "Фирма Вершина"</v>
          </cell>
        </row>
        <row r="26">
          <cell r="A26" t="str">
            <v>ООО "АПЦ "Проспроект"</v>
          </cell>
        </row>
        <row r="27">
          <cell r="A27" t="str">
            <v>ОАО "Метрогипротранс"</v>
          </cell>
        </row>
        <row r="28">
          <cell r="A28" t="str">
            <v>ООО ПСФ "КРОСТ"</v>
          </cell>
        </row>
        <row r="29">
          <cell r="A29" t="str">
            <v>УКС ГУП "Мосгаз"</v>
          </cell>
        </row>
        <row r="30">
          <cell r="A30" t="str">
            <v>ООО "Межрегиональный союз строителей"</v>
          </cell>
        </row>
        <row r="31">
          <cell r="A31" t="str">
            <v>ООО "Жилкапстрой"</v>
          </cell>
        </row>
        <row r="32">
          <cell r="A32" t="str">
            <v>ЗАО "УКС ИКС и Д"</v>
          </cell>
        </row>
        <row r="33">
          <cell r="A33" t="str">
            <v>ГУП "Мосинжпроект"</v>
          </cell>
        </row>
        <row r="34">
          <cell r="A34" t="str">
            <v>ООО "Жилкапстрой"</v>
          </cell>
        </row>
        <row r="35">
          <cell r="A35" t="str">
            <v>ООО "СветоСервиС"</v>
          </cell>
        </row>
        <row r="36">
          <cell r="A36" t="str">
            <v>ООО "МНПП СВЭН"</v>
          </cell>
        </row>
        <row r="37">
          <cell r="A37" t="str">
            <v>ЗАО "СОРВиК"</v>
          </cell>
        </row>
        <row r="38">
          <cell r="A38" t="str">
            <v>ЗАО "ИНЖПРОЕКТСЕРВИС"</v>
          </cell>
        </row>
        <row r="39">
          <cell r="A39" t="str">
            <v>ЗАО "ИНСТИТУТ ПРОМОС"</v>
          </cell>
        </row>
        <row r="40">
          <cell r="A40" t="str">
            <v>ЗАО "УКС КБН"</v>
          </cell>
        </row>
        <row r="41">
          <cell r="A41" t="str">
            <v>ЗАО "ГЕОТОК"</v>
          </cell>
        </row>
        <row r="42">
          <cell r="A42" t="str">
            <v>ЗАО "ММА + Фицрой Робинсон Интернэшенл"</v>
          </cell>
        </row>
        <row r="43">
          <cell r="A43" t="str">
            <v>ЗАО "МОСПРОМСТРОЙ" ФИРМА "АРС"</v>
          </cell>
        </row>
        <row r="44">
          <cell r="A44" t="str">
            <v>Архитектурно-проектная мастерская ООО "Малая Студия"</v>
          </cell>
        </row>
        <row r="45">
          <cell r="A45" t="str">
            <v>ООО "ТУКС МОСПРОМСТРОЙ"</v>
          </cell>
        </row>
        <row r="46">
          <cell r="A46" t="str">
            <v>ГУП "МНИИТЭП"</v>
          </cell>
        </row>
        <row r="47">
          <cell r="A47" t="str">
            <v>НПО "КОСМОС"</v>
          </cell>
        </row>
        <row r="48">
          <cell r="A48" t="str">
            <v>ООО "ПРОК - энерго 2001"</v>
          </cell>
        </row>
        <row r="49">
          <cell r="A49" t="str">
            <v>ОАО "УКС НАУКА"</v>
          </cell>
        </row>
        <row r="50">
          <cell r="A50" t="str">
            <v>ГУП "МосводоканалНИИпроект"</v>
          </cell>
        </row>
        <row r="51">
          <cell r="A51" t="str">
            <v>ФГУП «Институт общественных зданий»</v>
          </cell>
        </row>
        <row r="52">
          <cell r="A52" t="str">
            <v>ОАО "СТРОЙПРОЕКТ"</v>
          </cell>
        </row>
        <row r="53">
          <cell r="A53" t="str">
            <v>ЗАО "ИНВЕСТСТРОЙ"</v>
          </cell>
        </row>
        <row r="54">
          <cell r="A54" t="str">
            <v>ЗАО "СТРОЙИНДУСТРИЯ"</v>
          </cell>
        </row>
      </sheetData>
      <sheetData sheetId="4">
        <row r="1">
          <cell r="A1" t="str">
            <v xml:space="preserve"> </v>
          </cell>
        </row>
        <row r="2">
          <cell r="A2" t="str">
            <v>1,1</v>
          </cell>
        </row>
        <row r="3">
          <cell r="A3" t="str">
            <v>1,25</v>
          </cell>
        </row>
        <row r="4">
          <cell r="A4" t="str">
            <v>1,43</v>
          </cell>
        </row>
        <row r="5">
          <cell r="A5" t="str">
            <v>1,67</v>
          </cell>
        </row>
        <row r="6">
          <cell r="A6" t="str">
            <v>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Лист1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  <sheetName val="К.С.М. (ПУТ)"/>
      <sheetName val="цены_азот"/>
    </sheetNames>
    <sheetDataSet>
      <sheetData sheetId="0" refreshError="1"/>
      <sheetData sheetId="1"/>
      <sheetData sheetId="2">
        <row r="33">
          <cell r="P33">
            <v>77.190000000000012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вах(б)"/>
      <sheetName val="Расчет"/>
      <sheetName val="C.с"/>
    </sheetNames>
    <sheetDataSet>
      <sheetData sheetId="0"/>
      <sheetData sheetId="1"/>
      <sheetData sheetId="2"/>
      <sheetData sheetId="3">
        <row r="18">
          <cell r="H18">
            <v>11.68</v>
          </cell>
        </row>
      </sheetData>
      <sheetData sheetId="4"/>
      <sheetData sheetId="5">
        <row r="33">
          <cell r="C33">
            <v>249.96</v>
          </cell>
        </row>
        <row r="48">
          <cell r="H48">
            <v>24.19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Инструкция"/>
      <sheetName val="Бланк"/>
      <sheetName val="Данные"/>
    </sheetNames>
    <sheetDataSet>
      <sheetData sheetId="0">
        <row r="1">
          <cell r="J1" t="str">
            <v>18</v>
          </cell>
        </row>
        <row r="3">
          <cell r="M3" t="str">
            <v>Апрель 2014</v>
          </cell>
          <cell r="N3" t="str">
            <v>Силовое электрооборудование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  <sheetName val="Сводка ТКЛ"/>
      <sheetName val="КС-3дек"/>
      <sheetName val="Лист3"/>
    </sheetNames>
    <sheetDataSet>
      <sheetData sheetId="0" refreshError="1">
        <row r="1">
          <cell r="G1" t="str">
            <v>1759и-3-59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2012(КСЛ) (2)"/>
      <sheetName val="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D39">
            <v>6.12</v>
          </cell>
        </row>
        <row r="92">
          <cell r="D92">
            <v>10.24</v>
          </cell>
        </row>
        <row r="123">
          <cell r="D123">
            <v>56.15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токол ДЦ"/>
      <sheetName val="СВОД"/>
      <sheetName val="Расчет стоимости"/>
      <sheetName val="Лист1"/>
      <sheetName val="Расшифровка гр.3"/>
      <sheetName val="Разбивка ОиС работ"/>
      <sheetName val="Календарный план"/>
      <sheetName val="Расшифровка смет.стоим_сл"/>
      <sheetName val="Для КС-3"/>
      <sheetName val="Распределение_служебная"/>
      <sheetName val="КС-2 ИЮНЬ 2014"/>
      <sheetName val="КС-3 (июнь) 14"/>
      <sheetName val="КС-3 &lt;- &gt;КС-3"/>
      <sheetName val="Реестр"/>
      <sheetName val="Тр.  (мост)"/>
    </sheetNames>
    <sheetDataSet>
      <sheetData sheetId="0">
        <row r="11">
          <cell r="E11">
            <v>1581306492.8099999</v>
          </cell>
        </row>
        <row r="22">
          <cell r="E22">
            <v>113307051.39000002</v>
          </cell>
        </row>
      </sheetData>
      <sheetData sheetId="1"/>
      <sheetData sheetId="2">
        <row r="910">
          <cell r="J910">
            <v>1353380760.0050001</v>
          </cell>
          <cell r="K910">
            <v>45276057.115599997</v>
          </cell>
          <cell r="L910">
            <v>6956477.450000003</v>
          </cell>
          <cell r="M910">
            <v>15433375.630000001</v>
          </cell>
          <cell r="N910">
            <v>28369350.390000008</v>
          </cell>
          <cell r="O910">
            <v>1449416020.5906</v>
          </cell>
        </row>
      </sheetData>
      <sheetData sheetId="3">
        <row r="138">
          <cell r="M138">
            <v>0.98439548548203604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N26" t="str">
            <v>Компенсация с НДС</v>
          </cell>
        </row>
      </sheetData>
      <sheetData sheetId="13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  <sheetName val="12"/>
      <sheetName val="C.с"/>
      <sheetName val="контрагенты"/>
    </sheetNames>
    <sheetDataSet>
      <sheetData sheetId="0"/>
      <sheetData sheetId="1"/>
      <sheetData sheetId="2">
        <row r="52">
          <cell r="H52">
            <v>58.765040000000006</v>
          </cell>
        </row>
      </sheetData>
      <sheetData sheetId="3"/>
      <sheetData sheetId="4">
        <row r="35">
          <cell r="H35">
            <v>9.33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C.с"/>
    </sheetNames>
    <sheetDataSet>
      <sheetData sheetId="0"/>
      <sheetData sheetId="1"/>
      <sheetData sheetId="2"/>
      <sheetData sheetId="3" refreshError="1">
        <row r="18">
          <cell r="H18">
            <v>11.68</v>
          </cell>
        </row>
        <row r="21">
          <cell r="H21">
            <v>9.64</v>
          </cell>
        </row>
        <row r="27">
          <cell r="H27">
            <v>4.5599999999999996</v>
          </cell>
        </row>
        <row r="30">
          <cell r="H30">
            <v>2.04</v>
          </cell>
        </row>
        <row r="39">
          <cell r="H39">
            <v>1.97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C.сбаз.и (РД)"/>
      <sheetName val="Ер"/>
      <sheetName val="Р1"/>
      <sheetName val="ПИР"/>
      <sheetName val="C.с  (3)"/>
      <sheetName val="ок.ср."/>
      <sheetName val="#ССЫЛКА"/>
      <sheetName val="отгр ГОК"/>
    </sheetNames>
    <sheetDataSet>
      <sheetData sheetId="0" refreshError="1"/>
      <sheetData sheetId="1"/>
      <sheetData sheetId="2"/>
      <sheetData sheetId="3">
        <row r="31">
          <cell r="H31">
            <v>2.1999999999999997</v>
          </cell>
        </row>
      </sheetData>
      <sheetData sheetId="4">
        <row r="31">
          <cell r="H31">
            <v>2.1999999999999997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Е.р."/>
      <sheetName val="К"/>
      <sheetName val="Ф"/>
      <sheetName val="К.С.М."/>
      <sheetName val="Тр."/>
      <sheetName val="Р1"/>
      <sheetName val="Р2"/>
      <sheetName val="Р2 (2)"/>
      <sheetName val="Р3"/>
      <sheetName val="C.с"/>
      <sheetName val="C.с (2)"/>
      <sheetName val="C.с (3)"/>
      <sheetName val="Сод"/>
      <sheetName val="П.з"/>
      <sheetName val="ПИР"/>
      <sheetName val="Тр. (2)"/>
      <sheetName val="Консолидированный"/>
    </sheetNames>
    <sheetDataSet>
      <sheetData sheetId="0"/>
      <sheetData sheetId="1"/>
      <sheetData sheetId="2"/>
      <sheetData sheetId="3"/>
      <sheetData sheetId="4"/>
      <sheetData sheetId="5">
        <row r="27">
          <cell r="H27">
            <v>2.41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Тр."/>
      <sheetName val="сод"/>
      <sheetName val="ПИРБ"/>
      <sheetName val="C.с  Б"/>
      <sheetName val="врБ"/>
      <sheetName val="зимБ"/>
      <sheetName val="вах"/>
      <sheetName val="Тр.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C.с "/>
      <sheetName val="Р1"/>
      <sheetName val="Р1 (2)"/>
      <sheetName val="ПИР"/>
      <sheetName val="П.з "/>
      <sheetName val="C.с  (2)"/>
      <sheetName val="C.с  (3)"/>
      <sheetName val="ок.ср."/>
      <sheetName val="сод"/>
      <sheetName val="C.сбаз.и"/>
      <sheetName val="Р1 (И)"/>
      <sheetName val="сод (2)"/>
      <sheetName val="сод р.в."/>
      <sheetName val="П.з  (2)"/>
      <sheetName val="П.з  (3)"/>
      <sheetName val="#ССЫЛКА"/>
      <sheetName val="отгр ГОК"/>
    </sheetNames>
    <sheetDataSet>
      <sheetData sheetId="0"/>
      <sheetData sheetId="1"/>
      <sheetData sheetId="2"/>
      <sheetData sheetId="3"/>
      <sheetData sheetId="4">
        <row r="31">
          <cell r="H31">
            <v>2.1999999999999997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Данные"/>
    </sheetNames>
    <sheetDataSet>
      <sheetData sheetId="0"/>
      <sheetData sheetId="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РЕЕСТР"/>
      <sheetName val="Тр."/>
      <sheetName val="К.С.М."/>
    </sheetNames>
    <sheetDataSet>
      <sheetData sheetId="0">
        <row r="414">
          <cell r="B414" t="str">
            <v>Всего</v>
          </cell>
          <cell r="J414">
            <v>1304025.2641999999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.см.дор"/>
      <sheetName val="зим Д"/>
      <sheetName val="об.см.пут"/>
      <sheetName val="зимП"/>
      <sheetName val="об.см.эл."/>
      <sheetName val="Сод. к ч.4"/>
      <sheetName val="Сод. к ч.3"/>
      <sheetName val="Сод. к ч.2"/>
      <sheetName val="Сод. к ч.1"/>
      <sheetName val="ПИРб"/>
      <sheetName val="ПИРт"/>
      <sheetName val="К"/>
      <sheetName val="Ф"/>
      <sheetName val="Тощ.бет."/>
      <sheetName val="К.С.М."/>
      <sheetName val="К.С.М. (ПУТ)"/>
      <sheetName val="Тр.(пут)"/>
      <sheetName val="Тр.(дорога)"/>
      <sheetName val="зим"/>
      <sheetName val="C.с"/>
      <sheetName val="П.з. л. c"/>
      <sheetName val="П.з.р.в."/>
      <sheetName val="Лист1"/>
      <sheetName val="Тр.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Ер"/>
      <sheetName val="К"/>
      <sheetName val="Ф"/>
      <sheetName val="Тр."/>
      <sheetName val="Тр. (2)"/>
      <sheetName val="а.б. 1 м"/>
      <sheetName val="битум"/>
      <sheetName val="Р1 "/>
      <sheetName val="ПИР"/>
      <sheetName val="Р2"/>
      <sheetName val="C.с "/>
      <sheetName val="C.с  (2)"/>
      <sheetName val="C.с  (4)"/>
      <sheetName val="П.з "/>
      <sheetName val="С.с зам"/>
      <sheetName val="зим.зам"/>
      <sheetName val="П.з  (2)"/>
      <sheetName val="Ведомость потр.рес."/>
      <sheetName val="Распределение"/>
      <sheetName val="К.С.М. (ПУТ)"/>
      <sheetName val="цены"/>
    </sheetNames>
    <sheetDataSet>
      <sheetData sheetId="0" refreshError="1">
        <row r="159">
          <cell r="P159">
            <v>12.82</v>
          </cell>
        </row>
        <row r="163">
          <cell r="P163">
            <v>7.339999999999999</v>
          </cell>
        </row>
        <row r="167">
          <cell r="P167">
            <v>17.14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  <sheetName val="C.с  (2)"/>
    </sheetNames>
    <sheetDataSet>
      <sheetData sheetId="0"/>
      <sheetData sheetId="1">
        <row r="17">
          <cell r="H17">
            <v>16.07</v>
          </cell>
        </row>
        <row r="22">
          <cell r="H22">
            <v>335.33</v>
          </cell>
        </row>
        <row r="24">
          <cell r="H24">
            <v>72.89</v>
          </cell>
        </row>
        <row r="26">
          <cell r="H26">
            <v>14.31</v>
          </cell>
        </row>
        <row r="28">
          <cell r="H28">
            <v>38.82</v>
          </cell>
        </row>
        <row r="30">
          <cell r="H30">
            <v>45.74</v>
          </cell>
        </row>
        <row r="32">
          <cell r="H32">
            <v>42.26</v>
          </cell>
        </row>
        <row r="34">
          <cell r="H34">
            <v>48.3</v>
          </cell>
        </row>
        <row r="36">
          <cell r="H36">
            <v>72.239999999999995</v>
          </cell>
        </row>
        <row r="38">
          <cell r="H38">
            <v>75.37</v>
          </cell>
        </row>
        <row r="40">
          <cell r="H40">
            <v>55.67</v>
          </cell>
        </row>
        <row r="42">
          <cell r="H42">
            <v>44.14</v>
          </cell>
        </row>
      </sheetData>
      <sheetData sheetId="2">
        <row r="86">
          <cell r="P86">
            <v>29.44</v>
          </cell>
        </row>
        <row r="90">
          <cell r="P90">
            <v>32.39</v>
          </cell>
        </row>
        <row r="94">
          <cell r="P94">
            <v>38.200000000000003</v>
          </cell>
        </row>
        <row r="98">
          <cell r="P98">
            <v>34.200000000000003</v>
          </cell>
        </row>
        <row r="102">
          <cell r="P102">
            <v>37.200000000000003</v>
          </cell>
        </row>
        <row r="106">
          <cell r="P106">
            <v>10.64</v>
          </cell>
        </row>
        <row r="110">
          <cell r="P110">
            <v>10.39</v>
          </cell>
        </row>
        <row r="113">
          <cell r="P113">
            <v>12.18</v>
          </cell>
        </row>
      </sheetData>
      <sheetData sheetId="3"/>
      <sheetData sheetId="4"/>
      <sheetData sheetId="5"/>
      <sheetData sheetId="6">
        <row r="17">
          <cell r="P17">
            <v>3.08</v>
          </cell>
        </row>
        <row r="20">
          <cell r="P20">
            <v>2.61</v>
          </cell>
        </row>
        <row r="23">
          <cell r="P23">
            <v>3.21</v>
          </cell>
        </row>
        <row r="26">
          <cell r="P26">
            <v>5.14</v>
          </cell>
        </row>
        <row r="29">
          <cell r="P29">
            <v>8.34</v>
          </cell>
        </row>
        <row r="35">
          <cell r="P35">
            <v>10.36</v>
          </cell>
        </row>
        <row r="38">
          <cell r="P38">
            <v>5.0199999999999996</v>
          </cell>
        </row>
        <row r="41">
          <cell r="P41">
            <v>4.87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К.С.М. (ПУТ)"/>
      <sheetName val="цены_азот"/>
    </sheetNames>
    <sheetDataSet>
      <sheetData sheetId="0"/>
      <sheetData sheetId="1"/>
      <sheetData sheetId="2">
        <row r="33">
          <cell r="P33">
            <v>77.190000000000012</v>
          </cell>
        </row>
        <row r="64">
          <cell r="P64">
            <v>18.95</v>
          </cell>
        </row>
        <row r="68">
          <cell r="P68">
            <v>19.45</v>
          </cell>
        </row>
        <row r="83">
          <cell r="P83">
            <v>8.4</v>
          </cell>
        </row>
        <row r="87">
          <cell r="P87">
            <v>10.29</v>
          </cell>
        </row>
        <row r="91">
          <cell r="P91">
            <v>3.03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сод.л.см."/>
      <sheetName val="зим Б"/>
      <sheetName val="П.з"/>
      <sheetName val="ПИР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отгр ГОК"/>
    </sheetNames>
    <sheetDataSet>
      <sheetData sheetId="0" refreshError="1"/>
      <sheetData sheetId="1">
        <row r="57">
          <cell r="H57">
            <v>136.85</v>
          </cell>
        </row>
      </sheetData>
      <sheetData sheetId="2" refreshError="1"/>
      <sheetData sheetId="3" refreshError="1"/>
      <sheetData sheetId="4">
        <row r="319">
          <cell r="P319">
            <v>10.35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вр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коэф"/>
    </sheetNames>
    <sheetDataSet>
      <sheetData sheetId="0"/>
      <sheetData sheetId="1"/>
      <sheetData sheetId="2"/>
      <sheetData sheetId="3"/>
      <sheetData sheetId="4">
        <row r="354">
          <cell r="P354">
            <v>15.41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</sheetNames>
    <sheetDataSet>
      <sheetData sheetId="0"/>
      <sheetData sheetId="1"/>
      <sheetData sheetId="2"/>
      <sheetData sheetId="3">
        <row r="51">
          <cell r="P51">
            <v>8.94</v>
          </cell>
        </row>
        <row r="78">
          <cell r="P78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3"/>
      <sheetName val="зимтек"/>
      <sheetName val="C.с тек"/>
      <sheetName val="ф2"/>
      <sheetName val="ф8"/>
      <sheetName val="ф9"/>
      <sheetName val="ф10"/>
      <sheetName val="C.с тек ЭЛ"/>
      <sheetName val="К.С.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Ф (177)"/>
      <sheetName val="К.С.М."/>
      <sheetName val="Тр"/>
      <sheetName val="зим"/>
      <sheetName val="C.с"/>
      <sheetName val="П.з. л. c"/>
      <sheetName val="П.з.р.в."/>
      <sheetName val="окно"/>
      <sheetName val="ПИРб"/>
      <sheetName val="ПИР т"/>
      <sheetName val="Сод р.в."/>
      <sheetName val="Сод.л.см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ф9"/>
      <sheetName val="ф1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 нов (2)"/>
      <sheetName val="сод.т.ц."/>
      <sheetName val="Изопласт"/>
      <sheetName val="C.с"/>
      <sheetName val="C.с (2)"/>
      <sheetName val="врБ"/>
      <sheetName val="врБ (2)"/>
      <sheetName val="врТ"/>
      <sheetName val="зимБ"/>
      <sheetName val="зимБ (2)"/>
      <sheetName val="зимТ"/>
      <sheetName val="Возврат"/>
      <sheetName val="экспертиза"/>
      <sheetName val="ПИР"/>
      <sheetName val="перБ"/>
      <sheetName val="перТ"/>
      <sheetName val="К.С.М."/>
      <sheetName val="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F20">
            <v>145.58000000000001</v>
          </cell>
        </row>
      </sheetData>
      <sheetData sheetId="14"/>
      <sheetData sheetId="15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P32">
            <v>10.23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</sheetNames>
    <sheetDataSet>
      <sheetData sheetId="0">
        <row r="317">
          <cell r="B317" t="str">
            <v xml:space="preserve">Локальная смета </v>
          </cell>
          <cell r="C317" t="str">
            <v>Локальная смета 5 Укрепление откоса габионами</v>
          </cell>
        </row>
      </sheetData>
      <sheetData sheetId="1"/>
      <sheetData sheetId="2"/>
      <sheetData sheetId="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.з.р.в."/>
      <sheetName val="ПИР"/>
      <sheetName val="П.з. л. c"/>
      <sheetName val="зимбаз"/>
      <sheetName val="C.с баз"/>
      <sheetName val="Зима тек"/>
      <sheetName val="C.с тек"/>
      <sheetName val="содбаз"/>
      <sheetName val="содтек"/>
      <sheetName val="ф2"/>
      <sheetName val="ф8"/>
      <sheetName val="ф9 "/>
      <sheetName val="ф10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.з"/>
      <sheetName val="ПИР"/>
      <sheetName val="сод.л.см.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Ф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9 "/>
      <sheetName val="ф8"/>
      <sheetName val="ф2"/>
      <sheetName val="ф10"/>
      <sheetName val="Ф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зим "/>
      <sheetName val="C.с "/>
      <sheetName val="ПИР"/>
      <sheetName val="эл т "/>
      <sheetName val="Лист1"/>
      <sheetName val="ф10"/>
      <sheetName val="списки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6">
          <cell r="H86">
            <v>7289.42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hx_abc4 (2)"/>
      <sheetName val="ф10"/>
      <sheetName val="C.с "/>
    </sheetNames>
    <sheetDataSet>
      <sheetData sheetId="0">
        <row r="20">
          <cell r="L20" t="str">
            <v>на един.</v>
          </cell>
          <cell r="M20" t="str">
            <v>всего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C.с "/>
    </sheetNames>
    <sheetDataSet>
      <sheetData sheetId="0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>
        <row r="246">
          <cell r="L246">
            <v>585486.63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8">
          <cell r="G28" t="str">
            <v>Вентиляция</v>
          </cell>
        </row>
        <row r="2404">
          <cell r="G2404" t="str">
            <v>Дополнительные материалы и оборудование</v>
          </cell>
        </row>
        <row r="2638">
          <cell r="E2638" t="str">
            <v>424</v>
          </cell>
          <cell r="F2638" t="str">
            <v>1.19-10-1</v>
          </cell>
          <cell r="H2638" t="str">
            <v>шт.</v>
          </cell>
          <cell r="I2638">
            <v>1</v>
          </cell>
          <cell r="P2638">
            <v>351.97</v>
          </cell>
          <cell r="R2638">
            <v>0</v>
          </cell>
          <cell r="X2638">
            <v>0</v>
          </cell>
          <cell r="Y2638">
            <v>0</v>
          </cell>
          <cell r="AL2638">
            <v>351.97</v>
          </cell>
          <cell r="DD2638"/>
        </row>
        <row r="2639">
          <cell r="P2639">
            <v>696.9</v>
          </cell>
          <cell r="R2639">
            <v>0</v>
          </cell>
          <cell r="X2639">
            <v>0</v>
          </cell>
          <cell r="Y2639">
            <v>0</v>
          </cell>
          <cell r="AW2639">
            <v>1</v>
          </cell>
          <cell r="BC2639">
            <v>1.98</v>
          </cell>
        </row>
        <row r="2642">
          <cell r="E2642" t="str">
            <v>426</v>
          </cell>
          <cell r="F2642" t="str">
            <v>1.19-10-6</v>
          </cell>
          <cell r="H2642" t="str">
            <v>шт.</v>
          </cell>
          <cell r="I2642">
            <v>6</v>
          </cell>
          <cell r="P2642">
            <v>2332.62</v>
          </cell>
          <cell r="R2642">
            <v>0</v>
          </cell>
          <cell r="X2642">
            <v>0</v>
          </cell>
          <cell r="Y2642">
            <v>0</v>
          </cell>
          <cell r="AL2642">
            <v>388.77</v>
          </cell>
          <cell r="DD2642"/>
        </row>
        <row r="2643">
          <cell r="P2643">
            <v>3895.48</v>
          </cell>
          <cell r="R2643">
            <v>0</v>
          </cell>
          <cell r="X2643">
            <v>0</v>
          </cell>
          <cell r="Y2643">
            <v>0</v>
          </cell>
          <cell r="AW2643">
            <v>1</v>
          </cell>
          <cell r="BC2643">
            <v>1.67</v>
          </cell>
        </row>
        <row r="2644">
          <cell r="E2644" t="str">
            <v>427</v>
          </cell>
          <cell r="F2644" t="str">
            <v>1.19-10-7</v>
          </cell>
          <cell r="H2644" t="str">
            <v>шт.</v>
          </cell>
          <cell r="I2644">
            <v>13</v>
          </cell>
          <cell r="P2644">
            <v>5768.1</v>
          </cell>
          <cell r="R2644">
            <v>0</v>
          </cell>
          <cell r="X2644">
            <v>0</v>
          </cell>
          <cell r="Y2644">
            <v>0</v>
          </cell>
          <cell r="AL2644">
            <v>443.7</v>
          </cell>
          <cell r="DD2644"/>
        </row>
        <row r="2645">
          <cell r="P2645">
            <v>17938.79</v>
          </cell>
          <cell r="R2645">
            <v>0</v>
          </cell>
          <cell r="X2645">
            <v>0</v>
          </cell>
          <cell r="Y2645">
            <v>0</v>
          </cell>
          <cell r="AW2645">
            <v>1</v>
          </cell>
          <cell r="BC2645">
            <v>3.11</v>
          </cell>
        </row>
        <row r="2646">
          <cell r="E2646" t="str">
            <v>428</v>
          </cell>
          <cell r="F2646" t="str">
            <v>1.19-10-8</v>
          </cell>
          <cell r="H2646" t="str">
            <v>шт.</v>
          </cell>
          <cell r="I2646">
            <v>7</v>
          </cell>
          <cell r="P2646">
            <v>4583.46</v>
          </cell>
          <cell r="R2646">
            <v>0</v>
          </cell>
          <cell r="X2646">
            <v>0</v>
          </cell>
          <cell r="Y2646">
            <v>0</v>
          </cell>
          <cell r="AL2646">
            <v>654.78</v>
          </cell>
          <cell r="DD2646"/>
        </row>
        <row r="2647">
          <cell r="P2647">
            <v>11183.64</v>
          </cell>
          <cell r="R2647">
            <v>0</v>
          </cell>
          <cell r="X2647">
            <v>0</v>
          </cell>
          <cell r="Y2647">
            <v>0</v>
          </cell>
          <cell r="AW2647">
            <v>1</v>
          </cell>
          <cell r="BC2647">
            <v>2.44</v>
          </cell>
        </row>
        <row r="2650">
          <cell r="E2650" t="str">
            <v>430</v>
          </cell>
          <cell r="F2650" t="str">
            <v>1.19-10-10</v>
          </cell>
          <cell r="H2650" t="str">
            <v>шт.</v>
          </cell>
          <cell r="I2650">
            <v>6</v>
          </cell>
          <cell r="P2650">
            <v>6308.64</v>
          </cell>
          <cell r="R2650">
            <v>0</v>
          </cell>
          <cell r="X2650">
            <v>0</v>
          </cell>
          <cell r="Y2650">
            <v>0</v>
          </cell>
          <cell r="AL2650">
            <v>1051.44</v>
          </cell>
          <cell r="DD2650"/>
        </row>
        <row r="2651">
          <cell r="P2651">
            <v>18484.32</v>
          </cell>
          <cell r="R2651">
            <v>0</v>
          </cell>
          <cell r="X2651">
            <v>0</v>
          </cell>
          <cell r="Y2651">
            <v>0</v>
          </cell>
          <cell r="AW2651">
            <v>1</v>
          </cell>
          <cell r="BC2651">
            <v>2.93</v>
          </cell>
        </row>
        <row r="2652">
          <cell r="E2652" t="str">
            <v>431</v>
          </cell>
          <cell r="F2652" t="str">
            <v>3.20-1-1</v>
          </cell>
          <cell r="H2652" t="str">
            <v>100 м2 поверхности воздуховодов</v>
          </cell>
          <cell r="I2652">
            <v>6.1899999999999997E-2</v>
          </cell>
          <cell r="P2652">
            <v>30.92</v>
          </cell>
          <cell r="Q2652">
            <v>11.319999999999999</v>
          </cell>
          <cell r="R2652">
            <v>2.16</v>
          </cell>
          <cell r="S2652">
            <v>192.28</v>
          </cell>
          <cell r="U2652">
            <v>10.171284199999999</v>
          </cell>
          <cell r="X2652">
            <v>240.35</v>
          </cell>
          <cell r="Y2652">
            <v>180.74</v>
          </cell>
          <cell r="AL2652">
            <v>499.52</v>
          </cell>
          <cell r="AM2652">
            <v>158.18</v>
          </cell>
          <cell r="AN2652">
            <v>19.579999999999998</v>
          </cell>
          <cell r="AO2652">
            <v>1743.28</v>
          </cell>
          <cell r="AQ2652">
            <v>154</v>
          </cell>
          <cell r="DD2652"/>
          <cell r="DE2652"/>
          <cell r="DG2652" t="str">
            <v>)*1,67</v>
          </cell>
          <cell r="DI2652"/>
        </row>
        <row r="2653">
          <cell r="P2653">
            <v>110.69</v>
          </cell>
          <cell r="Q2653">
            <v>108.39999999999999</v>
          </cell>
          <cell r="R2653">
            <v>51.71</v>
          </cell>
          <cell r="S2653">
            <v>4603.18</v>
          </cell>
          <cell r="X2653">
            <v>4603.18</v>
          </cell>
          <cell r="Y2653">
            <v>2071.4299999999998</v>
          </cell>
          <cell r="AV2653">
            <v>1.0669999999999999</v>
          </cell>
          <cell r="AW2653">
            <v>1</v>
          </cell>
          <cell r="BA2653">
            <v>23.94</v>
          </cell>
          <cell r="BB2653">
            <v>8.3800000000000008</v>
          </cell>
          <cell r="BC2653">
            <v>3.58</v>
          </cell>
          <cell r="BS2653">
            <v>23.94</v>
          </cell>
          <cell r="BZ2653">
            <v>100</v>
          </cell>
          <cell r="CA2653">
            <v>45</v>
          </cell>
          <cell r="DN2653">
            <v>125</v>
          </cell>
          <cell r="DO2653">
            <v>94</v>
          </cell>
        </row>
        <row r="2654">
          <cell r="E2654" t="str">
            <v>431,1</v>
          </cell>
          <cell r="F2654" t="str">
            <v>1.19-3-5</v>
          </cell>
          <cell r="H2654" t="str">
            <v>м2</v>
          </cell>
          <cell r="I2654">
            <v>6.19</v>
          </cell>
          <cell r="O2654">
            <v>914.26</v>
          </cell>
          <cell r="R2654">
            <v>0</v>
          </cell>
          <cell r="X2654">
            <v>0</v>
          </cell>
          <cell r="Y2654">
            <v>0</v>
          </cell>
          <cell r="AK2654">
            <v>147.69999999999999</v>
          </cell>
        </row>
        <row r="2655">
          <cell r="O2655">
            <v>1929.09</v>
          </cell>
          <cell r="R2655">
            <v>0</v>
          </cell>
          <cell r="X2655">
            <v>0</v>
          </cell>
          <cell r="Y2655">
            <v>0</v>
          </cell>
          <cell r="AW2655">
            <v>1</v>
          </cell>
          <cell r="BC2655">
            <v>2.11</v>
          </cell>
        </row>
        <row r="2656">
          <cell r="E2656" t="str">
            <v>432</v>
          </cell>
          <cell r="F2656" t="str">
            <v>3.20-1-4</v>
          </cell>
          <cell r="H2656" t="str">
            <v>100 м2 поверхности воздуховодов</v>
          </cell>
          <cell r="I2656">
            <v>2.4299999999999999E-2</v>
          </cell>
          <cell r="P2656">
            <v>12.14</v>
          </cell>
          <cell r="Q2656">
            <v>4.46</v>
          </cell>
          <cell r="R2656">
            <v>0.85</v>
          </cell>
          <cell r="S2656">
            <v>75.48</v>
          </cell>
          <cell r="U2656">
            <v>3.9929273999999992</v>
          </cell>
          <cell r="X2656">
            <v>94.35</v>
          </cell>
          <cell r="Y2656">
            <v>70.95</v>
          </cell>
          <cell r="AL2656">
            <v>499.52</v>
          </cell>
          <cell r="AM2656">
            <v>158.94999999999999</v>
          </cell>
          <cell r="AN2656">
            <v>19.73</v>
          </cell>
          <cell r="AO2656">
            <v>1743.28</v>
          </cell>
          <cell r="AQ2656">
            <v>154</v>
          </cell>
          <cell r="DD2656"/>
          <cell r="DE2656"/>
          <cell r="DG2656" t="str">
            <v>)*1,67</v>
          </cell>
          <cell r="DI2656"/>
        </row>
        <row r="2657">
          <cell r="P2657">
            <v>43.46</v>
          </cell>
          <cell r="Q2657">
            <v>42.67</v>
          </cell>
          <cell r="R2657">
            <v>20.350000000000001</v>
          </cell>
          <cell r="S2657">
            <v>1806.99</v>
          </cell>
          <cell r="X2657">
            <v>1806.99</v>
          </cell>
          <cell r="Y2657">
            <v>813.15</v>
          </cell>
          <cell r="AV2657">
            <v>1.0669999999999999</v>
          </cell>
          <cell r="AW2657">
            <v>1</v>
          </cell>
          <cell r="BA2657">
            <v>23.94</v>
          </cell>
          <cell r="BB2657">
            <v>8.3800000000000008</v>
          </cell>
          <cell r="BC2657">
            <v>3.58</v>
          </cell>
          <cell r="BS2657">
            <v>23.94</v>
          </cell>
          <cell r="BZ2657">
            <v>100</v>
          </cell>
          <cell r="CA2657">
            <v>45</v>
          </cell>
          <cell r="DN2657">
            <v>125</v>
          </cell>
          <cell r="DO2657">
            <v>94</v>
          </cell>
        </row>
        <row r="2658">
          <cell r="E2658" t="str">
            <v>432,1</v>
          </cell>
          <cell r="F2658" t="str">
            <v>1.19-3-6</v>
          </cell>
          <cell r="H2658" t="str">
            <v>м2</v>
          </cell>
          <cell r="I2658">
            <v>2.4300000000000002</v>
          </cell>
          <cell r="O2658">
            <v>379.2</v>
          </cell>
          <cell r="R2658">
            <v>0</v>
          </cell>
          <cell r="X2658">
            <v>0</v>
          </cell>
          <cell r="Y2658">
            <v>0</v>
          </cell>
          <cell r="AK2658">
            <v>156.05000000000001</v>
          </cell>
        </row>
        <row r="2659">
          <cell r="O2659">
            <v>944.21</v>
          </cell>
          <cell r="R2659">
            <v>0</v>
          </cell>
          <cell r="X2659">
            <v>0</v>
          </cell>
          <cell r="Y2659">
            <v>0</v>
          </cell>
          <cell r="AW2659">
            <v>1</v>
          </cell>
          <cell r="BC2659">
            <v>2.4900000000000002</v>
          </cell>
        </row>
        <row r="2664">
          <cell r="E2664" t="str">
            <v>434</v>
          </cell>
          <cell r="F2664" t="str">
            <v>3.20-1-3</v>
          </cell>
          <cell r="H2664" t="str">
            <v>100 м2 поверхности воздуховодов</v>
          </cell>
          <cell r="I2664">
            <v>0.443</v>
          </cell>
          <cell r="P2664">
            <v>221.13</v>
          </cell>
          <cell r="Q2664">
            <v>64.41</v>
          </cell>
          <cell r="R2664">
            <v>12.18</v>
          </cell>
          <cell r="S2664">
            <v>1259.94</v>
          </cell>
          <cell r="U2664">
            <v>66.648021</v>
          </cell>
          <cell r="X2664">
            <v>1574.93</v>
          </cell>
          <cell r="Y2664">
            <v>1184.3399999999999</v>
          </cell>
          <cell r="AL2664">
            <v>499.17</v>
          </cell>
          <cell r="AM2664">
            <v>125.93</v>
          </cell>
          <cell r="AN2664">
            <v>15.43</v>
          </cell>
          <cell r="AO2664">
            <v>1596.12</v>
          </cell>
          <cell r="AQ2664">
            <v>141</v>
          </cell>
          <cell r="DD2664"/>
          <cell r="DE2664"/>
          <cell r="DG2664" t="str">
            <v>)*1,67</v>
          </cell>
          <cell r="DI2664"/>
        </row>
        <row r="2665">
          <cell r="P2665">
            <v>791.65</v>
          </cell>
          <cell r="Q2665">
            <v>615.25</v>
          </cell>
          <cell r="R2665">
            <v>291.58999999999997</v>
          </cell>
          <cell r="S2665">
            <v>30162.959999999999</v>
          </cell>
          <cell r="X2665">
            <v>30162.959999999999</v>
          </cell>
          <cell r="Y2665">
            <v>13573.33</v>
          </cell>
          <cell r="AV2665">
            <v>1.0669999999999999</v>
          </cell>
          <cell r="AW2665">
            <v>1</v>
          </cell>
          <cell r="BA2665">
            <v>23.94</v>
          </cell>
          <cell r="BB2665">
            <v>8.3699999999999992</v>
          </cell>
          <cell r="BC2665">
            <v>3.58</v>
          </cell>
          <cell r="BS2665">
            <v>23.94</v>
          </cell>
          <cell r="BZ2665">
            <v>100</v>
          </cell>
          <cell r="CA2665">
            <v>45</v>
          </cell>
          <cell r="DN2665">
            <v>125</v>
          </cell>
          <cell r="DO2665">
            <v>94</v>
          </cell>
        </row>
        <row r="2666">
          <cell r="E2666" t="str">
            <v>434,1</v>
          </cell>
          <cell r="F2666" t="str">
            <v>1.19-3-12</v>
          </cell>
          <cell r="H2666" t="str">
            <v>м2</v>
          </cell>
          <cell r="I2666">
            <v>44.3</v>
          </cell>
          <cell r="O2666">
            <v>5565.85</v>
          </cell>
          <cell r="R2666">
            <v>0</v>
          </cell>
          <cell r="X2666">
            <v>0</v>
          </cell>
          <cell r="Y2666">
            <v>0</v>
          </cell>
          <cell r="AK2666">
            <v>125.64</v>
          </cell>
        </row>
        <row r="2667">
          <cell r="O2667">
            <v>21372.86</v>
          </cell>
          <cell r="R2667">
            <v>0</v>
          </cell>
          <cell r="X2667">
            <v>0</v>
          </cell>
          <cell r="Y2667">
            <v>0</v>
          </cell>
          <cell r="AW2667">
            <v>1</v>
          </cell>
          <cell r="BC2667">
            <v>3.84</v>
          </cell>
        </row>
        <row r="2672">
          <cell r="E2672" t="str">
            <v>436</v>
          </cell>
          <cell r="F2672" t="str">
            <v>3.20-1-6</v>
          </cell>
          <cell r="H2672" t="str">
            <v>100 м2 поверхности воздуховодов</v>
          </cell>
          <cell r="I2672">
            <v>0.12570000000000001</v>
          </cell>
          <cell r="P2672">
            <v>52.47</v>
          </cell>
          <cell r="Q2672">
            <v>16.93</v>
          </cell>
          <cell r="R2672">
            <v>3.2</v>
          </cell>
          <cell r="S2672">
            <v>309.33</v>
          </cell>
          <cell r="U2672">
            <v>16.362871800000001</v>
          </cell>
          <cell r="X2672">
            <v>386.66</v>
          </cell>
          <cell r="Y2672">
            <v>290.77</v>
          </cell>
          <cell r="AL2672">
            <v>417.44</v>
          </cell>
          <cell r="AM2672">
            <v>116.7</v>
          </cell>
          <cell r="AN2672">
            <v>14.29</v>
          </cell>
          <cell r="AO2672">
            <v>1381.04</v>
          </cell>
          <cell r="AQ2672">
            <v>122</v>
          </cell>
          <cell r="DD2672"/>
          <cell r="DE2672"/>
          <cell r="DG2672" t="str">
            <v>)*1,67</v>
          </cell>
          <cell r="DI2672"/>
        </row>
        <row r="2673">
          <cell r="P2673">
            <v>183.65</v>
          </cell>
          <cell r="Q2673">
            <v>161.63</v>
          </cell>
          <cell r="R2673">
            <v>76.61</v>
          </cell>
          <cell r="S2673">
            <v>7405.36</v>
          </cell>
          <cell r="X2673">
            <v>7405.36</v>
          </cell>
          <cell r="Y2673">
            <v>3332.41</v>
          </cell>
          <cell r="AV2673">
            <v>1.0669999999999999</v>
          </cell>
          <cell r="AW2673">
            <v>1</v>
          </cell>
          <cell r="BA2673">
            <v>23.94</v>
          </cell>
          <cell r="BB2673">
            <v>8.3699999999999992</v>
          </cell>
          <cell r="BC2673">
            <v>3.5</v>
          </cell>
          <cell r="BS2673">
            <v>23.94</v>
          </cell>
          <cell r="BZ2673">
            <v>100</v>
          </cell>
          <cell r="CA2673">
            <v>45</v>
          </cell>
          <cell r="DN2673">
            <v>125</v>
          </cell>
          <cell r="DO2673">
            <v>94</v>
          </cell>
        </row>
        <row r="2674">
          <cell r="E2674" t="str">
            <v>436,1</v>
          </cell>
          <cell r="F2674" t="str">
            <v>1.19-3-6</v>
          </cell>
          <cell r="H2674" t="str">
            <v>м2</v>
          </cell>
          <cell r="I2674">
            <v>12.57</v>
          </cell>
          <cell r="O2674">
            <v>1961.55</v>
          </cell>
          <cell r="R2674">
            <v>0</v>
          </cell>
          <cell r="X2674">
            <v>0</v>
          </cell>
          <cell r="Y2674">
            <v>0</v>
          </cell>
          <cell r="AK2674">
            <v>156.05000000000001</v>
          </cell>
        </row>
        <row r="2675">
          <cell r="O2675">
            <v>4884.26</v>
          </cell>
          <cell r="R2675">
            <v>0</v>
          </cell>
          <cell r="X2675">
            <v>0</v>
          </cell>
          <cell r="Y2675">
            <v>0</v>
          </cell>
          <cell r="AW2675">
            <v>1</v>
          </cell>
          <cell r="BC2675">
            <v>2.4900000000000002</v>
          </cell>
        </row>
        <row r="2690">
          <cell r="E2690" t="str">
            <v>442</v>
          </cell>
          <cell r="F2690" t="str">
            <v>3.20-1-11</v>
          </cell>
          <cell r="H2690" t="str">
            <v>100 м2 поверхности воздуховодов</v>
          </cell>
          <cell r="I2690">
            <v>0.34749999999999998</v>
          </cell>
          <cell r="P2690">
            <v>142.37</v>
          </cell>
          <cell r="Q2690">
            <v>35.090000000000003</v>
          </cell>
          <cell r="R2690">
            <v>6.62</v>
          </cell>
          <cell r="S2690">
            <v>643.47</v>
          </cell>
          <cell r="U2690">
            <v>34.037833499999998</v>
          </cell>
          <cell r="X2690">
            <v>804.34</v>
          </cell>
          <cell r="Y2690">
            <v>604.86</v>
          </cell>
          <cell r="AL2690">
            <v>409.71</v>
          </cell>
          <cell r="AM2690">
            <v>87.46</v>
          </cell>
          <cell r="AN2690">
            <v>10.69</v>
          </cell>
          <cell r="AO2690">
            <v>1039.18</v>
          </cell>
          <cell r="AQ2690">
            <v>91.8</v>
          </cell>
          <cell r="DD2690"/>
          <cell r="DE2690"/>
          <cell r="DG2690" t="str">
            <v>)*1,67</v>
          </cell>
          <cell r="DI2690"/>
        </row>
        <row r="2691">
          <cell r="P2691">
            <v>459.86</v>
          </cell>
          <cell r="Q2691">
            <v>335.44</v>
          </cell>
          <cell r="R2691">
            <v>158.47999999999999</v>
          </cell>
          <cell r="S2691">
            <v>15404.67</v>
          </cell>
          <cell r="X2691">
            <v>15404.67</v>
          </cell>
          <cell r="Y2691">
            <v>6932.1</v>
          </cell>
          <cell r="AV2691">
            <v>1.0669999999999999</v>
          </cell>
          <cell r="AW2691">
            <v>1</v>
          </cell>
          <cell r="BA2691">
            <v>23.94</v>
          </cell>
          <cell r="BB2691">
            <v>8.3800000000000008</v>
          </cell>
          <cell r="BC2691">
            <v>3.23</v>
          </cell>
          <cell r="BS2691">
            <v>23.94</v>
          </cell>
          <cell r="BZ2691">
            <v>100</v>
          </cell>
          <cell r="CA2691">
            <v>45</v>
          </cell>
          <cell r="DN2691">
            <v>125</v>
          </cell>
          <cell r="DO2691">
            <v>94</v>
          </cell>
        </row>
        <row r="2692">
          <cell r="E2692" t="str">
            <v>442,1</v>
          </cell>
          <cell r="F2692" t="str">
            <v>1.19-3-13</v>
          </cell>
          <cell r="H2692" t="str">
            <v>м2</v>
          </cell>
          <cell r="I2692">
            <v>34.75</v>
          </cell>
          <cell r="O2692">
            <v>5474.52</v>
          </cell>
          <cell r="R2692">
            <v>0</v>
          </cell>
          <cell r="X2692">
            <v>0</v>
          </cell>
          <cell r="Y2692">
            <v>0</v>
          </cell>
          <cell r="AK2692">
            <v>157.54</v>
          </cell>
        </row>
        <row r="2693">
          <cell r="O2693">
            <v>16806.78</v>
          </cell>
          <cell r="R2693">
            <v>0</v>
          </cell>
          <cell r="X2693">
            <v>0</v>
          </cell>
          <cell r="Y2693">
            <v>0</v>
          </cell>
          <cell r="AW2693">
            <v>1</v>
          </cell>
          <cell r="BC2693">
            <v>3.07</v>
          </cell>
        </row>
        <row r="2841">
          <cell r="G2841" t="str">
            <v>Дополнительные материалы и оборудование</v>
          </cell>
        </row>
        <row r="2870">
          <cell r="G2870" t="str">
            <v>Вентиляция</v>
          </cell>
        </row>
        <row r="2899">
          <cell r="G2899" t="str">
            <v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    </cell>
        </row>
        <row r="2905">
          <cell r="F2905">
            <v>34099.199999999997</v>
          </cell>
          <cell r="H2905" t="str">
            <v>Стоимость материалов (всего)</v>
          </cell>
          <cell r="P2905">
            <v>99725.64</v>
          </cell>
        </row>
        <row r="2913">
          <cell r="F2913">
            <v>25.01</v>
          </cell>
          <cell r="H2913" t="str">
            <v>ЗП машинистов</v>
          </cell>
          <cell r="P2913">
            <v>598.74</v>
          </cell>
        </row>
        <row r="2914">
          <cell r="F2914">
            <v>2480.5</v>
          </cell>
          <cell r="H2914" t="str">
            <v>Основная ЗП рабочих</v>
          </cell>
          <cell r="P2914">
            <v>59383.16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 м"/>
      <sheetName val="ТрМ. "/>
      <sheetName val="вск1"/>
      <sheetName val="вск1 (2)"/>
      <sheetName val="сод"/>
      <sheetName val="П.з "/>
      <sheetName val="C.с"/>
      <sheetName val="C.сМ"/>
      <sheetName val="C.сП"/>
      <sheetName val="C.с (3)"/>
      <sheetName val="зим"/>
      <sheetName val="вр"/>
      <sheetName val="Тр.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">
          <cell r="B1" t="str">
            <v>Smeta.RU  (495) 974-1589</v>
          </cell>
        </row>
        <row r="30">
          <cell r="E30" t="str">
            <v>2</v>
          </cell>
          <cell r="F30" t="str">
            <v>4.8-83-8</v>
          </cell>
          <cell r="H30" t="str">
            <v>100 шт.</v>
          </cell>
          <cell r="I30">
            <v>1.65</v>
          </cell>
          <cell r="P30">
            <v>3.93</v>
          </cell>
          <cell r="Q30">
            <v>47.38</v>
          </cell>
          <cell r="R30">
            <v>15.9</v>
          </cell>
          <cell r="S30">
            <v>76.08</v>
          </cell>
          <cell r="U30">
            <v>3.6947129999999997</v>
          </cell>
          <cell r="X30">
            <v>85.21</v>
          </cell>
          <cell r="Y30">
            <v>53.26</v>
          </cell>
          <cell r="AL30">
            <v>2.38</v>
          </cell>
          <cell r="AM30">
            <v>22.86</v>
          </cell>
          <cell r="AN30">
            <v>5.31</v>
          </cell>
          <cell r="AO30">
            <v>25.4</v>
          </cell>
          <cell r="AQ30">
            <v>2.06</v>
          </cell>
          <cell r="DD30"/>
          <cell r="DE30"/>
          <cell r="DG30" t="str">
            <v>)*1,67</v>
          </cell>
          <cell r="DI30"/>
        </row>
        <row r="31">
          <cell r="P31">
            <v>21.85</v>
          </cell>
          <cell r="Q31">
            <v>549.21</v>
          </cell>
          <cell r="R31">
            <v>380.65</v>
          </cell>
          <cell r="S31">
            <v>1821.36</v>
          </cell>
          <cell r="X31">
            <v>1639.22</v>
          </cell>
          <cell r="Y31">
            <v>783.18</v>
          </cell>
          <cell r="AV31">
            <v>1.087</v>
          </cell>
          <cell r="AW31">
            <v>1</v>
          </cell>
          <cell r="BA31">
            <v>23.94</v>
          </cell>
          <cell r="BB31">
            <v>9.67</v>
          </cell>
          <cell r="BC31">
            <v>5.56</v>
          </cell>
          <cell r="BS31">
            <v>23.94</v>
          </cell>
          <cell r="BZ31">
            <v>90</v>
          </cell>
          <cell r="CA31">
            <v>43</v>
          </cell>
          <cell r="DN31">
            <v>112</v>
          </cell>
          <cell r="DO31">
            <v>70</v>
          </cell>
        </row>
        <row r="32">
          <cell r="E32" t="str">
            <v>3</v>
          </cell>
          <cell r="F32" t="str">
            <v>4.8-83-7</v>
          </cell>
          <cell r="H32" t="str">
            <v>100 шт.</v>
          </cell>
          <cell r="I32">
            <v>6.28</v>
          </cell>
          <cell r="P32">
            <v>7.47</v>
          </cell>
          <cell r="Q32">
            <v>66.83</v>
          </cell>
          <cell r="R32">
            <v>22.46</v>
          </cell>
          <cell r="S32">
            <v>289.56</v>
          </cell>
          <cell r="U32">
            <v>14.0623016</v>
          </cell>
          <cell r="X32">
            <v>324.31</v>
          </cell>
          <cell r="Y32">
            <v>202.69</v>
          </cell>
          <cell r="AL32">
            <v>1.19</v>
          </cell>
          <cell r="AM32">
            <v>8.4700000000000006</v>
          </cell>
          <cell r="AN32">
            <v>1.97</v>
          </cell>
          <cell r="AO32">
            <v>25.4</v>
          </cell>
          <cell r="AQ32">
            <v>2.06</v>
          </cell>
          <cell r="DD32"/>
          <cell r="DE32"/>
          <cell r="DG32" t="str">
            <v>)*1,67</v>
          </cell>
          <cell r="DI32"/>
        </row>
        <row r="33">
          <cell r="P33">
            <v>41.53</v>
          </cell>
          <cell r="Q33">
            <v>774.81999999999994</v>
          </cell>
          <cell r="R33">
            <v>537.69000000000005</v>
          </cell>
          <cell r="S33">
            <v>6932.07</v>
          </cell>
          <cell r="X33">
            <v>6238.86</v>
          </cell>
          <cell r="Y33">
            <v>2980.79</v>
          </cell>
          <cell r="AV33">
            <v>1.087</v>
          </cell>
          <cell r="AW33">
            <v>1</v>
          </cell>
          <cell r="BA33">
            <v>23.94</v>
          </cell>
          <cell r="BB33">
            <v>9.67</v>
          </cell>
          <cell r="BC33">
            <v>5.56</v>
          </cell>
          <cell r="BS33">
            <v>23.94</v>
          </cell>
          <cell r="BZ33">
            <v>90</v>
          </cell>
          <cell r="CA33">
            <v>43</v>
          </cell>
          <cell r="DN33">
            <v>112</v>
          </cell>
          <cell r="DO33">
            <v>70</v>
          </cell>
        </row>
        <row r="34">
          <cell r="E34" t="str">
            <v>4</v>
          </cell>
          <cell r="F34" t="str">
            <v>4.8-83-4</v>
          </cell>
          <cell r="H34" t="str">
            <v>100 шт.</v>
          </cell>
          <cell r="I34">
            <v>2.0499999999999998</v>
          </cell>
          <cell r="P34">
            <v>268.35000000000002</v>
          </cell>
          <cell r="Q34">
            <v>1994.17</v>
          </cell>
          <cell r="R34">
            <v>216.55</v>
          </cell>
          <cell r="S34">
            <v>1133.3399999999999</v>
          </cell>
          <cell r="U34">
            <v>55.040244999999992</v>
          </cell>
          <cell r="X34">
            <v>1269.3399999999999</v>
          </cell>
          <cell r="Y34">
            <v>793.34</v>
          </cell>
          <cell r="AL34">
            <v>130.9</v>
          </cell>
          <cell r="AM34">
            <v>855.92</v>
          </cell>
          <cell r="AN34">
            <v>58.19</v>
          </cell>
          <cell r="AO34">
            <v>304.55</v>
          </cell>
          <cell r="AQ34">
            <v>24.7</v>
          </cell>
          <cell r="DD34"/>
          <cell r="DE34"/>
          <cell r="DG34" t="str">
            <v>)*1,67</v>
          </cell>
          <cell r="DI34"/>
        </row>
        <row r="35">
          <cell r="P35">
            <v>1492.03</v>
          </cell>
          <cell r="Q35">
            <v>14687.1</v>
          </cell>
          <cell r="R35">
            <v>5184.21</v>
          </cell>
          <cell r="S35">
            <v>27132.16</v>
          </cell>
          <cell r="X35">
            <v>24418.94</v>
          </cell>
          <cell r="Y35">
            <v>11666.83</v>
          </cell>
          <cell r="AV35">
            <v>1.087</v>
          </cell>
          <cell r="AW35">
            <v>1</v>
          </cell>
          <cell r="BA35">
            <v>23.94</v>
          </cell>
          <cell r="BB35">
            <v>6.61</v>
          </cell>
          <cell r="BC35">
            <v>5.56</v>
          </cell>
          <cell r="BS35">
            <v>23.94</v>
          </cell>
          <cell r="BZ35">
            <v>90</v>
          </cell>
          <cell r="CA35">
            <v>43</v>
          </cell>
          <cell r="DN35">
            <v>112</v>
          </cell>
          <cell r="DO35">
            <v>70</v>
          </cell>
        </row>
        <row r="42">
          <cell r="F42" t="str">
            <v>1.7-5-154</v>
          </cell>
          <cell r="H42" t="str">
            <v>шт.</v>
          </cell>
          <cell r="I42">
            <v>1640</v>
          </cell>
          <cell r="P42">
            <v>38458</v>
          </cell>
          <cell r="R42">
            <v>0</v>
          </cell>
          <cell r="X42">
            <v>0</v>
          </cell>
          <cell r="Y42">
            <v>0</v>
          </cell>
          <cell r="AL42">
            <v>23.45</v>
          </cell>
          <cell r="DD42"/>
        </row>
        <row r="43">
          <cell r="P43">
            <v>223825.56</v>
          </cell>
          <cell r="R43">
            <v>0</v>
          </cell>
          <cell r="X43">
            <v>0</v>
          </cell>
          <cell r="Y43">
            <v>0</v>
          </cell>
          <cell r="AW43">
            <v>1</v>
          </cell>
          <cell r="BC43">
            <v>5.82</v>
          </cell>
        </row>
        <row r="44">
          <cell r="F44" t="str">
            <v>4.8-160-1</v>
          </cell>
          <cell r="H44" t="str">
            <v>100 шт.</v>
          </cell>
          <cell r="I44">
            <v>0.03</v>
          </cell>
          <cell r="P44">
            <v>24.78</v>
          </cell>
          <cell r="Q44">
            <v>17.009999999999998</v>
          </cell>
          <cell r="R44">
            <v>4.55</v>
          </cell>
          <cell r="S44">
            <v>6</v>
          </cell>
          <cell r="U44">
            <v>0.29117069999999995</v>
          </cell>
          <cell r="X44">
            <v>6.72</v>
          </cell>
          <cell r="Y44">
            <v>4.2</v>
          </cell>
          <cell r="AL44">
            <v>826</v>
          </cell>
          <cell r="AM44">
            <v>483.15</v>
          </cell>
          <cell r="AN44">
            <v>86.8</v>
          </cell>
          <cell r="AO44">
            <v>114.3</v>
          </cell>
          <cell r="AQ44">
            <v>9.27</v>
          </cell>
          <cell r="DD44"/>
          <cell r="DE44"/>
          <cell r="DG44" t="str">
            <v>)*1,67</v>
          </cell>
          <cell r="DI44"/>
        </row>
        <row r="45">
          <cell r="P45">
            <v>137.78</v>
          </cell>
          <cell r="Q45">
            <v>175.72</v>
          </cell>
          <cell r="R45">
            <v>108.93</v>
          </cell>
          <cell r="S45">
            <v>143.63999999999999</v>
          </cell>
          <cell r="X45">
            <v>129.28</v>
          </cell>
          <cell r="Y45">
            <v>61.77</v>
          </cell>
          <cell r="AV45">
            <v>1.0469999999999999</v>
          </cell>
          <cell r="AW45">
            <v>1</v>
          </cell>
          <cell r="BA45">
            <v>23.94</v>
          </cell>
          <cell r="BB45">
            <v>8.69</v>
          </cell>
          <cell r="BC45">
            <v>5.56</v>
          </cell>
          <cell r="BS45">
            <v>23.94</v>
          </cell>
          <cell r="BZ45">
            <v>90</v>
          </cell>
          <cell r="CA45">
            <v>43</v>
          </cell>
          <cell r="DN45">
            <v>112</v>
          </cell>
          <cell r="DO45">
            <v>70</v>
          </cell>
        </row>
        <row r="50">
          <cell r="F50" t="str">
            <v>4.8-187-7</v>
          </cell>
          <cell r="H50" t="str">
            <v>100 м</v>
          </cell>
          <cell r="I50">
            <v>3.27</v>
          </cell>
          <cell r="P50">
            <v>1494.54</v>
          </cell>
          <cell r="Q50">
            <v>535.79999999999995</v>
          </cell>
          <cell r="R50">
            <v>71.61</v>
          </cell>
          <cell r="S50">
            <v>1329.09</v>
          </cell>
          <cell r="U50">
            <v>64.548164999999997</v>
          </cell>
          <cell r="X50">
            <v>1488.58</v>
          </cell>
          <cell r="Y50">
            <v>930.36</v>
          </cell>
          <cell r="AL50">
            <v>422.8</v>
          </cell>
          <cell r="AM50">
            <v>145.33000000000001</v>
          </cell>
          <cell r="AN50">
            <v>12.29</v>
          </cell>
          <cell r="AO50">
            <v>228.1</v>
          </cell>
          <cell r="AQ50">
            <v>18.5</v>
          </cell>
          <cell r="DD50"/>
          <cell r="DE50"/>
          <cell r="DG50" t="str">
            <v>)*1,67</v>
          </cell>
          <cell r="DI50"/>
        </row>
        <row r="51">
          <cell r="P51">
            <v>8309.64</v>
          </cell>
          <cell r="Q51">
            <v>4196.72</v>
          </cell>
          <cell r="R51">
            <v>1714.34</v>
          </cell>
          <cell r="S51">
            <v>31818.41</v>
          </cell>
          <cell r="X51">
            <v>28636.57</v>
          </cell>
          <cell r="Y51">
            <v>13681.92</v>
          </cell>
          <cell r="AV51">
            <v>1.0669999999999999</v>
          </cell>
          <cell r="AW51">
            <v>1.081</v>
          </cell>
          <cell r="BA51">
            <v>23.94</v>
          </cell>
          <cell r="BB51">
            <v>6.92</v>
          </cell>
          <cell r="BC51">
            <v>5.56</v>
          </cell>
          <cell r="BS51">
            <v>23.94</v>
          </cell>
          <cell r="BZ51">
            <v>90</v>
          </cell>
          <cell r="CA51">
            <v>43</v>
          </cell>
          <cell r="DN51">
            <v>112</v>
          </cell>
          <cell r="DO51">
            <v>70</v>
          </cell>
        </row>
        <row r="54">
          <cell r="F54" t="str">
            <v>4.8-170-3</v>
          </cell>
          <cell r="H54" t="str">
            <v>100 м</v>
          </cell>
          <cell r="I54">
            <v>0.05</v>
          </cell>
          <cell r="P54">
            <v>8.3000000000000007</v>
          </cell>
          <cell r="Q54">
            <v>17.329999999999998</v>
          </cell>
          <cell r="R54">
            <v>2.72</v>
          </cell>
          <cell r="S54">
            <v>44.41</v>
          </cell>
          <cell r="U54">
            <v>2.1568200000000002</v>
          </cell>
          <cell r="X54">
            <v>49.74</v>
          </cell>
          <cell r="Y54">
            <v>31.09</v>
          </cell>
          <cell r="AL54">
            <v>165.9</v>
          </cell>
          <cell r="AM54">
            <v>310.27</v>
          </cell>
          <cell r="AN54">
            <v>31.14</v>
          </cell>
          <cell r="AO54">
            <v>508</v>
          </cell>
          <cell r="AQ54">
            <v>41.2</v>
          </cell>
          <cell r="DD54"/>
          <cell r="DE54"/>
          <cell r="DG54" t="str">
            <v>)*1,67</v>
          </cell>
          <cell r="DI54"/>
        </row>
        <row r="55">
          <cell r="P55">
            <v>46.15</v>
          </cell>
          <cell r="Q55">
            <v>143.34</v>
          </cell>
          <cell r="R55">
            <v>65.12</v>
          </cell>
          <cell r="S55">
            <v>1063.18</v>
          </cell>
          <cell r="X55">
            <v>956.86</v>
          </cell>
          <cell r="Y55">
            <v>457.17</v>
          </cell>
          <cell r="AV55">
            <v>1.0469999999999999</v>
          </cell>
          <cell r="AW55">
            <v>1</v>
          </cell>
          <cell r="BA55">
            <v>23.94</v>
          </cell>
          <cell r="BB55">
            <v>7.22</v>
          </cell>
          <cell r="BC55">
            <v>5.56</v>
          </cell>
          <cell r="BS55">
            <v>23.94</v>
          </cell>
          <cell r="BZ55">
            <v>90</v>
          </cell>
          <cell r="CA55">
            <v>43</v>
          </cell>
          <cell r="DN55">
            <v>112</v>
          </cell>
          <cell r="DO55">
            <v>70</v>
          </cell>
        </row>
        <row r="67">
          <cell r="G67" t="str">
            <v>Материалы, не учтенные в цене монтажа</v>
          </cell>
        </row>
        <row r="81">
          <cell r="F81" t="str">
            <v>МКЭ-33-883/8-3 от 16.07.2018</v>
          </cell>
          <cell r="H81" t="str">
            <v>шт.</v>
          </cell>
          <cell r="I81">
            <v>797</v>
          </cell>
          <cell r="R81">
            <v>0</v>
          </cell>
          <cell r="X81">
            <v>0</v>
          </cell>
          <cell r="Y81">
            <v>0</v>
          </cell>
          <cell r="AL81">
            <v>1.4562043795620438</v>
          </cell>
          <cell r="DD81" t="str">
            <v>*1,02</v>
          </cell>
        </row>
        <row r="82">
          <cell r="R82">
            <v>0</v>
          </cell>
          <cell r="X82">
            <v>0</v>
          </cell>
          <cell r="Y82">
            <v>0</v>
          </cell>
          <cell r="AW82">
            <v>1</v>
          </cell>
          <cell r="BC82">
            <v>5.48</v>
          </cell>
        </row>
        <row r="83">
          <cell r="F83" t="str">
            <v>1.21-5-141</v>
          </cell>
          <cell r="H83" t="str">
            <v>1000 шт.</v>
          </cell>
          <cell r="I83">
            <v>0.16500000000000001</v>
          </cell>
          <cell r="P83">
            <v>4543.91</v>
          </cell>
          <cell r="R83">
            <v>0</v>
          </cell>
          <cell r="X83">
            <v>0</v>
          </cell>
          <cell r="Y83">
            <v>0</v>
          </cell>
          <cell r="AL83">
            <v>27538.87</v>
          </cell>
          <cell r="DD83"/>
        </row>
        <row r="84">
          <cell r="P84">
            <v>9542.2099999999991</v>
          </cell>
          <cell r="R84">
            <v>0</v>
          </cell>
          <cell r="X84">
            <v>0</v>
          </cell>
          <cell r="Y84">
            <v>0</v>
          </cell>
          <cell r="AW84">
            <v>1</v>
          </cell>
          <cell r="BC84">
            <v>2.1</v>
          </cell>
        </row>
        <row r="85">
          <cell r="F85" t="str">
            <v>1.21-5-139</v>
          </cell>
          <cell r="H85" t="str">
            <v>1000 шт.</v>
          </cell>
          <cell r="I85">
            <v>0.218</v>
          </cell>
          <cell r="P85">
            <v>3147.06</v>
          </cell>
          <cell r="R85">
            <v>0</v>
          </cell>
          <cell r="X85">
            <v>0</v>
          </cell>
          <cell r="Y85">
            <v>0</v>
          </cell>
          <cell r="AL85">
            <v>14436.05</v>
          </cell>
          <cell r="DD85"/>
        </row>
        <row r="86">
          <cell r="P86">
            <v>6388.53</v>
          </cell>
          <cell r="R86">
            <v>0</v>
          </cell>
          <cell r="X86">
            <v>0</v>
          </cell>
          <cell r="Y86">
            <v>0</v>
          </cell>
          <cell r="AW86">
            <v>1</v>
          </cell>
          <cell r="BC86">
            <v>2.0299999999999998</v>
          </cell>
        </row>
        <row r="87">
          <cell r="F87" t="str">
            <v>1.21-5-142</v>
          </cell>
          <cell r="H87" t="str">
            <v>1000 шт.</v>
          </cell>
          <cell r="I87">
            <v>0.20499999999999999</v>
          </cell>
          <cell r="P87">
            <v>2047.66</v>
          </cell>
          <cell r="R87">
            <v>0</v>
          </cell>
          <cell r="X87">
            <v>0</v>
          </cell>
          <cell r="Y87">
            <v>0</v>
          </cell>
          <cell r="AL87">
            <v>9988.57</v>
          </cell>
          <cell r="DD87"/>
        </row>
        <row r="88">
          <cell r="P88">
            <v>10033.530000000001</v>
          </cell>
          <cell r="R88">
            <v>0</v>
          </cell>
          <cell r="X88">
            <v>0</v>
          </cell>
          <cell r="Y88">
            <v>0</v>
          </cell>
          <cell r="AW88">
            <v>1</v>
          </cell>
          <cell r="BC88">
            <v>4.9000000000000004</v>
          </cell>
        </row>
        <row r="91">
          <cell r="F91" t="str">
            <v>1.21-5-1369</v>
          </cell>
          <cell r="H91" t="str">
            <v>шт.</v>
          </cell>
          <cell r="I91">
            <v>410</v>
          </cell>
          <cell r="P91">
            <v>848.7</v>
          </cell>
          <cell r="R91">
            <v>0</v>
          </cell>
          <cell r="X91">
            <v>0</v>
          </cell>
          <cell r="Y91">
            <v>0</v>
          </cell>
          <cell r="AL91">
            <v>2.0699999999999998</v>
          </cell>
          <cell r="DD91"/>
        </row>
        <row r="92">
          <cell r="P92">
            <v>4905.49</v>
          </cell>
          <cell r="R92">
            <v>0</v>
          </cell>
          <cell r="X92">
            <v>0</v>
          </cell>
          <cell r="Y92">
            <v>0</v>
          </cell>
          <cell r="AW92">
            <v>1</v>
          </cell>
          <cell r="BC92">
            <v>5.78</v>
          </cell>
        </row>
        <row r="105">
          <cell r="F105" t="str">
            <v>МКЭ-33-1761/7-1 от 21.09.2017</v>
          </cell>
          <cell r="H105" t="str">
            <v>ШТ</v>
          </cell>
          <cell r="I105">
            <v>3</v>
          </cell>
          <cell r="R105">
            <v>0</v>
          </cell>
          <cell r="X105">
            <v>0</v>
          </cell>
          <cell r="Y105">
            <v>0</v>
          </cell>
          <cell r="AL105">
            <v>84.054744525547449</v>
          </cell>
          <cell r="DD105" t="str">
            <v>*1,02</v>
          </cell>
        </row>
        <row r="106">
          <cell r="R106">
            <v>0</v>
          </cell>
          <cell r="X106">
            <v>0</v>
          </cell>
          <cell r="Y106">
            <v>0</v>
          </cell>
          <cell r="AW106">
            <v>1</v>
          </cell>
          <cell r="BC106">
            <v>5.48</v>
          </cell>
        </row>
        <row r="109">
          <cell r="F109" t="str">
            <v>1.12-6-112</v>
          </cell>
          <cell r="H109" t="str">
            <v>м</v>
          </cell>
          <cell r="I109">
            <v>5</v>
          </cell>
          <cell r="P109">
            <v>189.35</v>
          </cell>
          <cell r="R109">
            <v>0</v>
          </cell>
          <cell r="X109">
            <v>0</v>
          </cell>
          <cell r="Y109">
            <v>0</v>
          </cell>
          <cell r="AL109">
            <v>37.869999999999997</v>
          </cell>
          <cell r="DD109"/>
        </row>
        <row r="110">
          <cell r="P110">
            <v>1596.22</v>
          </cell>
          <cell r="R110">
            <v>0</v>
          </cell>
          <cell r="X110">
            <v>0</v>
          </cell>
          <cell r="Y110">
            <v>0</v>
          </cell>
          <cell r="AW110">
            <v>1</v>
          </cell>
          <cell r="BC110">
            <v>8.43</v>
          </cell>
        </row>
        <row r="115">
          <cell r="F115" t="str">
            <v>1.7-5-272</v>
          </cell>
          <cell r="H115" t="str">
            <v>100 шт.</v>
          </cell>
          <cell r="I115">
            <v>7.25</v>
          </cell>
          <cell r="P115">
            <v>3582.01</v>
          </cell>
          <cell r="R115">
            <v>0</v>
          </cell>
          <cell r="X115">
            <v>0</v>
          </cell>
          <cell r="Y115">
            <v>0</v>
          </cell>
          <cell r="AL115">
            <v>494.07</v>
          </cell>
          <cell r="DD115"/>
        </row>
        <row r="116">
          <cell r="P116">
            <v>18841.37</v>
          </cell>
          <cell r="R116">
            <v>0</v>
          </cell>
          <cell r="X116">
            <v>0</v>
          </cell>
          <cell r="Y116">
            <v>0</v>
          </cell>
          <cell r="AW116">
            <v>1</v>
          </cell>
          <cell r="BC116">
            <v>5.26</v>
          </cell>
        </row>
        <row r="132">
          <cell r="G132" t="str">
            <v>Материалы, не учтенные в цене монтажа</v>
          </cell>
        </row>
        <row r="161">
          <cell r="G161" t="str">
            <v>Станционный комплекс  "Аминьевское шоссе". Вестибюль №2, камера съездов, ТПП. Внутренние инженерные системы (не включая ТПП). Электрооборудование. Кабельные конструкции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6">
          <cell r="G26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  <row r="108">
          <cell r="E108" t="str">
            <v>35</v>
          </cell>
          <cell r="F108" t="str">
            <v>3.16-10-5</v>
          </cell>
          <cell r="H108" t="str">
            <v>100 м трубопровода</v>
          </cell>
          <cell r="I108">
            <v>0.6</v>
          </cell>
          <cell r="P108">
            <v>30.95</v>
          </cell>
          <cell r="Q108">
            <v>152.96</v>
          </cell>
          <cell r="R108">
            <v>33.18</v>
          </cell>
          <cell r="S108">
            <v>968.12</v>
          </cell>
          <cell r="U108">
            <v>46.414499999999997</v>
          </cell>
          <cell r="X108">
            <v>1210.1500000000001</v>
          </cell>
          <cell r="Y108">
            <v>910.03</v>
          </cell>
          <cell r="AL108">
            <v>51.59</v>
          </cell>
          <cell r="AM108">
            <v>218.14</v>
          </cell>
          <cell r="AN108">
            <v>31.03</v>
          </cell>
          <cell r="AO108">
            <v>905.52</v>
          </cell>
          <cell r="AQ108">
            <v>72.5</v>
          </cell>
          <cell r="DD108"/>
          <cell r="DE108"/>
          <cell r="DG108" t="str">
            <v>)*1,67</v>
          </cell>
          <cell r="DI108"/>
        </row>
        <row r="109">
          <cell r="P109">
            <v>171.49</v>
          </cell>
          <cell r="Q109">
            <v>1434.47</v>
          </cell>
          <cell r="R109">
            <v>794.21</v>
          </cell>
          <cell r="S109">
            <v>23176.85</v>
          </cell>
          <cell r="X109">
            <v>23176.85</v>
          </cell>
          <cell r="Y109">
            <v>10429.58</v>
          </cell>
          <cell r="AV109">
            <v>1.0669999999999999</v>
          </cell>
          <cell r="AW109">
            <v>1</v>
          </cell>
          <cell r="BA109">
            <v>23.94</v>
          </cell>
          <cell r="BB109">
            <v>7.99</v>
          </cell>
          <cell r="BC109">
            <v>5.54</v>
          </cell>
          <cell r="BS109">
            <v>23.94</v>
          </cell>
          <cell r="BZ109">
            <v>100</v>
          </cell>
          <cell r="CA109">
            <v>45</v>
          </cell>
          <cell r="DN109">
            <v>125</v>
          </cell>
          <cell r="DO109">
            <v>94</v>
          </cell>
        </row>
        <row r="110">
          <cell r="E110" t="str">
            <v>36</v>
          </cell>
          <cell r="F110" t="str">
            <v>1.12-7-138</v>
          </cell>
          <cell r="H110" t="str">
            <v>м</v>
          </cell>
          <cell r="I110">
            <v>60</v>
          </cell>
          <cell r="P110">
            <v>77194.2</v>
          </cell>
          <cell r="R110">
            <v>0</v>
          </cell>
          <cell r="X110">
            <v>0</v>
          </cell>
          <cell r="Y110">
            <v>0</v>
          </cell>
          <cell r="AL110">
            <v>1286.57</v>
          </cell>
          <cell r="DD110"/>
        </row>
        <row r="111">
          <cell r="P111">
            <v>248565.32</v>
          </cell>
          <cell r="R111">
            <v>0</v>
          </cell>
          <cell r="X111">
            <v>0</v>
          </cell>
          <cell r="Y111">
            <v>0</v>
          </cell>
          <cell r="AW111">
            <v>1</v>
          </cell>
          <cell r="BC111">
            <v>3.22</v>
          </cell>
        </row>
        <row r="112">
          <cell r="F112" t="str">
            <v>3.16-10-4</v>
          </cell>
          <cell r="H112" t="str">
            <v>100 м трубопровода</v>
          </cell>
          <cell r="I112">
            <v>0.84</v>
          </cell>
          <cell r="P112">
            <v>43.34</v>
          </cell>
          <cell r="Q112">
            <v>214.15</v>
          </cell>
          <cell r="R112">
            <v>46.45</v>
          </cell>
          <cell r="S112">
            <v>1355.37</v>
          </cell>
          <cell r="U112">
            <v>64.9803</v>
          </cell>
          <cell r="X112">
            <v>1694.21</v>
          </cell>
          <cell r="Y112">
            <v>1274.05</v>
          </cell>
          <cell r="AL112">
            <v>51.59</v>
          </cell>
          <cell r="AM112">
            <v>218.14</v>
          </cell>
          <cell r="AN112">
            <v>31.03</v>
          </cell>
          <cell r="AO112">
            <v>905.52</v>
          </cell>
          <cell r="AQ112">
            <v>72.5</v>
          </cell>
          <cell r="DD112"/>
          <cell r="DE112"/>
          <cell r="DG112" t="str">
            <v>)*1,67</v>
          </cell>
          <cell r="DI112"/>
        </row>
        <row r="113">
          <cell r="P113">
            <v>240.08</v>
          </cell>
          <cell r="Q113">
            <v>2008.25</v>
          </cell>
          <cell r="R113">
            <v>1111.9000000000001</v>
          </cell>
          <cell r="S113">
            <v>32447.58</v>
          </cell>
          <cell r="X113">
            <v>32447.58</v>
          </cell>
          <cell r="Y113">
            <v>14601.41</v>
          </cell>
          <cell r="AV113">
            <v>1.0669999999999999</v>
          </cell>
          <cell r="AW113">
            <v>1</v>
          </cell>
          <cell r="BA113">
            <v>23.94</v>
          </cell>
          <cell r="BB113">
            <v>7.99</v>
          </cell>
          <cell r="BC113">
            <v>5.54</v>
          </cell>
          <cell r="BS113">
            <v>23.94</v>
          </cell>
          <cell r="BZ113">
            <v>100</v>
          </cell>
          <cell r="CA113">
            <v>45</v>
          </cell>
          <cell r="DN113">
            <v>125</v>
          </cell>
          <cell r="DO113">
            <v>94</v>
          </cell>
        </row>
        <row r="114">
          <cell r="F114" t="str">
            <v>1.12-7-132</v>
          </cell>
          <cell r="H114" t="str">
            <v>м</v>
          </cell>
          <cell r="I114">
            <v>84</v>
          </cell>
          <cell r="P114">
            <v>69751.08</v>
          </cell>
          <cell r="R114">
            <v>0</v>
          </cell>
          <cell r="X114">
            <v>0</v>
          </cell>
          <cell r="Y114">
            <v>0</v>
          </cell>
          <cell r="AL114">
            <v>830.37</v>
          </cell>
          <cell r="DD114"/>
        </row>
        <row r="115">
          <cell r="P115">
            <v>246221.31</v>
          </cell>
          <cell r="R115">
            <v>0</v>
          </cell>
          <cell r="X115">
            <v>0</v>
          </cell>
          <cell r="Y115">
            <v>0</v>
          </cell>
          <cell r="AW115">
            <v>1</v>
          </cell>
          <cell r="BC115">
            <v>3.53</v>
          </cell>
        </row>
        <row r="144">
          <cell r="F144" t="str">
            <v>3.13-11-6</v>
          </cell>
          <cell r="H144" t="str">
            <v>100 м2</v>
          </cell>
          <cell r="I144">
            <v>0.32</v>
          </cell>
          <cell r="P144">
            <v>12.9</v>
          </cell>
          <cell r="Q144">
            <v>15.99</v>
          </cell>
          <cell r="R144">
            <v>2.48</v>
          </cell>
          <cell r="S144">
            <v>33.83</v>
          </cell>
          <cell r="U144">
            <v>1.7020032</v>
          </cell>
          <cell r="X144">
            <v>35.520000000000003</v>
          </cell>
          <cell r="Y144">
            <v>26.05</v>
          </cell>
          <cell r="AL144">
            <v>20.16</v>
          </cell>
          <cell r="AM144">
            <v>22.38</v>
          </cell>
          <cell r="AN144">
            <v>2.2200000000000002</v>
          </cell>
          <cell r="AO144">
            <v>30.23</v>
          </cell>
          <cell r="AQ144">
            <v>2.54</v>
          </cell>
          <cell r="DD144" t="str">
            <v>)*2</v>
          </cell>
          <cell r="DE144" t="str">
            <v>)*2</v>
          </cell>
          <cell r="DG144" t="str">
            <v>)*1,67)*2</v>
          </cell>
          <cell r="DI144" t="str">
            <v>)*2</v>
          </cell>
        </row>
        <row r="145">
          <cell r="P145">
            <v>105.28</v>
          </cell>
          <cell r="Q145">
            <v>117.89</v>
          </cell>
          <cell r="R145">
            <v>59.47</v>
          </cell>
          <cell r="S145">
            <v>809.85</v>
          </cell>
          <cell r="X145">
            <v>688.37</v>
          </cell>
          <cell r="Y145">
            <v>332.04</v>
          </cell>
          <cell r="AV145">
            <v>1.0469999999999999</v>
          </cell>
          <cell r="AW145">
            <v>1</v>
          </cell>
          <cell r="BA145">
            <v>23.94</v>
          </cell>
          <cell r="BB145">
            <v>6.27</v>
          </cell>
          <cell r="BC145">
            <v>8.16</v>
          </cell>
          <cell r="BS145">
            <v>23.94</v>
          </cell>
          <cell r="BZ145">
            <v>85</v>
          </cell>
          <cell r="CA145">
            <v>41</v>
          </cell>
          <cell r="DN145">
            <v>105</v>
          </cell>
          <cell r="DO145">
            <v>77</v>
          </cell>
        </row>
        <row r="146">
          <cell r="F146" t="str">
            <v>1.1-1-413</v>
          </cell>
          <cell r="H146" t="str">
            <v>кг</v>
          </cell>
          <cell r="I146">
            <v>11.52</v>
          </cell>
          <cell r="O146">
            <v>551.80999999999995</v>
          </cell>
          <cell r="R146">
            <v>0</v>
          </cell>
          <cell r="X146">
            <v>0</v>
          </cell>
          <cell r="Y146">
            <v>0</v>
          </cell>
          <cell r="AK146">
            <v>47.9</v>
          </cell>
        </row>
        <row r="147">
          <cell r="O147">
            <v>1456.77</v>
          </cell>
          <cell r="R147">
            <v>0</v>
          </cell>
          <cell r="X147">
            <v>0</v>
          </cell>
          <cell r="Y147">
            <v>0</v>
          </cell>
          <cell r="AW147">
            <v>1</v>
          </cell>
          <cell r="BC147">
            <v>2.64</v>
          </cell>
        </row>
        <row r="148">
          <cell r="F148" t="str">
            <v>1.6-1-269</v>
          </cell>
          <cell r="H148" t="str">
            <v>т</v>
          </cell>
          <cell r="I148">
            <v>0.19683999999999999</v>
          </cell>
          <cell r="P148">
            <v>2443.9899999999998</v>
          </cell>
          <cell r="R148">
            <v>0</v>
          </cell>
          <cell r="X148">
            <v>0</v>
          </cell>
          <cell r="Y148">
            <v>0</v>
          </cell>
          <cell r="AL148">
            <v>12416.1</v>
          </cell>
          <cell r="DD148"/>
        </row>
        <row r="149">
          <cell r="P149">
            <v>16374.7</v>
          </cell>
          <cell r="R149">
            <v>0</v>
          </cell>
          <cell r="X149">
            <v>0</v>
          </cell>
          <cell r="Y149">
            <v>0</v>
          </cell>
          <cell r="AW149">
            <v>1</v>
          </cell>
          <cell r="BC149">
            <v>6.7</v>
          </cell>
        </row>
        <row r="150">
          <cell r="F150" t="str">
            <v>1.1-1-1002</v>
          </cell>
          <cell r="H150" t="str">
            <v>кг</v>
          </cell>
          <cell r="I150">
            <v>1</v>
          </cell>
          <cell r="P150">
            <v>20.89</v>
          </cell>
          <cell r="R150">
            <v>0</v>
          </cell>
          <cell r="X150">
            <v>0</v>
          </cell>
          <cell r="Y150">
            <v>0</v>
          </cell>
          <cell r="AL150">
            <v>20.89</v>
          </cell>
          <cell r="DD150"/>
        </row>
        <row r="151">
          <cell r="P151">
            <v>261.75</v>
          </cell>
          <cell r="R151">
            <v>0</v>
          </cell>
          <cell r="X151">
            <v>0</v>
          </cell>
          <cell r="Y151">
            <v>0</v>
          </cell>
          <cell r="AW151">
            <v>1</v>
          </cell>
          <cell r="BC151">
            <v>12.53</v>
          </cell>
        </row>
        <row r="152">
          <cell r="F152" t="str">
            <v>1.1-1-3732</v>
          </cell>
          <cell r="H152" t="str">
            <v>100 шт.</v>
          </cell>
          <cell r="I152">
            <v>0.216</v>
          </cell>
          <cell r="P152">
            <v>146.86000000000001</v>
          </cell>
          <cell r="R152">
            <v>0</v>
          </cell>
          <cell r="X152">
            <v>0</v>
          </cell>
          <cell r="Y152">
            <v>0</v>
          </cell>
          <cell r="AL152">
            <v>679.91</v>
          </cell>
          <cell r="DD152"/>
        </row>
        <row r="153">
          <cell r="P153">
            <v>177.7</v>
          </cell>
          <cell r="R153">
            <v>0</v>
          </cell>
          <cell r="X153">
            <v>0</v>
          </cell>
          <cell r="Y153">
            <v>0</v>
          </cell>
          <cell r="AW153">
            <v>1</v>
          </cell>
          <cell r="BC153">
            <v>1.21</v>
          </cell>
        </row>
        <row r="154">
          <cell r="F154" t="str">
            <v>1.1-1-3733</v>
          </cell>
          <cell r="H154" t="str">
            <v>100 шт.</v>
          </cell>
          <cell r="I154">
            <v>0.14399999999999999</v>
          </cell>
          <cell r="P154">
            <v>14.22</v>
          </cell>
          <cell r="R154">
            <v>0</v>
          </cell>
          <cell r="X154">
            <v>0</v>
          </cell>
          <cell r="Y154">
            <v>0</v>
          </cell>
          <cell r="AL154">
            <v>98.74</v>
          </cell>
          <cell r="DD154"/>
        </row>
        <row r="155">
          <cell r="P155">
            <v>27.73</v>
          </cell>
          <cell r="R155">
            <v>0</v>
          </cell>
          <cell r="X155">
            <v>0</v>
          </cell>
          <cell r="Y155">
            <v>0</v>
          </cell>
          <cell r="AW155">
            <v>1</v>
          </cell>
          <cell r="BC155">
            <v>1.95</v>
          </cell>
        </row>
        <row r="156">
          <cell r="F156" t="str">
            <v>3.9-72-2</v>
          </cell>
          <cell r="H156" t="str">
            <v>100 шт.</v>
          </cell>
          <cell r="I156">
            <v>1.52</v>
          </cell>
          <cell r="Q156">
            <v>0.56000000000000005</v>
          </cell>
          <cell r="R156">
            <v>0.17</v>
          </cell>
          <cell r="S156">
            <v>537.47</v>
          </cell>
          <cell r="U156">
            <v>22.140015999999999</v>
          </cell>
          <cell r="X156">
            <v>467.6</v>
          </cell>
          <cell r="Y156">
            <v>564.34</v>
          </cell>
          <cell r="AM156">
            <v>0.3</v>
          </cell>
          <cell r="AN156">
            <v>0.06</v>
          </cell>
          <cell r="AO156">
            <v>194.79</v>
          </cell>
          <cell r="AQ156">
            <v>13.4</v>
          </cell>
          <cell r="DE156"/>
          <cell r="DG156" t="str">
            <v>)*1,67</v>
          </cell>
          <cell r="DI156"/>
        </row>
        <row r="157">
          <cell r="Q157">
            <v>6.09</v>
          </cell>
          <cell r="R157">
            <v>3.96</v>
          </cell>
          <cell r="S157">
            <v>12867.09</v>
          </cell>
          <cell r="X157">
            <v>9006.9599999999991</v>
          </cell>
          <cell r="Y157">
            <v>6433.55</v>
          </cell>
          <cell r="AV157">
            <v>1.087</v>
          </cell>
          <cell r="BA157">
            <v>23.94</v>
          </cell>
          <cell r="BB157">
            <v>9.07</v>
          </cell>
          <cell r="BS157">
            <v>23.94</v>
          </cell>
          <cell r="BZ157">
            <v>70</v>
          </cell>
          <cell r="CA157">
            <v>50</v>
          </cell>
          <cell r="DN157">
            <v>87</v>
          </cell>
          <cell r="DO157">
            <v>105</v>
          </cell>
        </row>
        <row r="158">
          <cell r="F158" t="str">
            <v>1.7-5-237</v>
          </cell>
          <cell r="H158" t="str">
            <v>шт.</v>
          </cell>
          <cell r="I158">
            <v>152</v>
          </cell>
          <cell r="P158">
            <v>10494.08</v>
          </cell>
          <cell r="R158">
            <v>0</v>
          </cell>
          <cell r="X158">
            <v>0</v>
          </cell>
          <cell r="Y158">
            <v>0</v>
          </cell>
          <cell r="AL158">
            <v>69.040000000000006</v>
          </cell>
          <cell r="DD158"/>
        </row>
        <row r="159">
          <cell r="P159">
            <v>41766.44</v>
          </cell>
          <cell r="R159">
            <v>0</v>
          </cell>
          <cell r="X159">
            <v>0</v>
          </cell>
          <cell r="Y159">
            <v>0</v>
          </cell>
          <cell r="AW159">
            <v>1</v>
          </cell>
          <cell r="BC159">
            <v>3.98</v>
          </cell>
        </row>
        <row r="172">
          <cell r="F172" t="str">
            <v>1.6-1-269</v>
          </cell>
          <cell r="H172" t="str">
            <v>т</v>
          </cell>
          <cell r="I172">
            <v>0.41952</v>
          </cell>
          <cell r="P172">
            <v>5208.8</v>
          </cell>
          <cell r="R172">
            <v>0</v>
          </cell>
          <cell r="X172">
            <v>0</v>
          </cell>
          <cell r="Y172">
            <v>0</v>
          </cell>
          <cell r="AL172">
            <v>12416.1</v>
          </cell>
          <cell r="DD172"/>
        </row>
        <row r="173">
          <cell r="P173">
            <v>34898.980000000003</v>
          </cell>
          <cell r="R173">
            <v>0</v>
          </cell>
          <cell r="X173">
            <v>0</v>
          </cell>
          <cell r="Y173">
            <v>0</v>
          </cell>
          <cell r="AW173">
            <v>1</v>
          </cell>
          <cell r="BC173">
            <v>6.7</v>
          </cell>
        </row>
        <row r="180">
          <cell r="F180" t="str">
            <v>3.9-72-2</v>
          </cell>
          <cell r="H180" t="str">
            <v>100 шт.</v>
          </cell>
          <cell r="I180">
            <v>3.68</v>
          </cell>
          <cell r="Q180">
            <v>1.36</v>
          </cell>
          <cell r="R180">
            <v>0.4</v>
          </cell>
          <cell r="S180">
            <v>1301.25</v>
          </cell>
          <cell r="U180">
            <v>53.602144000000003</v>
          </cell>
          <cell r="X180">
            <v>1132.0899999999999</v>
          </cell>
          <cell r="Y180">
            <v>1366.31</v>
          </cell>
          <cell r="AM180">
            <v>0.3</v>
          </cell>
          <cell r="AN180">
            <v>0.06</v>
          </cell>
          <cell r="AO180">
            <v>194.79</v>
          </cell>
          <cell r="AQ180">
            <v>13.4</v>
          </cell>
          <cell r="DE180"/>
          <cell r="DG180" t="str">
            <v>)*1,67</v>
          </cell>
          <cell r="DI180"/>
        </row>
        <row r="181">
          <cell r="Q181">
            <v>14.73</v>
          </cell>
          <cell r="R181">
            <v>9.6</v>
          </cell>
          <cell r="S181">
            <v>31151.91</v>
          </cell>
          <cell r="X181">
            <v>21806.34</v>
          </cell>
          <cell r="Y181">
            <v>15575.96</v>
          </cell>
          <cell r="AV181">
            <v>1.087</v>
          </cell>
          <cell r="BA181">
            <v>23.94</v>
          </cell>
          <cell r="BB181">
            <v>9.07</v>
          </cell>
          <cell r="BS181">
            <v>23.94</v>
          </cell>
          <cell r="BZ181">
            <v>70</v>
          </cell>
          <cell r="CA181">
            <v>50</v>
          </cell>
          <cell r="DN181">
            <v>87</v>
          </cell>
          <cell r="DO181">
            <v>105</v>
          </cell>
        </row>
        <row r="182">
          <cell r="F182" t="str">
            <v>1.7-5-237</v>
          </cell>
          <cell r="H182" t="str">
            <v>шт.</v>
          </cell>
          <cell r="I182">
            <v>368</v>
          </cell>
          <cell r="P182">
            <v>25406.720000000001</v>
          </cell>
          <cell r="R182">
            <v>0</v>
          </cell>
          <cell r="X182">
            <v>0</v>
          </cell>
          <cell r="Y182">
            <v>0</v>
          </cell>
          <cell r="AL182">
            <v>69.040000000000006</v>
          </cell>
          <cell r="DD182"/>
        </row>
        <row r="183">
          <cell r="P183">
            <v>101118.75</v>
          </cell>
          <cell r="R183">
            <v>0</v>
          </cell>
          <cell r="X183">
            <v>0</v>
          </cell>
          <cell r="Y183">
            <v>0</v>
          </cell>
          <cell r="AW183">
            <v>1</v>
          </cell>
          <cell r="BC183">
            <v>3.98</v>
          </cell>
        </row>
        <row r="231">
          <cell r="G231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  <row r="414">
          <cell r="G414"/>
        </row>
        <row r="420">
          <cell r="F420">
            <v>191319.84</v>
          </cell>
          <cell r="H420" t="str">
            <v>Стоимость материалов (всего)</v>
          </cell>
          <cell r="P420">
            <v>691386.3</v>
          </cell>
        </row>
        <row r="428">
          <cell r="F428">
            <v>82.68</v>
          </cell>
          <cell r="H428" t="str">
            <v>ЗП машинистов</v>
          </cell>
          <cell r="P428">
            <v>1979.14</v>
          </cell>
        </row>
        <row r="429">
          <cell r="F429">
            <v>4196.04</v>
          </cell>
          <cell r="H429" t="str">
            <v>Основная ЗП рабочих</v>
          </cell>
          <cell r="P429">
            <v>100453.28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62">
          <cell r="G62" t="str">
            <v>Вентиляция</v>
          </cell>
        </row>
        <row r="78">
          <cell r="E78" t="str">
            <v>9</v>
          </cell>
          <cell r="F78" t="str">
            <v>4.21-35-2</v>
          </cell>
          <cell r="H78" t="str">
            <v>1  ШТ.</v>
          </cell>
          <cell r="I78">
            <v>2</v>
          </cell>
          <cell r="P78">
            <v>4125.04</v>
          </cell>
          <cell r="Q78">
            <v>696.79</v>
          </cell>
          <cell r="R78">
            <v>84.82</v>
          </cell>
          <cell r="S78">
            <v>2490.83</v>
          </cell>
          <cell r="U78">
            <v>118.26627999999999</v>
          </cell>
          <cell r="X78">
            <v>1967.76</v>
          </cell>
          <cell r="Y78">
            <v>1743.58</v>
          </cell>
          <cell r="AL78">
            <v>2006.34</v>
          </cell>
          <cell r="AM78">
            <v>310.57</v>
          </cell>
          <cell r="AN78">
            <v>23.8</v>
          </cell>
          <cell r="AO78">
            <v>698.93</v>
          </cell>
          <cell r="AQ78">
            <v>55.42</v>
          </cell>
          <cell r="DD78"/>
          <cell r="DE78"/>
          <cell r="DG78" t="str">
            <v>)*1,67</v>
          </cell>
          <cell r="DI78"/>
        </row>
        <row r="79">
          <cell r="P79">
            <v>22852.720000000001</v>
          </cell>
          <cell r="Q79">
            <v>5301.5700000000006</v>
          </cell>
          <cell r="R79">
            <v>2030.59</v>
          </cell>
          <cell r="S79">
            <v>59630.47</v>
          </cell>
          <cell r="X79">
            <v>40548.720000000001</v>
          </cell>
          <cell r="Y79">
            <v>25641.1</v>
          </cell>
          <cell r="AV79">
            <v>1.0669999999999999</v>
          </cell>
          <cell r="AW79">
            <v>1.028</v>
          </cell>
          <cell r="BA79">
            <v>23.94</v>
          </cell>
          <cell r="BB79">
            <v>6.77</v>
          </cell>
          <cell r="BC79">
            <v>5.54</v>
          </cell>
          <cell r="BS79">
            <v>23.94</v>
          </cell>
          <cell r="BZ79">
            <v>68</v>
          </cell>
          <cell r="CA79">
            <v>43</v>
          </cell>
          <cell r="DN79">
            <v>79</v>
          </cell>
          <cell r="DO79">
            <v>70</v>
          </cell>
        </row>
        <row r="80">
          <cell r="E80" t="str">
            <v>10</v>
          </cell>
          <cell r="H80" t="str">
            <v>шт.</v>
          </cell>
          <cell r="I80">
            <v>2</v>
          </cell>
          <cell r="R80">
            <v>0</v>
          </cell>
          <cell r="X80">
            <v>0</v>
          </cell>
          <cell r="Y80">
            <v>0</v>
          </cell>
        </row>
        <row r="81">
          <cell r="R81">
            <v>0</v>
          </cell>
          <cell r="X81">
            <v>0</v>
          </cell>
          <cell r="Y81">
            <v>0</v>
          </cell>
          <cell r="AW81">
            <v>1</v>
          </cell>
          <cell r="BC81">
            <v>4.47</v>
          </cell>
        </row>
        <row r="131">
          <cell r="G131" t="str">
            <v>Вентиляция</v>
          </cell>
        </row>
        <row r="464">
          <cell r="G464" t="str">
            <v>Тоннельная вентиляция. Венткамера ВШ №3 на ст. "Мичуринский проспект"</v>
          </cell>
        </row>
        <row r="470">
          <cell r="F470">
            <v>4125.04</v>
          </cell>
          <cell r="H470" t="str">
            <v>Стоимость материалов (всего)</v>
          </cell>
          <cell r="P470">
            <v>22852.720000000001</v>
          </cell>
        </row>
        <row r="473">
          <cell r="H473" t="str">
            <v>Стоимость оборудования (всего)</v>
          </cell>
        </row>
        <row r="478">
          <cell r="F478">
            <v>84.82</v>
          </cell>
          <cell r="H478" t="str">
            <v>ЗП машинистов</v>
          </cell>
          <cell r="P478">
            <v>2030.59</v>
          </cell>
        </row>
        <row r="479">
          <cell r="F479">
            <v>2490.83</v>
          </cell>
          <cell r="H479" t="str">
            <v>Основная ЗП рабочих</v>
          </cell>
          <cell r="P479">
            <v>59630.47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5">
          <cell r="AB15" t="str">
            <v>М.П. Салоух</v>
          </cell>
        </row>
        <row r="24">
          <cell r="G24" t="str">
            <v>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    </cell>
        </row>
        <row r="34">
          <cell r="G34" t="str">
            <v>+п. 99 раздел Дополнительно к смете: 3.16-15-3 (установка ветилей,задвижек, затворов, клапанов обратных кранов проходных на трубопроводах из стальных труб диаметром до 100 мм - 34 шт)</v>
          </cell>
        </row>
        <row r="35">
          <cell r="E35" t="str">
            <v>4</v>
          </cell>
          <cell r="F35" t="str">
            <v>МКЭ-33-1709/7-1 от 28.09.2017г.</v>
          </cell>
          <cell r="H35" t="str">
            <v>шт.</v>
          </cell>
          <cell r="I35">
            <v>10</v>
          </cell>
          <cell r="R35">
            <v>0</v>
          </cell>
          <cell r="X35">
            <v>0</v>
          </cell>
          <cell r="Y35">
            <v>0</v>
          </cell>
          <cell r="AL35">
            <v>6113.5383211678836</v>
          </cell>
          <cell r="DD35" t="str">
            <v>*1,02</v>
          </cell>
        </row>
        <row r="36">
          <cell r="R36">
            <v>0</v>
          </cell>
          <cell r="X36">
            <v>0</v>
          </cell>
          <cell r="Y36">
            <v>0</v>
          </cell>
          <cell r="AW36">
            <v>1</v>
          </cell>
          <cell r="BC36">
            <v>5.48</v>
          </cell>
        </row>
        <row r="37">
          <cell r="E37" t="str">
            <v>5</v>
          </cell>
          <cell r="F37" t="str">
            <v>1.12-9-54</v>
          </cell>
          <cell r="H37" t="str">
            <v>КОМПЛЕКТ</v>
          </cell>
          <cell r="I37">
            <v>10</v>
          </cell>
          <cell r="P37">
            <v>6480</v>
          </cell>
          <cell r="R37">
            <v>0</v>
          </cell>
          <cell r="X37">
            <v>0</v>
          </cell>
          <cell r="Y37">
            <v>0</v>
          </cell>
          <cell r="AL37">
            <v>648</v>
          </cell>
          <cell r="DD37"/>
        </row>
        <row r="38">
          <cell r="P38">
            <v>29354.400000000001</v>
          </cell>
          <cell r="R38">
            <v>0</v>
          </cell>
          <cell r="X38">
            <v>0</v>
          </cell>
          <cell r="Y38">
            <v>0</v>
          </cell>
          <cell r="AW38">
            <v>1</v>
          </cell>
          <cell r="BC38">
            <v>4.53</v>
          </cell>
        </row>
        <row r="181">
          <cell r="G181" t="str">
            <v>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    </cell>
        </row>
        <row r="298">
          <cell r="G298" t="str">
            <v>Дополнительно к смете</v>
          </cell>
        </row>
        <row r="302">
          <cell r="G302" t="str">
            <v>+п. 99 раздел Дополнительно к смете: 3.16-15-3 (установка ветилей,задвижек, затворов, клапанов обратных кранов проходных на трубопроводах из стальных труб диаметром до 100 мм - 2 шт)</v>
          </cell>
        </row>
        <row r="303">
          <cell r="E303" t="str">
            <v>99</v>
          </cell>
          <cell r="F303" t="str">
            <v>3.16-15-3</v>
          </cell>
          <cell r="H303" t="str">
            <v>1  ШТ.</v>
          </cell>
          <cell r="I303">
            <v>10</v>
          </cell>
          <cell r="P303">
            <v>394.6</v>
          </cell>
          <cell r="Q303">
            <v>105.22</v>
          </cell>
          <cell r="R303">
            <v>26.91</v>
          </cell>
          <cell r="S303">
            <v>564.67999999999995</v>
          </cell>
          <cell r="U303">
            <v>27.742000000000001</v>
          </cell>
          <cell r="X303">
            <v>705.85</v>
          </cell>
          <cell r="Y303">
            <v>530.79999999999995</v>
          </cell>
          <cell r="AL303">
            <v>39.46</v>
          </cell>
          <cell r="AM303">
            <v>8.85</v>
          </cell>
          <cell r="AN303">
            <v>1.51</v>
          </cell>
          <cell r="AO303">
            <v>31.69</v>
          </cell>
          <cell r="AQ303">
            <v>2.6</v>
          </cell>
          <cell r="DD303"/>
          <cell r="DE303"/>
          <cell r="DG303" t="str">
            <v>*1,67</v>
          </cell>
          <cell r="DI303"/>
        </row>
        <row r="304">
          <cell r="P304">
            <v>1692.83</v>
          </cell>
          <cell r="Q304">
            <v>1062.8499999999999</v>
          </cell>
          <cell r="R304">
            <v>644.23</v>
          </cell>
          <cell r="S304">
            <v>13518.44</v>
          </cell>
          <cell r="X304">
            <v>13518.44</v>
          </cell>
          <cell r="Y304">
            <v>6083.3</v>
          </cell>
          <cell r="AV304">
            <v>1.0669999999999999</v>
          </cell>
          <cell r="AW304">
            <v>1</v>
          </cell>
          <cell r="BA304">
            <v>23.94</v>
          </cell>
          <cell r="BB304">
            <v>8.52</v>
          </cell>
          <cell r="BC304">
            <v>4.29</v>
          </cell>
          <cell r="BS304">
            <v>23.94</v>
          </cell>
          <cell r="BZ304">
            <v>100</v>
          </cell>
          <cell r="CA304">
            <v>45</v>
          </cell>
          <cell r="DN304">
            <v>125</v>
          </cell>
          <cell r="DO304">
            <v>94</v>
          </cell>
        </row>
        <row r="309">
          <cell r="G309" t="str">
            <v>Дополнительно к смете</v>
          </cell>
        </row>
        <row r="338">
          <cell r="G338" t="str">
            <v>Инженерные системы. Тонельный водопровод и водоотвод.</v>
          </cell>
        </row>
        <row r="344">
          <cell r="H344" t="str">
            <v>Стоимость материалов (всего)</v>
          </cell>
        </row>
        <row r="352">
          <cell r="F352">
            <v>26.91</v>
          </cell>
          <cell r="H352" t="str">
            <v>ЗП машинистов</v>
          </cell>
          <cell r="P352">
            <v>644.23</v>
          </cell>
        </row>
        <row r="353">
          <cell r="F353">
            <v>564.67999999999995</v>
          </cell>
          <cell r="H353" t="str">
            <v>Основная ЗП рабочих</v>
          </cell>
          <cell r="P353">
            <v>13518.44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4">
          <cell r="G24" t="str">
            <v>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    </cell>
        </row>
        <row r="39">
          <cell r="G39" t="str">
            <v>+п. 100 раздел Дополнительно к смете: 3.16-15-2 (установка ветилей,задвижек, затворов, клапанов обратных кранов проходных на трубопроводах из стальных труб диаметром до 50 мм - 2 шт)</v>
          </cell>
        </row>
        <row r="50">
          <cell r="E50" t="str">
            <v>10</v>
          </cell>
          <cell r="F50" t="str">
            <v>1.12-7-98</v>
          </cell>
          <cell r="H50" t="str">
            <v>м</v>
          </cell>
          <cell r="I50">
            <v>3.6</v>
          </cell>
          <cell r="P50">
            <v>1625.8</v>
          </cell>
          <cell r="R50">
            <v>0</v>
          </cell>
          <cell r="X50">
            <v>0</v>
          </cell>
          <cell r="Y50">
            <v>0</v>
          </cell>
          <cell r="AL50">
            <v>451.61</v>
          </cell>
          <cell r="DD50"/>
        </row>
        <row r="51">
          <cell r="P51">
            <v>5397.66</v>
          </cell>
          <cell r="R51">
            <v>0</v>
          </cell>
          <cell r="X51">
            <v>0</v>
          </cell>
          <cell r="Y51">
            <v>0</v>
          </cell>
          <cell r="AW51">
            <v>1</v>
          </cell>
          <cell r="BC51">
            <v>3.32</v>
          </cell>
        </row>
        <row r="60">
          <cell r="E60" t="str">
            <v>15</v>
          </cell>
          <cell r="F60" t="str">
            <v>МКЭ-33-1982/7-1 от 09.11.2017г.</v>
          </cell>
          <cell r="H60" t="str">
            <v>шт.</v>
          </cell>
          <cell r="I60">
            <v>36</v>
          </cell>
          <cell r="R60">
            <v>0</v>
          </cell>
          <cell r="X60">
            <v>0</v>
          </cell>
          <cell r="Y60">
            <v>0</v>
          </cell>
        </row>
        <row r="61">
          <cell r="R61">
            <v>0</v>
          </cell>
          <cell r="X61">
            <v>0</v>
          </cell>
          <cell r="Y61">
            <v>0</v>
          </cell>
          <cell r="AW61">
            <v>1</v>
          </cell>
        </row>
        <row r="66">
          <cell r="E66" t="str">
            <v>17</v>
          </cell>
          <cell r="F66" t="str">
            <v>1.12-7-67</v>
          </cell>
          <cell r="H66" t="str">
            <v>м</v>
          </cell>
          <cell r="I66">
            <v>9.6</v>
          </cell>
          <cell r="P66">
            <v>2120.4499999999998</v>
          </cell>
          <cell r="R66">
            <v>0</v>
          </cell>
          <cell r="X66">
            <v>0</v>
          </cell>
          <cell r="Y66">
            <v>0</v>
          </cell>
          <cell r="AL66">
            <v>220.88</v>
          </cell>
          <cell r="DD66"/>
        </row>
        <row r="67">
          <cell r="P67">
            <v>7612.42</v>
          </cell>
          <cell r="R67">
            <v>0</v>
          </cell>
          <cell r="X67">
            <v>0</v>
          </cell>
          <cell r="Y67">
            <v>0</v>
          </cell>
          <cell r="AW67">
            <v>1</v>
          </cell>
          <cell r="BC67">
            <v>3.59</v>
          </cell>
        </row>
        <row r="82">
          <cell r="E82" t="str">
            <v>24</v>
          </cell>
          <cell r="F82" t="str">
            <v>1.12-7-98</v>
          </cell>
          <cell r="H82" t="str">
            <v>м</v>
          </cell>
          <cell r="I82">
            <v>0.8</v>
          </cell>
          <cell r="P82">
            <v>361.29</v>
          </cell>
          <cell r="R82">
            <v>0</v>
          </cell>
          <cell r="X82">
            <v>0</v>
          </cell>
          <cell r="Y82">
            <v>0</v>
          </cell>
          <cell r="AL82">
            <v>451.61</v>
          </cell>
          <cell r="DD82"/>
        </row>
        <row r="83">
          <cell r="P83">
            <v>1199.48</v>
          </cell>
          <cell r="R83">
            <v>0</v>
          </cell>
          <cell r="X83">
            <v>0</v>
          </cell>
          <cell r="Y83">
            <v>0</v>
          </cell>
          <cell r="AW83">
            <v>1</v>
          </cell>
          <cell r="BC83">
            <v>3.32</v>
          </cell>
        </row>
        <row r="118">
          <cell r="E118" t="str">
            <v>40</v>
          </cell>
          <cell r="F118" t="str">
            <v>3.16-9-3</v>
          </cell>
          <cell r="H118" t="str">
            <v>100 м трубопровода</v>
          </cell>
          <cell r="I118">
            <v>28.8</v>
          </cell>
          <cell r="P118">
            <v>1485.79</v>
          </cell>
          <cell r="Q118">
            <v>7342.22</v>
          </cell>
          <cell r="R118">
            <v>1592.41</v>
          </cell>
          <cell r="S118">
            <v>46953.8</v>
          </cell>
          <cell r="U118">
            <v>2227.8960000000002</v>
          </cell>
          <cell r="X118">
            <v>58692.25</v>
          </cell>
          <cell r="Y118">
            <v>44136.57</v>
          </cell>
          <cell r="AL118">
            <v>51.59</v>
          </cell>
          <cell r="AM118">
            <v>218.14</v>
          </cell>
          <cell r="AN118">
            <v>31.03</v>
          </cell>
          <cell r="AO118">
            <v>914.95</v>
          </cell>
          <cell r="AQ118">
            <v>72.5</v>
          </cell>
          <cell r="DD118"/>
          <cell r="DE118"/>
          <cell r="DG118" t="str">
            <v>*1,67</v>
          </cell>
          <cell r="DI118"/>
        </row>
        <row r="119">
          <cell r="P119">
            <v>8231.2800000000007</v>
          </cell>
          <cell r="Q119">
            <v>68854.319999999992</v>
          </cell>
          <cell r="R119">
            <v>38122.300000000003</v>
          </cell>
          <cell r="S119">
            <v>1124073.97</v>
          </cell>
          <cell r="X119">
            <v>1124073.97</v>
          </cell>
          <cell r="Y119">
            <v>505833.29</v>
          </cell>
          <cell r="AV119">
            <v>1.0669999999999999</v>
          </cell>
          <cell r="AW119">
            <v>1</v>
          </cell>
          <cell r="BA119">
            <v>23.94</v>
          </cell>
          <cell r="BB119">
            <v>7.99</v>
          </cell>
          <cell r="BC119">
            <v>5.54</v>
          </cell>
          <cell r="BS119">
            <v>23.94</v>
          </cell>
          <cell r="BZ119">
            <v>100</v>
          </cell>
          <cell r="CA119">
            <v>45</v>
          </cell>
          <cell r="DN119">
            <v>125</v>
          </cell>
          <cell r="DO119">
            <v>94</v>
          </cell>
        </row>
        <row r="120">
          <cell r="E120" t="str">
            <v>41</v>
          </cell>
          <cell r="F120" t="str">
            <v>1.12-7-132</v>
          </cell>
          <cell r="H120" t="str">
            <v>м</v>
          </cell>
          <cell r="I120">
            <v>2880</v>
          </cell>
          <cell r="P120">
            <v>2391465.6</v>
          </cell>
          <cell r="R120">
            <v>0</v>
          </cell>
          <cell r="X120">
            <v>0</v>
          </cell>
          <cell r="Y120">
            <v>0</v>
          </cell>
          <cell r="AL120">
            <v>830.37</v>
          </cell>
          <cell r="DD120"/>
        </row>
        <row r="121">
          <cell r="P121">
            <v>8441873.5700000003</v>
          </cell>
          <cell r="R121">
            <v>0</v>
          </cell>
          <cell r="X121">
            <v>0</v>
          </cell>
          <cell r="Y121">
            <v>0</v>
          </cell>
          <cell r="AW121">
            <v>1</v>
          </cell>
          <cell r="BC121">
            <v>3.53</v>
          </cell>
        </row>
        <row r="160">
          <cell r="E160" t="str">
            <v>64</v>
          </cell>
          <cell r="F160" t="str">
            <v>1.6-1-269</v>
          </cell>
          <cell r="H160" t="str">
            <v>т</v>
          </cell>
          <cell r="I160">
            <v>1.2654000000000001</v>
          </cell>
          <cell r="P160">
            <v>15711.33</v>
          </cell>
          <cell r="R160">
            <v>0</v>
          </cell>
          <cell r="X160">
            <v>0</v>
          </cell>
          <cell r="Y160">
            <v>0</v>
          </cell>
          <cell r="AL160">
            <v>12416.1</v>
          </cell>
          <cell r="DD160"/>
        </row>
        <row r="161">
          <cell r="P161">
            <v>105265.91</v>
          </cell>
          <cell r="R161">
            <v>0</v>
          </cell>
          <cell r="X161">
            <v>0</v>
          </cell>
          <cell r="Y161">
            <v>0</v>
          </cell>
          <cell r="AW161">
            <v>1</v>
          </cell>
          <cell r="BC161">
            <v>6.7</v>
          </cell>
        </row>
        <row r="162">
          <cell r="E162" t="str">
            <v>65</v>
          </cell>
          <cell r="F162" t="str">
            <v>1.1-1-1002</v>
          </cell>
          <cell r="H162" t="str">
            <v>кг</v>
          </cell>
          <cell r="I162">
            <v>52.25</v>
          </cell>
          <cell r="P162">
            <v>1091.5</v>
          </cell>
          <cell r="R162">
            <v>0</v>
          </cell>
          <cell r="X162">
            <v>0</v>
          </cell>
          <cell r="Y162">
            <v>0</v>
          </cell>
          <cell r="AL162">
            <v>20.89</v>
          </cell>
          <cell r="DD162"/>
        </row>
        <row r="163">
          <cell r="P163">
            <v>13676.5</v>
          </cell>
          <cell r="R163">
            <v>0</v>
          </cell>
          <cell r="X163">
            <v>0</v>
          </cell>
          <cell r="Y163">
            <v>0</v>
          </cell>
          <cell r="AW163">
            <v>1</v>
          </cell>
          <cell r="BC163">
            <v>12.53</v>
          </cell>
        </row>
        <row r="164">
          <cell r="E164" t="str">
            <v>66</v>
          </cell>
          <cell r="F164" t="str">
            <v>1.1-1-3732</v>
          </cell>
          <cell r="H164" t="str">
            <v>100 шт.</v>
          </cell>
          <cell r="I164">
            <v>22.8</v>
          </cell>
          <cell r="P164">
            <v>15501.95</v>
          </cell>
          <cell r="R164">
            <v>0</v>
          </cell>
          <cell r="X164">
            <v>0</v>
          </cell>
          <cell r="Y164">
            <v>0</v>
          </cell>
          <cell r="AL164">
            <v>679.91</v>
          </cell>
          <cell r="DD164"/>
        </row>
        <row r="165">
          <cell r="P165">
            <v>18757.36</v>
          </cell>
          <cell r="R165">
            <v>0</v>
          </cell>
          <cell r="X165">
            <v>0</v>
          </cell>
          <cell r="Y165">
            <v>0</v>
          </cell>
          <cell r="AW165">
            <v>1</v>
          </cell>
          <cell r="BC165">
            <v>1.21</v>
          </cell>
        </row>
        <row r="166">
          <cell r="E166" t="str">
            <v>67</v>
          </cell>
          <cell r="F166" t="str">
            <v>1.1-1-3733</v>
          </cell>
          <cell r="H166" t="str">
            <v>100 шт.</v>
          </cell>
          <cell r="I166">
            <v>11.4</v>
          </cell>
          <cell r="P166">
            <v>1125.6400000000001</v>
          </cell>
          <cell r="R166">
            <v>0</v>
          </cell>
          <cell r="X166">
            <v>0</v>
          </cell>
          <cell r="Y166">
            <v>0</v>
          </cell>
          <cell r="AL166">
            <v>98.74</v>
          </cell>
          <cell r="DD166"/>
        </row>
        <row r="167">
          <cell r="P167">
            <v>2195</v>
          </cell>
          <cell r="R167">
            <v>0</v>
          </cell>
          <cell r="X167">
            <v>0</v>
          </cell>
          <cell r="Y167">
            <v>0</v>
          </cell>
          <cell r="AW167">
            <v>1</v>
          </cell>
          <cell r="BC167">
            <v>1.95</v>
          </cell>
        </row>
        <row r="168">
          <cell r="E168" t="str">
            <v>68</v>
          </cell>
          <cell r="F168" t="str">
            <v>1.7-5-237</v>
          </cell>
          <cell r="H168" t="str">
            <v>шт.</v>
          </cell>
          <cell r="I168">
            <v>1140</v>
          </cell>
          <cell r="P168">
            <v>78705.600000000006</v>
          </cell>
          <cell r="R168">
            <v>0</v>
          </cell>
          <cell r="X168">
            <v>0</v>
          </cell>
          <cell r="Y168">
            <v>0</v>
          </cell>
          <cell r="AL168">
            <v>69.040000000000006</v>
          </cell>
          <cell r="DD168"/>
        </row>
        <row r="169">
          <cell r="P169">
            <v>313248.28999999998</v>
          </cell>
          <cell r="R169">
            <v>0</v>
          </cell>
          <cell r="X169">
            <v>0</v>
          </cell>
          <cell r="Y169">
            <v>0</v>
          </cell>
          <cell r="AW169">
            <v>1</v>
          </cell>
          <cell r="BC169">
            <v>3.98</v>
          </cell>
        </row>
        <row r="170">
          <cell r="E170" t="str">
            <v>69</v>
          </cell>
          <cell r="F170" t="str">
            <v>3.13-11-6</v>
          </cell>
          <cell r="H170" t="str">
            <v>100 м2</v>
          </cell>
          <cell r="I170">
            <v>0.66200000000000003</v>
          </cell>
          <cell r="P170">
            <v>13.35</v>
          </cell>
          <cell r="Q170">
            <v>16.54</v>
          </cell>
          <cell r="R170">
            <v>2.57</v>
          </cell>
          <cell r="S170">
            <v>34.99</v>
          </cell>
          <cell r="U170">
            <v>1.76050956</v>
          </cell>
          <cell r="X170">
            <v>36.74</v>
          </cell>
          <cell r="Y170">
            <v>26.94</v>
          </cell>
          <cell r="AL170">
            <v>20.16</v>
          </cell>
          <cell r="AM170">
            <v>22.38</v>
          </cell>
          <cell r="AN170">
            <v>2.2200000000000002</v>
          </cell>
          <cell r="AO170">
            <v>30.23</v>
          </cell>
          <cell r="AQ170">
            <v>2.54</v>
          </cell>
          <cell r="DD170"/>
          <cell r="DE170"/>
          <cell r="DG170" t="str">
            <v>*1,67</v>
          </cell>
          <cell r="DI170"/>
        </row>
        <row r="171">
          <cell r="P171">
            <v>108.94</v>
          </cell>
          <cell r="Q171">
            <v>121.91</v>
          </cell>
          <cell r="R171">
            <v>61.53</v>
          </cell>
          <cell r="S171">
            <v>837.66</v>
          </cell>
          <cell r="X171">
            <v>712.01</v>
          </cell>
          <cell r="Y171">
            <v>343.44</v>
          </cell>
          <cell r="AV171">
            <v>1.0469999999999999</v>
          </cell>
          <cell r="AW171">
            <v>1</v>
          </cell>
          <cell r="BA171">
            <v>23.94</v>
          </cell>
          <cell r="BB171">
            <v>6.27</v>
          </cell>
          <cell r="BC171">
            <v>8.16</v>
          </cell>
          <cell r="BS171">
            <v>23.94</v>
          </cell>
          <cell r="BZ171">
            <v>85</v>
          </cell>
          <cell r="CA171">
            <v>41</v>
          </cell>
          <cell r="DN171">
            <v>105</v>
          </cell>
          <cell r="DO171">
            <v>77</v>
          </cell>
        </row>
        <row r="172">
          <cell r="E172" t="str">
            <v>69,1</v>
          </cell>
          <cell r="F172" t="str">
            <v>1.1-1-413</v>
          </cell>
          <cell r="H172" t="str">
            <v>кг</v>
          </cell>
          <cell r="I172">
            <v>51</v>
          </cell>
          <cell r="O172">
            <v>2442.9</v>
          </cell>
          <cell r="R172">
            <v>0</v>
          </cell>
          <cell r="X172">
            <v>0</v>
          </cell>
          <cell r="Y172">
            <v>0</v>
          </cell>
          <cell r="AK172">
            <v>47.9</v>
          </cell>
        </row>
        <row r="173">
          <cell r="O173">
            <v>6449.26</v>
          </cell>
          <cell r="R173">
            <v>0</v>
          </cell>
          <cell r="X173">
            <v>0</v>
          </cell>
          <cell r="Y173">
            <v>0</v>
          </cell>
          <cell r="AW173">
            <v>1</v>
          </cell>
          <cell r="BC173">
            <v>2.64</v>
          </cell>
        </row>
        <row r="181">
          <cell r="G181" t="str">
            <v>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    </cell>
        </row>
        <row r="210">
          <cell r="G210" t="str">
            <v>Перегоны от ст. "Мичуренский проспект" до ст. "Аминьевское шоссе". Тонельный напорный водопровод (К2НТ)</v>
          </cell>
        </row>
        <row r="232">
          <cell r="E232" t="str">
            <v>80</v>
          </cell>
          <cell r="F232" t="str">
            <v>3.16-9-7</v>
          </cell>
          <cell r="H232" t="str">
            <v>100 м трубопровода</v>
          </cell>
          <cell r="I232">
            <v>6.5</v>
          </cell>
          <cell r="P232">
            <v>36294.379999999997</v>
          </cell>
          <cell r="Q232">
            <v>3024.11</v>
          </cell>
          <cell r="R232">
            <v>742.89</v>
          </cell>
          <cell r="S232">
            <v>23706.39</v>
          </cell>
          <cell r="U232">
            <v>1151.2929999999999</v>
          </cell>
          <cell r="X232">
            <v>29632.99</v>
          </cell>
          <cell r="Y232">
            <v>22284.01</v>
          </cell>
          <cell r="AL232">
            <v>5583.75</v>
          </cell>
          <cell r="AM232">
            <v>393.06</v>
          </cell>
          <cell r="AN232">
            <v>64.14</v>
          </cell>
          <cell r="AO232">
            <v>2046.78</v>
          </cell>
          <cell r="AQ232">
            <v>166</v>
          </cell>
          <cell r="DD232"/>
          <cell r="DE232"/>
          <cell r="DG232" t="str">
            <v>*1,67</v>
          </cell>
          <cell r="DI232"/>
        </row>
        <row r="233">
          <cell r="P233">
            <v>144451.63</v>
          </cell>
          <cell r="Q233">
            <v>29979.550000000003</v>
          </cell>
          <cell r="R233">
            <v>17784.79</v>
          </cell>
          <cell r="S233">
            <v>567530.98</v>
          </cell>
          <cell r="X233">
            <v>567530.98</v>
          </cell>
          <cell r="Y233">
            <v>255388.94</v>
          </cell>
          <cell r="AV233">
            <v>1.0669999999999999</v>
          </cell>
          <cell r="AW233">
            <v>1</v>
          </cell>
          <cell r="BA233">
            <v>23.94</v>
          </cell>
          <cell r="BB233">
            <v>8.3800000000000008</v>
          </cell>
          <cell r="BC233">
            <v>3.98</v>
          </cell>
          <cell r="BS233">
            <v>23.94</v>
          </cell>
          <cell r="BZ233">
            <v>100</v>
          </cell>
          <cell r="CA233">
            <v>45</v>
          </cell>
          <cell r="DN233">
            <v>125</v>
          </cell>
          <cell r="DO233">
            <v>94</v>
          </cell>
        </row>
        <row r="234">
          <cell r="E234" t="str">
            <v>81</v>
          </cell>
          <cell r="F234" t="str">
            <v>1.12-6-206</v>
          </cell>
          <cell r="H234" t="str">
            <v>м</v>
          </cell>
          <cell r="I234">
            <v>650</v>
          </cell>
          <cell r="P234">
            <v>90941.5</v>
          </cell>
          <cell r="R234">
            <v>0</v>
          </cell>
          <cell r="X234">
            <v>0</v>
          </cell>
          <cell r="Y234">
            <v>0</v>
          </cell>
          <cell r="AL234">
            <v>139.91</v>
          </cell>
          <cell r="DD234"/>
        </row>
        <row r="235">
          <cell r="P235">
            <v>738444.98</v>
          </cell>
          <cell r="R235">
            <v>0</v>
          </cell>
          <cell r="X235">
            <v>0</v>
          </cell>
          <cell r="Y235">
            <v>0</v>
          </cell>
          <cell r="AW235">
            <v>1</v>
          </cell>
          <cell r="BC235">
            <v>8.1199999999999992</v>
          </cell>
        </row>
        <row r="238">
          <cell r="E238" t="str">
            <v>83</v>
          </cell>
          <cell r="F238" t="str">
            <v>3.13-11-3</v>
          </cell>
          <cell r="H238" t="str">
            <v>100 м2</v>
          </cell>
          <cell r="I238">
            <v>0.86960000000000004</v>
          </cell>
          <cell r="P238">
            <v>89.69</v>
          </cell>
          <cell r="Q238">
            <v>13.139999999999999</v>
          </cell>
          <cell r="R238">
            <v>2.14</v>
          </cell>
          <cell r="S238">
            <v>44.87</v>
          </cell>
          <cell r="U238">
            <v>2.2579685759999997</v>
          </cell>
          <cell r="X238">
            <v>47.11</v>
          </cell>
          <cell r="Y238">
            <v>34.549999999999997</v>
          </cell>
          <cell r="AL238">
            <v>103.14</v>
          </cell>
          <cell r="AM238">
            <v>13.49</v>
          </cell>
          <cell r="AN238">
            <v>1.41</v>
          </cell>
          <cell r="AO238">
            <v>29.51</v>
          </cell>
          <cell r="AQ238">
            <v>2.48</v>
          </cell>
          <cell r="DD238"/>
          <cell r="DE238"/>
          <cell r="DG238" t="str">
            <v>*1,67</v>
          </cell>
          <cell r="DI238"/>
        </row>
        <row r="239">
          <cell r="P239">
            <v>769.54</v>
          </cell>
          <cell r="Q239">
            <v>99.3</v>
          </cell>
          <cell r="R239">
            <v>51.23</v>
          </cell>
          <cell r="S239">
            <v>1074.19</v>
          </cell>
          <cell r="X239">
            <v>913.06</v>
          </cell>
          <cell r="Y239">
            <v>440.42</v>
          </cell>
          <cell r="AV239">
            <v>1.0469999999999999</v>
          </cell>
          <cell r="AW239">
            <v>1</v>
          </cell>
          <cell r="BA239">
            <v>23.94</v>
          </cell>
          <cell r="BB239">
            <v>6.41</v>
          </cell>
          <cell r="BC239">
            <v>8.58</v>
          </cell>
          <cell r="BS239">
            <v>23.94</v>
          </cell>
          <cell r="BZ239">
            <v>85</v>
          </cell>
          <cell r="CA239">
            <v>41</v>
          </cell>
          <cell r="DN239">
            <v>105</v>
          </cell>
          <cell r="DO239">
            <v>77</v>
          </cell>
        </row>
        <row r="240">
          <cell r="E240" t="str">
            <v>83,1</v>
          </cell>
          <cell r="F240" t="str">
            <v>1.1-1-492</v>
          </cell>
          <cell r="H240" t="str">
            <v>т</v>
          </cell>
          <cell r="I240">
            <v>2.0001000000000001E-2</v>
          </cell>
          <cell r="O240">
            <v>224.86</v>
          </cell>
          <cell r="R240">
            <v>0</v>
          </cell>
          <cell r="X240">
            <v>0</v>
          </cell>
          <cell r="Y240">
            <v>0</v>
          </cell>
          <cell r="AK240">
            <v>11242.42</v>
          </cell>
        </row>
        <row r="241">
          <cell r="O241">
            <v>1891.07</v>
          </cell>
          <cell r="R241">
            <v>0</v>
          </cell>
          <cell r="X241">
            <v>0</v>
          </cell>
          <cell r="Y241">
            <v>0</v>
          </cell>
          <cell r="AW241">
            <v>1</v>
          </cell>
          <cell r="BC241">
            <v>8.41</v>
          </cell>
        </row>
        <row r="244">
          <cell r="E244" t="str">
            <v>88</v>
          </cell>
          <cell r="F244" t="str">
            <v>1.6-1-269</v>
          </cell>
          <cell r="H244" t="str">
            <v>т</v>
          </cell>
          <cell r="I244">
            <v>0.90905999999999998</v>
          </cell>
          <cell r="P244">
            <v>11286.98</v>
          </cell>
          <cell r="R244">
            <v>0</v>
          </cell>
          <cell r="X244">
            <v>0</v>
          </cell>
          <cell r="Y244">
            <v>0</v>
          </cell>
          <cell r="AL244">
            <v>12416.1</v>
          </cell>
          <cell r="DD244"/>
        </row>
        <row r="245">
          <cell r="P245">
            <v>75622.77</v>
          </cell>
          <cell r="R245">
            <v>0</v>
          </cell>
          <cell r="X245">
            <v>0</v>
          </cell>
          <cell r="Y245">
            <v>0</v>
          </cell>
          <cell r="AW245">
            <v>1</v>
          </cell>
          <cell r="BC245">
            <v>6.7</v>
          </cell>
        </row>
        <row r="246">
          <cell r="E246" t="str">
            <v>89</v>
          </cell>
          <cell r="F246" t="str">
            <v>1.1-1-1002</v>
          </cell>
          <cell r="H246" t="str">
            <v>кг</v>
          </cell>
          <cell r="I246">
            <v>56.32</v>
          </cell>
          <cell r="P246">
            <v>1176.52</v>
          </cell>
          <cell r="R246">
            <v>0</v>
          </cell>
          <cell r="X246">
            <v>0</v>
          </cell>
          <cell r="Y246">
            <v>0</v>
          </cell>
          <cell r="AL246">
            <v>20.89</v>
          </cell>
          <cell r="DD246"/>
        </row>
        <row r="247">
          <cell r="P247">
            <v>14741.8</v>
          </cell>
          <cell r="R247">
            <v>0</v>
          </cell>
          <cell r="X247">
            <v>0</v>
          </cell>
          <cell r="Y247">
            <v>0</v>
          </cell>
          <cell r="AW247">
            <v>1</v>
          </cell>
          <cell r="BC247">
            <v>12.53</v>
          </cell>
        </row>
        <row r="248">
          <cell r="E248" t="str">
            <v>90</v>
          </cell>
          <cell r="F248" t="str">
            <v>1.1-1-3732</v>
          </cell>
          <cell r="H248" t="str">
            <v>100 шт.</v>
          </cell>
          <cell r="I248">
            <v>9.7200000000000006</v>
          </cell>
          <cell r="P248">
            <v>6608.73</v>
          </cell>
          <cell r="R248">
            <v>0</v>
          </cell>
          <cell r="X248">
            <v>0</v>
          </cell>
          <cell r="Y248">
            <v>0</v>
          </cell>
          <cell r="AL248">
            <v>679.91</v>
          </cell>
          <cell r="DD248"/>
        </row>
        <row r="249">
          <cell r="P249">
            <v>7996.56</v>
          </cell>
          <cell r="R249">
            <v>0</v>
          </cell>
          <cell r="X249">
            <v>0</v>
          </cell>
          <cell r="Y249">
            <v>0</v>
          </cell>
          <cell r="AW249">
            <v>1</v>
          </cell>
          <cell r="BC249">
            <v>1.21</v>
          </cell>
        </row>
        <row r="250">
          <cell r="E250" t="str">
            <v>91</v>
          </cell>
          <cell r="F250" t="str">
            <v>1.1-1-3733</v>
          </cell>
          <cell r="H250" t="str">
            <v>100 шт.</v>
          </cell>
          <cell r="I250">
            <v>6.48</v>
          </cell>
          <cell r="P250">
            <v>639.84</v>
          </cell>
          <cell r="R250">
            <v>0</v>
          </cell>
          <cell r="X250">
            <v>0</v>
          </cell>
          <cell r="Y250">
            <v>0</v>
          </cell>
          <cell r="AL250">
            <v>98.74</v>
          </cell>
          <cell r="DD250"/>
        </row>
        <row r="251">
          <cell r="P251">
            <v>1247.69</v>
          </cell>
          <cell r="R251">
            <v>0</v>
          </cell>
          <cell r="X251">
            <v>0</v>
          </cell>
          <cell r="Y251">
            <v>0</v>
          </cell>
          <cell r="AW251">
            <v>1</v>
          </cell>
          <cell r="BC251">
            <v>1.95</v>
          </cell>
        </row>
        <row r="252">
          <cell r="E252" t="str">
            <v>92</v>
          </cell>
          <cell r="F252" t="str">
            <v>1.7-5-237</v>
          </cell>
          <cell r="H252" t="str">
            <v>шт.</v>
          </cell>
          <cell r="I252">
            <v>324</v>
          </cell>
          <cell r="P252">
            <v>22368.959999999999</v>
          </cell>
          <cell r="R252">
            <v>0</v>
          </cell>
          <cell r="X252">
            <v>0</v>
          </cell>
          <cell r="Y252">
            <v>0</v>
          </cell>
          <cell r="AL252">
            <v>69.040000000000006</v>
          </cell>
          <cell r="DD252"/>
        </row>
        <row r="253">
          <cell r="P253">
            <v>89028.46</v>
          </cell>
          <cell r="R253">
            <v>0</v>
          </cell>
          <cell r="X253">
            <v>0</v>
          </cell>
          <cell r="Y253">
            <v>0</v>
          </cell>
          <cell r="AW253">
            <v>1</v>
          </cell>
          <cell r="BC253">
            <v>3.98</v>
          </cell>
        </row>
        <row r="264">
          <cell r="E264" t="str">
            <v>98</v>
          </cell>
          <cell r="F264" t="str">
            <v>3.13-11-6</v>
          </cell>
          <cell r="H264" t="str">
            <v>100 м2</v>
          </cell>
          <cell r="I264">
            <v>0.52</v>
          </cell>
          <cell r="P264">
            <v>10.48</v>
          </cell>
          <cell r="Q264">
            <v>12.99</v>
          </cell>
          <cell r="R264">
            <v>2.02</v>
          </cell>
          <cell r="S264">
            <v>27.49</v>
          </cell>
          <cell r="U264">
            <v>1.3828776</v>
          </cell>
          <cell r="X264">
            <v>28.86</v>
          </cell>
          <cell r="Y264">
            <v>21.17</v>
          </cell>
          <cell r="AL264">
            <v>20.16</v>
          </cell>
          <cell r="AM264">
            <v>22.38</v>
          </cell>
          <cell r="AN264">
            <v>2.2200000000000002</v>
          </cell>
          <cell r="AO264">
            <v>30.23</v>
          </cell>
          <cell r="AQ264">
            <v>2.54</v>
          </cell>
          <cell r="DD264"/>
          <cell r="DE264"/>
          <cell r="DG264" t="str">
            <v>*1,67</v>
          </cell>
          <cell r="DI264"/>
        </row>
        <row r="265">
          <cell r="P265">
            <v>85.52</v>
          </cell>
          <cell r="Q265">
            <v>95.76</v>
          </cell>
          <cell r="R265">
            <v>48.36</v>
          </cell>
          <cell r="S265">
            <v>658.11</v>
          </cell>
          <cell r="X265">
            <v>559.39</v>
          </cell>
          <cell r="Y265">
            <v>269.83</v>
          </cell>
          <cell r="AV265">
            <v>1.0469999999999999</v>
          </cell>
          <cell r="AW265">
            <v>1</v>
          </cell>
          <cell r="BA265">
            <v>23.94</v>
          </cell>
          <cell r="BB265">
            <v>6.27</v>
          </cell>
          <cell r="BC265">
            <v>8.16</v>
          </cell>
          <cell r="BS265">
            <v>23.94</v>
          </cell>
          <cell r="BZ265">
            <v>85</v>
          </cell>
          <cell r="CA265">
            <v>41</v>
          </cell>
          <cell r="DN265">
            <v>105</v>
          </cell>
          <cell r="DO265">
            <v>77</v>
          </cell>
        </row>
        <row r="266">
          <cell r="E266" t="str">
            <v>98,1</v>
          </cell>
          <cell r="F266" t="str">
            <v>1.1-1-413</v>
          </cell>
          <cell r="H266" t="str">
            <v>кг</v>
          </cell>
          <cell r="I266">
            <v>40.007561000000003</v>
          </cell>
          <cell r="O266">
            <v>1916.36</v>
          </cell>
          <cell r="R266">
            <v>0</v>
          </cell>
          <cell r="X266">
            <v>0</v>
          </cell>
          <cell r="Y266">
            <v>0</v>
          </cell>
          <cell r="AK266">
            <v>47.9</v>
          </cell>
        </row>
        <row r="267">
          <cell r="O267">
            <v>5059.1899999999996</v>
          </cell>
          <cell r="R267">
            <v>0</v>
          </cell>
          <cell r="X267">
            <v>0</v>
          </cell>
          <cell r="Y267">
            <v>0</v>
          </cell>
          <cell r="AW267">
            <v>1</v>
          </cell>
          <cell r="BC267">
            <v>2.64</v>
          </cell>
        </row>
        <row r="269">
          <cell r="G269" t="str">
            <v>Перегоны от ст. "Мичуренский проспект" до ст. "Аминьевское шоссе". Тонельный напорный водопровод (К2НТ)</v>
          </cell>
        </row>
        <row r="338">
          <cell r="G338" t="str">
            <v>Инженерные системы. Тонельный водопровод и водоотвод.</v>
          </cell>
        </row>
        <row r="344">
          <cell r="H344" t="str">
            <v>Стоимость материалов (всего)</v>
          </cell>
        </row>
        <row r="352">
          <cell r="F352">
            <v>2342.0300000000002</v>
          </cell>
          <cell r="H352" t="str">
            <v>ЗП машинистов</v>
          </cell>
          <cell r="P352">
            <v>56068.21</v>
          </cell>
        </row>
        <row r="353">
          <cell r="F353">
            <v>70767.539999999994</v>
          </cell>
          <cell r="H353" t="str">
            <v>Основная ЗП рабочих</v>
          </cell>
          <cell r="P353">
            <v>1694174.91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34">
          <cell r="G134" t="str">
            <v>Хозяйственно-питьевой, производственный и противопожарный водопровод (В1)</v>
          </cell>
        </row>
        <row r="236">
          <cell r="E236" t="str">
            <v>72</v>
          </cell>
          <cell r="F236" t="str">
            <v>3.16-9-6</v>
          </cell>
          <cell r="H236" t="str">
            <v>100 м трубопровода</v>
          </cell>
          <cell r="I236">
            <v>0.66</v>
          </cell>
          <cell r="P236">
            <v>77.34</v>
          </cell>
          <cell r="Q236">
            <v>255.27</v>
          </cell>
          <cell r="R236">
            <v>63.57</v>
          </cell>
          <cell r="S236">
            <v>1508.07</v>
          </cell>
          <cell r="U236">
            <v>73.238879999999995</v>
          </cell>
          <cell r="X236">
            <v>1885.09</v>
          </cell>
          <cell r="Y236">
            <v>1417.59</v>
          </cell>
          <cell r="AL236">
            <v>117.18</v>
          </cell>
          <cell r="AM236">
            <v>326.27</v>
          </cell>
          <cell r="AN236">
            <v>54.05</v>
          </cell>
          <cell r="AO236">
            <v>1282.32</v>
          </cell>
          <cell r="AQ236">
            <v>104</v>
          </cell>
          <cell r="DD236"/>
          <cell r="DE236"/>
          <cell r="DG236" t="str">
            <v>*1,67</v>
          </cell>
          <cell r="DI236"/>
        </row>
        <row r="237">
          <cell r="P237">
            <v>428.46</v>
          </cell>
          <cell r="Q237">
            <v>2547.4300000000003</v>
          </cell>
          <cell r="R237">
            <v>1521.87</v>
          </cell>
          <cell r="S237">
            <v>36103.199999999997</v>
          </cell>
          <cell r="X237">
            <v>36103.199999999997</v>
          </cell>
          <cell r="Y237">
            <v>16246.44</v>
          </cell>
          <cell r="AV237">
            <v>1.0669999999999999</v>
          </cell>
          <cell r="AW237">
            <v>1</v>
          </cell>
          <cell r="BA237">
            <v>23.94</v>
          </cell>
          <cell r="BB237">
            <v>8.43</v>
          </cell>
          <cell r="BC237">
            <v>5.54</v>
          </cell>
          <cell r="BS237">
            <v>23.94</v>
          </cell>
          <cell r="BZ237">
            <v>100</v>
          </cell>
          <cell r="CA237">
            <v>45</v>
          </cell>
          <cell r="DN237">
            <v>125</v>
          </cell>
          <cell r="DO237">
            <v>94</v>
          </cell>
        </row>
        <row r="238">
          <cell r="E238" t="str">
            <v>72,1</v>
          </cell>
          <cell r="F238" t="str">
            <v>1.12-7-154</v>
          </cell>
          <cell r="H238" t="str">
            <v>м</v>
          </cell>
          <cell r="I238">
            <v>66</v>
          </cell>
          <cell r="O238">
            <v>103313.76</v>
          </cell>
          <cell r="R238">
            <v>0</v>
          </cell>
          <cell r="X238">
            <v>0</v>
          </cell>
          <cell r="Y238">
            <v>0</v>
          </cell>
          <cell r="AK238">
            <v>1565.36</v>
          </cell>
        </row>
        <row r="239">
          <cell r="O239">
            <v>509336.84</v>
          </cell>
          <cell r="R239">
            <v>0</v>
          </cell>
          <cell r="X239">
            <v>0</v>
          </cell>
          <cell r="Y239">
            <v>0</v>
          </cell>
          <cell r="AW239">
            <v>1</v>
          </cell>
          <cell r="BC239">
            <v>4.93</v>
          </cell>
        </row>
        <row r="364">
          <cell r="E364" t="str">
            <v>126</v>
          </cell>
          <cell r="F364" t="str">
            <v>3.13-11-6</v>
          </cell>
          <cell r="H364" t="str">
            <v>100 м2</v>
          </cell>
          <cell r="I364">
            <v>0.04</v>
          </cell>
          <cell r="P364">
            <v>1.61</v>
          </cell>
          <cell r="Q364">
            <v>1.9900000000000002</v>
          </cell>
          <cell r="R364">
            <v>0.31</v>
          </cell>
          <cell r="S364">
            <v>4.2300000000000004</v>
          </cell>
          <cell r="U364">
            <v>0.21275040000000001</v>
          </cell>
          <cell r="X364">
            <v>4.4400000000000004</v>
          </cell>
          <cell r="Y364">
            <v>3.26</v>
          </cell>
          <cell r="AL364">
            <v>20.16</v>
          </cell>
          <cell r="AM364">
            <v>22.38</v>
          </cell>
          <cell r="AN364">
            <v>2.2200000000000002</v>
          </cell>
          <cell r="AO364">
            <v>30.23</v>
          </cell>
          <cell r="AQ364">
            <v>2.54</v>
          </cell>
          <cell r="DD364" t="str">
            <v>*2</v>
          </cell>
          <cell r="DE364" t="str">
            <v>)*2</v>
          </cell>
          <cell r="DG364" t="str">
            <v>)*2)*1,67)</v>
          </cell>
          <cell r="DI364" t="str">
            <v>)*2)</v>
          </cell>
        </row>
        <row r="365">
          <cell r="P365">
            <v>13.14</v>
          </cell>
          <cell r="Q365">
            <v>14.59</v>
          </cell>
          <cell r="R365">
            <v>7.42</v>
          </cell>
          <cell r="S365">
            <v>101.27</v>
          </cell>
          <cell r="X365">
            <v>86.08</v>
          </cell>
          <cell r="Y365">
            <v>41.52</v>
          </cell>
          <cell r="AV365">
            <v>1.0469999999999999</v>
          </cell>
          <cell r="AW365">
            <v>1</v>
          </cell>
          <cell r="BA365">
            <v>23.94</v>
          </cell>
          <cell r="BB365">
            <v>6.27</v>
          </cell>
          <cell r="BC365">
            <v>8.16</v>
          </cell>
          <cell r="BS365">
            <v>23.94</v>
          </cell>
          <cell r="BZ365">
            <v>85</v>
          </cell>
          <cell r="CA365">
            <v>41</v>
          </cell>
          <cell r="DN365">
            <v>105</v>
          </cell>
          <cell r="DO365">
            <v>77</v>
          </cell>
        </row>
        <row r="366">
          <cell r="E366" t="str">
            <v>126,1</v>
          </cell>
          <cell r="F366" t="str">
            <v>1.1-1-413</v>
          </cell>
          <cell r="H366" t="str">
            <v>кг</v>
          </cell>
          <cell r="I366">
            <v>1.44</v>
          </cell>
          <cell r="O366">
            <v>68.98</v>
          </cell>
          <cell r="R366">
            <v>0</v>
          </cell>
          <cell r="X366">
            <v>0</v>
          </cell>
          <cell r="Y366">
            <v>0</v>
          </cell>
          <cell r="AK366">
            <v>47.9</v>
          </cell>
        </row>
        <row r="367">
          <cell r="O367">
            <v>182.11</v>
          </cell>
          <cell r="R367">
            <v>0</v>
          </cell>
          <cell r="X367">
            <v>0</v>
          </cell>
          <cell r="Y367">
            <v>0</v>
          </cell>
          <cell r="AW367">
            <v>1</v>
          </cell>
          <cell r="BC367">
            <v>2.64</v>
          </cell>
        </row>
        <row r="368">
          <cell r="E368" t="str">
            <v>127</v>
          </cell>
          <cell r="F368" t="str">
            <v>1.7-5-155</v>
          </cell>
          <cell r="H368" t="str">
            <v>шт.</v>
          </cell>
          <cell r="I368">
            <v>36</v>
          </cell>
          <cell r="P368">
            <v>911.88</v>
          </cell>
          <cell r="R368">
            <v>0</v>
          </cell>
          <cell r="X368">
            <v>0</v>
          </cell>
          <cell r="Y368">
            <v>0</v>
          </cell>
          <cell r="AL368">
            <v>25.33</v>
          </cell>
          <cell r="DD368"/>
        </row>
        <row r="369">
          <cell r="P369">
            <v>4650.59</v>
          </cell>
          <cell r="R369">
            <v>0</v>
          </cell>
          <cell r="X369">
            <v>0</v>
          </cell>
          <cell r="Y369">
            <v>0</v>
          </cell>
          <cell r="AW369">
            <v>1</v>
          </cell>
          <cell r="BC369">
            <v>5.0999999999999996</v>
          </cell>
        </row>
        <row r="393">
          <cell r="G393" t="str">
            <v>Хозяйственно-питьевой, производственный и противопожарный водопровод (В1)</v>
          </cell>
        </row>
        <row r="550">
          <cell r="G550" t="str">
            <v>Бытовая канализация. Самотечная сеть (К1)</v>
          </cell>
        </row>
        <row r="572">
          <cell r="E572" t="str">
            <v>167</v>
          </cell>
          <cell r="F572" t="str">
            <v>1.12-10-16</v>
          </cell>
          <cell r="H572" t="str">
            <v>шт.</v>
          </cell>
          <cell r="I572">
            <v>1</v>
          </cell>
          <cell r="P572">
            <v>66.41</v>
          </cell>
          <cell r="R572">
            <v>0</v>
          </cell>
          <cell r="X572">
            <v>0</v>
          </cell>
          <cell r="Y572">
            <v>0</v>
          </cell>
          <cell r="AL572">
            <v>66.41</v>
          </cell>
          <cell r="DD572"/>
        </row>
        <row r="573">
          <cell r="P573">
            <v>625.58000000000004</v>
          </cell>
          <cell r="R573">
            <v>0</v>
          </cell>
          <cell r="X573">
            <v>0</v>
          </cell>
          <cell r="Y573">
            <v>0</v>
          </cell>
          <cell r="AW573">
            <v>1</v>
          </cell>
          <cell r="BC573">
            <v>9.42</v>
          </cell>
        </row>
        <row r="576">
          <cell r="E576" t="str">
            <v>169</v>
          </cell>
          <cell r="F576" t="str">
            <v>3.16-5-2</v>
          </cell>
          <cell r="H576" t="str">
            <v>100 м трубопровода</v>
          </cell>
          <cell r="I576">
            <v>0.20899999999999999</v>
          </cell>
          <cell r="P576">
            <v>41.18</v>
          </cell>
          <cell r="Q576">
            <v>32.69</v>
          </cell>
          <cell r="R576">
            <v>11.14</v>
          </cell>
          <cell r="S576">
            <v>378.52</v>
          </cell>
          <cell r="U576">
            <v>17.171230999999999</v>
          </cell>
          <cell r="X576">
            <v>473.15</v>
          </cell>
          <cell r="Y576">
            <v>355.81</v>
          </cell>
          <cell r="AL576">
            <v>197.05</v>
          </cell>
          <cell r="AM576">
            <v>126.55</v>
          </cell>
          <cell r="AN576">
            <v>29.9</v>
          </cell>
          <cell r="AO576">
            <v>1016.4</v>
          </cell>
          <cell r="AQ576">
            <v>77</v>
          </cell>
          <cell r="DD576"/>
          <cell r="DE576"/>
          <cell r="DG576" t="str">
            <v>)*1,67</v>
          </cell>
          <cell r="DI576"/>
        </row>
        <row r="577">
          <cell r="P577">
            <v>228.14</v>
          </cell>
          <cell r="Q577">
            <v>381.87</v>
          </cell>
          <cell r="R577">
            <v>266.69</v>
          </cell>
          <cell r="S577">
            <v>9061.77</v>
          </cell>
          <cell r="X577">
            <v>9061.77</v>
          </cell>
          <cell r="Y577">
            <v>4077.8</v>
          </cell>
          <cell r="AV577">
            <v>1.0669999999999999</v>
          </cell>
          <cell r="AW577">
            <v>1</v>
          </cell>
          <cell r="BA577">
            <v>23.94</v>
          </cell>
          <cell r="BB577">
            <v>9.74</v>
          </cell>
          <cell r="BC577">
            <v>5.54</v>
          </cell>
          <cell r="BS577">
            <v>23.94</v>
          </cell>
          <cell r="BZ577">
            <v>100</v>
          </cell>
          <cell r="CA577">
            <v>45</v>
          </cell>
          <cell r="DN577">
            <v>125</v>
          </cell>
          <cell r="DO577">
            <v>94</v>
          </cell>
        </row>
        <row r="578">
          <cell r="E578" t="str">
            <v>169,1</v>
          </cell>
          <cell r="F578" t="str">
            <v>1.12-1-69</v>
          </cell>
          <cell r="H578" t="str">
            <v>м</v>
          </cell>
          <cell r="I578">
            <v>20.8582</v>
          </cell>
          <cell r="O578">
            <v>2694.67</v>
          </cell>
          <cell r="R578">
            <v>0</v>
          </cell>
          <cell r="X578">
            <v>0</v>
          </cell>
          <cell r="Y578">
            <v>0</v>
          </cell>
          <cell r="AK578">
            <v>129.19</v>
          </cell>
        </row>
        <row r="579">
          <cell r="O579">
            <v>18566.28</v>
          </cell>
          <cell r="R579">
            <v>0</v>
          </cell>
          <cell r="X579">
            <v>0</v>
          </cell>
          <cell r="Y579">
            <v>0</v>
          </cell>
          <cell r="AW579">
            <v>1</v>
          </cell>
          <cell r="BC579">
            <v>6.89</v>
          </cell>
        </row>
        <row r="588">
          <cell r="E588" t="str">
            <v>173</v>
          </cell>
          <cell r="F588" t="str">
            <v>1.12-10-33</v>
          </cell>
          <cell r="H588" t="str">
            <v>шт.</v>
          </cell>
          <cell r="I588">
            <v>6</v>
          </cell>
          <cell r="P588">
            <v>188.34</v>
          </cell>
          <cell r="R588">
            <v>0</v>
          </cell>
          <cell r="X588">
            <v>0</v>
          </cell>
          <cell r="Y588">
            <v>0</v>
          </cell>
          <cell r="AL588">
            <v>31.39</v>
          </cell>
          <cell r="DD588"/>
        </row>
        <row r="589">
          <cell r="P589">
            <v>2314.6999999999998</v>
          </cell>
          <cell r="R589">
            <v>0</v>
          </cell>
          <cell r="X589">
            <v>0</v>
          </cell>
          <cell r="Y589">
            <v>0</v>
          </cell>
          <cell r="AW589">
            <v>1</v>
          </cell>
          <cell r="BC589">
            <v>12.29</v>
          </cell>
        </row>
        <row r="594">
          <cell r="E594" t="str">
            <v>176</v>
          </cell>
          <cell r="F594" t="str">
            <v>1.12-10-49</v>
          </cell>
          <cell r="H594" t="str">
            <v>шт.</v>
          </cell>
          <cell r="I594">
            <v>2</v>
          </cell>
          <cell r="P594">
            <v>127.3</v>
          </cell>
          <cell r="R594">
            <v>0</v>
          </cell>
          <cell r="X594">
            <v>0</v>
          </cell>
          <cell r="Y594">
            <v>0</v>
          </cell>
          <cell r="AL594">
            <v>63.65</v>
          </cell>
          <cell r="DD594"/>
        </row>
        <row r="595">
          <cell r="P595">
            <v>1516.14</v>
          </cell>
          <cell r="R595">
            <v>0</v>
          </cell>
          <cell r="X595">
            <v>0</v>
          </cell>
          <cell r="Y595">
            <v>0</v>
          </cell>
          <cell r="AW595">
            <v>1</v>
          </cell>
          <cell r="BC595">
            <v>11.91</v>
          </cell>
        </row>
        <row r="606">
          <cell r="E606" t="str">
            <v>181</v>
          </cell>
          <cell r="F606" t="str">
            <v>3.13-11-6</v>
          </cell>
          <cell r="H606" t="str">
            <v>100 м2</v>
          </cell>
          <cell r="I606">
            <v>5.5999999999999999E-3</v>
          </cell>
          <cell r="P606">
            <v>0.23</v>
          </cell>
          <cell r="Q606">
            <v>0.28000000000000003</v>
          </cell>
          <cell r="R606">
            <v>0.04</v>
          </cell>
          <cell r="S606">
            <v>0.59</v>
          </cell>
          <cell r="U606">
            <v>2.9785056000000001E-2</v>
          </cell>
          <cell r="X606">
            <v>0.62</v>
          </cell>
          <cell r="Y606">
            <v>0.45</v>
          </cell>
          <cell r="AL606">
            <v>20.16</v>
          </cell>
          <cell r="AM606">
            <v>22.38</v>
          </cell>
          <cell r="AN606">
            <v>2.2200000000000002</v>
          </cell>
          <cell r="AO606">
            <v>30.23</v>
          </cell>
          <cell r="AQ606">
            <v>2.54</v>
          </cell>
          <cell r="DD606" t="str">
            <v>)*2</v>
          </cell>
          <cell r="DE606" t="str">
            <v>)*2</v>
          </cell>
          <cell r="DG606" t="str">
            <v>)*2)*1,67</v>
          </cell>
          <cell r="DI606" t="str">
            <v>)*2</v>
          </cell>
        </row>
        <row r="607">
          <cell r="P607">
            <v>1.88</v>
          </cell>
          <cell r="Q607">
            <v>2.11</v>
          </cell>
          <cell r="R607">
            <v>0.96</v>
          </cell>
          <cell r="S607">
            <v>14.12</v>
          </cell>
          <cell r="X607">
            <v>12</v>
          </cell>
          <cell r="Y607">
            <v>5.79</v>
          </cell>
          <cell r="AV607">
            <v>1.0469999999999999</v>
          </cell>
          <cell r="AW607">
            <v>1</v>
          </cell>
          <cell r="BA607">
            <v>23.94</v>
          </cell>
          <cell r="BB607">
            <v>6.27</v>
          </cell>
          <cell r="BC607">
            <v>8.16</v>
          </cell>
          <cell r="BS607">
            <v>23.94</v>
          </cell>
          <cell r="BZ607">
            <v>85</v>
          </cell>
          <cell r="CA607">
            <v>41</v>
          </cell>
          <cell r="DN607">
            <v>105</v>
          </cell>
          <cell r="DO607">
            <v>77</v>
          </cell>
        </row>
        <row r="608">
          <cell r="E608" t="str">
            <v>181,1</v>
          </cell>
          <cell r="F608" t="str">
            <v>1.1-1-413</v>
          </cell>
          <cell r="H608" t="str">
            <v>кг</v>
          </cell>
          <cell r="I608">
            <v>0.2016</v>
          </cell>
          <cell r="O608">
            <v>9.66</v>
          </cell>
          <cell r="R608">
            <v>0</v>
          </cell>
          <cell r="X608">
            <v>0</v>
          </cell>
          <cell r="Y608">
            <v>0</v>
          </cell>
          <cell r="AK608">
            <v>47.9</v>
          </cell>
        </row>
        <row r="609">
          <cell r="O609">
            <v>25.5</v>
          </cell>
          <cell r="R609">
            <v>0</v>
          </cell>
          <cell r="X609">
            <v>0</v>
          </cell>
          <cell r="Y609">
            <v>0</v>
          </cell>
          <cell r="AW609">
            <v>1</v>
          </cell>
          <cell r="BC609">
            <v>2.64</v>
          </cell>
        </row>
        <row r="610">
          <cell r="E610" t="str">
            <v>182</v>
          </cell>
          <cell r="F610" t="str">
            <v>1.7-5-240</v>
          </cell>
          <cell r="H610" t="str">
            <v>100 шт.</v>
          </cell>
          <cell r="I610">
            <v>0.16</v>
          </cell>
          <cell r="P610">
            <v>98.73</v>
          </cell>
          <cell r="R610">
            <v>0</v>
          </cell>
          <cell r="X610">
            <v>0</v>
          </cell>
          <cell r="Y610">
            <v>0</v>
          </cell>
          <cell r="AL610">
            <v>617.04</v>
          </cell>
          <cell r="DD610"/>
        </row>
        <row r="611">
          <cell r="P611">
            <v>654.58000000000004</v>
          </cell>
          <cell r="R611">
            <v>0</v>
          </cell>
          <cell r="X611">
            <v>0</v>
          </cell>
          <cell r="Y611">
            <v>0</v>
          </cell>
          <cell r="AW611">
            <v>1</v>
          </cell>
          <cell r="BC611">
            <v>6.63</v>
          </cell>
        </row>
        <row r="612">
          <cell r="E612" t="str">
            <v>183</v>
          </cell>
          <cell r="F612" t="str">
            <v>1.6-1-264</v>
          </cell>
          <cell r="H612" t="str">
            <v>т</v>
          </cell>
          <cell r="I612">
            <v>1.34E-2</v>
          </cell>
          <cell r="P612">
            <v>358.22</v>
          </cell>
          <cell r="R612">
            <v>0</v>
          </cell>
          <cell r="X612">
            <v>0</v>
          </cell>
          <cell r="Y612">
            <v>0</v>
          </cell>
          <cell r="AL612">
            <v>26732.5</v>
          </cell>
          <cell r="DD612"/>
        </row>
        <row r="613">
          <cell r="P613">
            <v>702.11</v>
          </cell>
          <cell r="R613">
            <v>0</v>
          </cell>
          <cell r="X613">
            <v>0</v>
          </cell>
          <cell r="Y613">
            <v>0</v>
          </cell>
          <cell r="AW613">
            <v>1</v>
          </cell>
          <cell r="BC613">
            <v>1.96</v>
          </cell>
        </row>
        <row r="615">
          <cell r="G615" t="str">
            <v>Бытовая канализация. Самотечная сеть (К1)</v>
          </cell>
        </row>
        <row r="644">
          <cell r="G644" t="str">
            <v>Бытовая канализация. Напорная сеть (К1Н)</v>
          </cell>
        </row>
        <row r="672">
          <cell r="E672" t="str">
            <v>194</v>
          </cell>
          <cell r="F672" t="str">
            <v>3.16-9-4</v>
          </cell>
          <cell r="H672" t="str">
            <v>100 м трубопровода</v>
          </cell>
          <cell r="I672">
            <v>0.1784</v>
          </cell>
          <cell r="P672">
            <v>9.1999999999999993</v>
          </cell>
          <cell r="Q672">
            <v>45.480000000000004</v>
          </cell>
          <cell r="R672">
            <v>9.86</v>
          </cell>
          <cell r="S672">
            <v>290.85000000000002</v>
          </cell>
          <cell r="U672">
            <v>13.800578</v>
          </cell>
          <cell r="X672">
            <v>363.56</v>
          </cell>
          <cell r="Y672">
            <v>273.39999999999998</v>
          </cell>
          <cell r="AL672">
            <v>51.59</v>
          </cell>
          <cell r="AM672">
            <v>218.14</v>
          </cell>
          <cell r="AN672">
            <v>31.03</v>
          </cell>
          <cell r="AO672">
            <v>914.95</v>
          </cell>
          <cell r="AQ672">
            <v>72.5</v>
          </cell>
          <cell r="DD672"/>
          <cell r="DE672"/>
          <cell r="DG672" t="str">
            <v>*1,67</v>
          </cell>
          <cell r="DI672"/>
        </row>
        <row r="673">
          <cell r="P673">
            <v>50.97</v>
          </cell>
          <cell r="Q673">
            <v>426.54</v>
          </cell>
          <cell r="R673">
            <v>236.05</v>
          </cell>
          <cell r="S673">
            <v>6962.95</v>
          </cell>
          <cell r="X673">
            <v>6962.95</v>
          </cell>
          <cell r="Y673">
            <v>3133.33</v>
          </cell>
          <cell r="AV673">
            <v>1.0669999999999999</v>
          </cell>
          <cell r="AW673">
            <v>1</v>
          </cell>
          <cell r="BA673">
            <v>23.94</v>
          </cell>
          <cell r="BB673">
            <v>7.99</v>
          </cell>
          <cell r="BC673">
            <v>5.54</v>
          </cell>
          <cell r="BS673">
            <v>23.94</v>
          </cell>
          <cell r="BZ673">
            <v>100</v>
          </cell>
          <cell r="CA673">
            <v>45</v>
          </cell>
          <cell r="DN673">
            <v>125</v>
          </cell>
          <cell r="DO673">
            <v>94</v>
          </cell>
        </row>
        <row r="674">
          <cell r="E674" t="str">
            <v>195</v>
          </cell>
          <cell r="F674" t="str">
            <v>1.12-7-138</v>
          </cell>
          <cell r="H674" t="str">
            <v>м</v>
          </cell>
          <cell r="I674">
            <v>17.84</v>
          </cell>
          <cell r="P674">
            <v>22952.41</v>
          </cell>
          <cell r="R674">
            <v>0</v>
          </cell>
          <cell r="X674">
            <v>0</v>
          </cell>
          <cell r="Y674">
            <v>0</v>
          </cell>
          <cell r="AL674">
            <v>1286.57</v>
          </cell>
          <cell r="DD674"/>
        </row>
        <row r="675">
          <cell r="P675">
            <v>73906.759999999995</v>
          </cell>
          <cell r="R675">
            <v>0</v>
          </cell>
          <cell r="X675">
            <v>0</v>
          </cell>
          <cell r="Y675">
            <v>0</v>
          </cell>
          <cell r="AW675">
            <v>1</v>
          </cell>
          <cell r="BC675">
            <v>3.22</v>
          </cell>
        </row>
        <row r="682">
          <cell r="E682" t="str">
            <v>199</v>
          </cell>
          <cell r="F682" t="str">
            <v>1.12-11-5</v>
          </cell>
          <cell r="H682" t="str">
            <v>шт.</v>
          </cell>
          <cell r="I682">
            <v>6</v>
          </cell>
          <cell r="P682">
            <v>306.06</v>
          </cell>
          <cell r="R682">
            <v>0</v>
          </cell>
          <cell r="X682">
            <v>0</v>
          </cell>
          <cell r="Y682">
            <v>0</v>
          </cell>
          <cell r="AL682">
            <v>51.01</v>
          </cell>
          <cell r="DD682"/>
        </row>
        <row r="683">
          <cell r="P683">
            <v>1285.45</v>
          </cell>
          <cell r="R683">
            <v>0</v>
          </cell>
          <cell r="X683">
            <v>0</v>
          </cell>
          <cell r="Y683">
            <v>0</v>
          </cell>
          <cell r="AW683">
            <v>1</v>
          </cell>
          <cell r="BC683">
            <v>4.2</v>
          </cell>
        </row>
        <row r="698">
          <cell r="E698" t="str">
            <v>204</v>
          </cell>
          <cell r="F698" t="str">
            <v>3.13-11-6</v>
          </cell>
          <cell r="H698" t="str">
            <v>100 м2</v>
          </cell>
          <cell r="I698">
            <v>6.4999999999999997E-4</v>
          </cell>
          <cell r="P698">
            <v>0.03</v>
          </cell>
          <cell r="Q698">
            <v>0.03</v>
          </cell>
          <cell r="R698">
            <v>0.01</v>
          </cell>
          <cell r="S698">
            <v>7.0000000000000007E-2</v>
          </cell>
          <cell r="U698">
            <v>3.4571939999999998E-3</v>
          </cell>
          <cell r="X698">
            <v>7.0000000000000007E-2</v>
          </cell>
          <cell r="Y698">
            <v>0.05</v>
          </cell>
          <cell r="AL698">
            <v>20.16</v>
          </cell>
          <cell r="AM698">
            <v>22.38</v>
          </cell>
          <cell r="AN698">
            <v>2.2200000000000002</v>
          </cell>
          <cell r="AO698">
            <v>30.23</v>
          </cell>
          <cell r="AQ698">
            <v>2.54</v>
          </cell>
          <cell r="DD698" t="str">
            <v>)*2</v>
          </cell>
          <cell r="DE698" t="str">
            <v>)*2</v>
          </cell>
          <cell r="DG698" t="str">
            <v>)*2)*1,67</v>
          </cell>
          <cell r="DI698" t="str">
            <v>)*2</v>
          </cell>
        </row>
        <row r="699">
          <cell r="P699">
            <v>0.24</v>
          </cell>
          <cell r="Q699">
            <v>0.19</v>
          </cell>
          <cell r="R699">
            <v>0.24</v>
          </cell>
          <cell r="S699">
            <v>1.68</v>
          </cell>
          <cell r="X699">
            <v>1.43</v>
          </cell>
          <cell r="Y699">
            <v>0.69</v>
          </cell>
          <cell r="AV699">
            <v>1.0469999999999999</v>
          </cell>
          <cell r="AW699">
            <v>1</v>
          </cell>
          <cell r="BA699">
            <v>23.94</v>
          </cell>
          <cell r="BB699">
            <v>6.27</v>
          </cell>
          <cell r="BC699">
            <v>8.16</v>
          </cell>
          <cell r="BS699">
            <v>23.94</v>
          </cell>
          <cell r="BZ699">
            <v>85</v>
          </cell>
          <cell r="CA699">
            <v>41</v>
          </cell>
          <cell r="DN699">
            <v>105</v>
          </cell>
          <cell r="DO699">
            <v>77</v>
          </cell>
        </row>
        <row r="700">
          <cell r="E700" t="str">
            <v>204,1</v>
          </cell>
          <cell r="F700" t="str">
            <v>1.1-1-413</v>
          </cell>
          <cell r="H700" t="str">
            <v>кг</v>
          </cell>
          <cell r="I700">
            <v>4.6799999999999994E-2</v>
          </cell>
          <cell r="O700">
            <v>2.2400000000000002</v>
          </cell>
          <cell r="R700">
            <v>0</v>
          </cell>
          <cell r="X700">
            <v>0</v>
          </cell>
          <cell r="Y700">
            <v>0</v>
          </cell>
          <cell r="AK700">
            <v>47.9</v>
          </cell>
        </row>
        <row r="701">
          <cell r="O701">
            <v>5.91</v>
          </cell>
          <cell r="R701">
            <v>0</v>
          </cell>
          <cell r="X701">
            <v>0</v>
          </cell>
          <cell r="Y701">
            <v>0</v>
          </cell>
          <cell r="AW701">
            <v>1</v>
          </cell>
          <cell r="BC701">
            <v>2.64</v>
          </cell>
        </row>
        <row r="706">
          <cell r="E706" t="str">
            <v>207</v>
          </cell>
          <cell r="F706" t="str">
            <v>1.7-5-155</v>
          </cell>
          <cell r="H706" t="str">
            <v>шт.</v>
          </cell>
          <cell r="I706">
            <v>10</v>
          </cell>
          <cell r="P706">
            <v>253.3</v>
          </cell>
          <cell r="R706">
            <v>0</v>
          </cell>
          <cell r="X706">
            <v>0</v>
          </cell>
          <cell r="Y706">
            <v>0</v>
          </cell>
          <cell r="AL706">
            <v>25.33</v>
          </cell>
          <cell r="DD706"/>
        </row>
        <row r="707">
          <cell r="P707">
            <v>1291.83</v>
          </cell>
          <cell r="R707">
            <v>0</v>
          </cell>
          <cell r="X707">
            <v>0</v>
          </cell>
          <cell r="Y707">
            <v>0</v>
          </cell>
          <cell r="AW707">
            <v>1</v>
          </cell>
          <cell r="BC707">
            <v>5.0999999999999996</v>
          </cell>
        </row>
        <row r="708">
          <cell r="E708" t="str">
            <v>208</v>
          </cell>
          <cell r="F708" t="str">
            <v>1.7-5-240</v>
          </cell>
          <cell r="H708" t="str">
            <v>100 шт.</v>
          </cell>
          <cell r="I708">
            <v>0.18</v>
          </cell>
          <cell r="P708">
            <v>111.07</v>
          </cell>
          <cell r="R708">
            <v>0</v>
          </cell>
          <cell r="X708">
            <v>0</v>
          </cell>
          <cell r="Y708">
            <v>0</v>
          </cell>
          <cell r="AL708">
            <v>617.04</v>
          </cell>
          <cell r="DD708"/>
        </row>
        <row r="709">
          <cell r="P709">
            <v>736.39</v>
          </cell>
          <cell r="R709">
            <v>0</v>
          </cell>
          <cell r="X709">
            <v>0</v>
          </cell>
          <cell r="Y709">
            <v>0</v>
          </cell>
          <cell r="AW709">
            <v>1</v>
          </cell>
          <cell r="BC709">
            <v>6.63</v>
          </cell>
        </row>
        <row r="755">
          <cell r="G755" t="str">
            <v>Бытовая канализация. Напорная сеть (К1Н)</v>
          </cell>
        </row>
        <row r="1048">
          <cell r="G1048" t="str">
            <v>Канализационная насосная станция (пом. 4.23)</v>
          </cell>
        </row>
        <row r="1052">
          <cell r="E1052" t="str">
            <v>284</v>
          </cell>
          <cell r="F1052" t="str">
            <v>3.18-11-3</v>
          </cell>
          <cell r="H1052" t="str">
            <v>1 насос</v>
          </cell>
          <cell r="I1052">
            <v>1</v>
          </cell>
          <cell r="P1052">
            <v>188.17</v>
          </cell>
          <cell r="Q1052">
            <v>51.43</v>
          </cell>
          <cell r="R1052">
            <v>17</v>
          </cell>
          <cell r="S1052">
            <v>401.83</v>
          </cell>
          <cell r="U1052">
            <v>19.7395</v>
          </cell>
          <cell r="X1052">
            <v>502.29</v>
          </cell>
          <cell r="Y1052">
            <v>377.72</v>
          </cell>
          <cell r="AL1052">
            <v>188.17</v>
          </cell>
          <cell r="AM1052">
            <v>41.81</v>
          </cell>
          <cell r="AN1052">
            <v>9.5399999999999991</v>
          </cell>
          <cell r="AO1052">
            <v>225.51</v>
          </cell>
          <cell r="AQ1052">
            <v>18.5</v>
          </cell>
          <cell r="DD1052"/>
          <cell r="DE1052"/>
          <cell r="DG1052" t="str">
            <v>*1,67</v>
          </cell>
          <cell r="DI1052"/>
        </row>
        <row r="1053">
          <cell r="P1053">
            <v>859.94</v>
          </cell>
          <cell r="Q1053">
            <v>591.08000000000004</v>
          </cell>
          <cell r="R1053">
            <v>406.98</v>
          </cell>
          <cell r="S1053">
            <v>9619.81</v>
          </cell>
          <cell r="X1053">
            <v>9619.81</v>
          </cell>
          <cell r="Y1053">
            <v>4328.91</v>
          </cell>
          <cell r="AV1053">
            <v>1.0669999999999999</v>
          </cell>
          <cell r="AW1053">
            <v>1</v>
          </cell>
          <cell r="BA1053">
            <v>23.94</v>
          </cell>
          <cell r="BB1053">
            <v>9.59</v>
          </cell>
          <cell r="BC1053">
            <v>4.57</v>
          </cell>
          <cell r="BS1053">
            <v>23.94</v>
          </cell>
          <cell r="BZ1053">
            <v>100</v>
          </cell>
          <cell r="CA1053">
            <v>45</v>
          </cell>
          <cell r="DN1053">
            <v>125</v>
          </cell>
          <cell r="DO1053">
            <v>94</v>
          </cell>
        </row>
        <row r="1054">
          <cell r="E1054" t="str">
            <v>285</v>
          </cell>
          <cell r="F1054" t="str">
            <v>3.16-16-1</v>
          </cell>
          <cell r="H1054" t="str">
            <v>1  ШТ.</v>
          </cell>
          <cell r="I1054">
            <v>2</v>
          </cell>
          <cell r="P1054">
            <v>39.6</v>
          </cell>
          <cell r="Q1054">
            <v>13.66</v>
          </cell>
          <cell r="R1054">
            <v>4.8499999999999996</v>
          </cell>
          <cell r="S1054">
            <v>38.17</v>
          </cell>
          <cell r="U1054">
            <v>1.9205999999999999</v>
          </cell>
          <cell r="X1054">
            <v>47.71</v>
          </cell>
          <cell r="Y1054">
            <v>35.880000000000003</v>
          </cell>
          <cell r="AL1054">
            <v>19.8</v>
          </cell>
          <cell r="AM1054">
            <v>5.49</v>
          </cell>
          <cell r="AN1054">
            <v>1.36</v>
          </cell>
          <cell r="AO1054">
            <v>10.71</v>
          </cell>
          <cell r="AQ1054">
            <v>0.9</v>
          </cell>
          <cell r="DD1054"/>
          <cell r="DE1054"/>
          <cell r="DG1054" t="str">
            <v>*1,67</v>
          </cell>
          <cell r="DI1054"/>
        </row>
        <row r="1055">
          <cell r="P1055">
            <v>167.11</v>
          </cell>
          <cell r="Q1055">
            <v>163.05000000000001</v>
          </cell>
          <cell r="R1055">
            <v>116.11</v>
          </cell>
          <cell r="S1055">
            <v>913.79</v>
          </cell>
          <cell r="X1055">
            <v>913.79</v>
          </cell>
          <cell r="Y1055">
            <v>411.21</v>
          </cell>
          <cell r="AV1055">
            <v>1.0669999999999999</v>
          </cell>
          <cell r="AW1055">
            <v>1</v>
          </cell>
          <cell r="BA1055">
            <v>23.94</v>
          </cell>
          <cell r="BB1055">
            <v>9.9499999999999993</v>
          </cell>
          <cell r="BC1055">
            <v>4.22</v>
          </cell>
          <cell r="BS1055">
            <v>23.94</v>
          </cell>
          <cell r="BZ1055">
            <v>100</v>
          </cell>
          <cell r="CA1055">
            <v>45</v>
          </cell>
          <cell r="DN1055">
            <v>125</v>
          </cell>
          <cell r="DO1055">
            <v>94</v>
          </cell>
        </row>
        <row r="1056">
          <cell r="E1056" t="str">
            <v>286</v>
          </cell>
          <cell r="F1056" t="str">
            <v>МКЭ-33-2104/7-3 от 14.12.2017г.</v>
          </cell>
          <cell r="H1056" t="str">
            <v>шт.</v>
          </cell>
          <cell r="I1056">
            <v>2</v>
          </cell>
          <cell r="R1056">
            <v>0</v>
          </cell>
          <cell r="X1056">
            <v>0</v>
          </cell>
          <cell r="Y1056">
            <v>0</v>
          </cell>
          <cell r="AL1056">
            <v>958.80109489051097</v>
          </cell>
          <cell r="DD1056" t="str">
            <v>*1,02</v>
          </cell>
        </row>
        <row r="1057">
          <cell r="R1057">
            <v>0</v>
          </cell>
          <cell r="X1057">
            <v>0</v>
          </cell>
          <cell r="Y1057">
            <v>0</v>
          </cell>
          <cell r="AW1057">
            <v>1</v>
          </cell>
          <cell r="BC1057">
            <v>5.48</v>
          </cell>
        </row>
        <row r="1058">
          <cell r="E1058" t="str">
            <v>287</v>
          </cell>
          <cell r="F1058" t="str">
            <v>1.12-9-4</v>
          </cell>
          <cell r="H1058" t="str">
            <v>шт.</v>
          </cell>
          <cell r="I1058">
            <v>4</v>
          </cell>
          <cell r="P1058">
            <v>183.8</v>
          </cell>
          <cell r="R1058">
            <v>0</v>
          </cell>
          <cell r="X1058">
            <v>0</v>
          </cell>
          <cell r="Y1058">
            <v>0</v>
          </cell>
          <cell r="AL1058">
            <v>45.95</v>
          </cell>
          <cell r="DD1058"/>
        </row>
        <row r="1059">
          <cell r="P1059">
            <v>749.9</v>
          </cell>
          <cell r="R1059">
            <v>0</v>
          </cell>
          <cell r="X1059">
            <v>0</v>
          </cell>
          <cell r="Y1059">
            <v>0</v>
          </cell>
          <cell r="AW1059">
            <v>1</v>
          </cell>
          <cell r="BC1059">
            <v>4.08</v>
          </cell>
        </row>
        <row r="1060">
          <cell r="E1060" t="str">
            <v>288</v>
          </cell>
          <cell r="F1060" t="str">
            <v>3.16-16-2</v>
          </cell>
          <cell r="H1060" t="str">
            <v>1  ШТ.</v>
          </cell>
          <cell r="I1060">
            <v>2</v>
          </cell>
          <cell r="P1060">
            <v>75</v>
          </cell>
          <cell r="Q1060">
            <v>13.66</v>
          </cell>
          <cell r="R1060">
            <v>4.8499999999999996</v>
          </cell>
          <cell r="S1060">
            <v>67</v>
          </cell>
          <cell r="U1060">
            <v>3.3717199999999998</v>
          </cell>
          <cell r="X1060">
            <v>83.75</v>
          </cell>
          <cell r="Y1060">
            <v>62.98</v>
          </cell>
          <cell r="AL1060">
            <v>37.5</v>
          </cell>
          <cell r="AM1060">
            <v>5.49</v>
          </cell>
          <cell r="AN1060">
            <v>1.36</v>
          </cell>
          <cell r="AO1060">
            <v>18.8</v>
          </cell>
          <cell r="AQ1060">
            <v>1.58</v>
          </cell>
          <cell r="DD1060"/>
          <cell r="DE1060"/>
          <cell r="DG1060" t="str">
            <v>*1,67</v>
          </cell>
          <cell r="DI1060"/>
        </row>
        <row r="1061">
          <cell r="P1061">
            <v>317.25</v>
          </cell>
          <cell r="Q1061">
            <v>163.05000000000001</v>
          </cell>
          <cell r="R1061">
            <v>116.11</v>
          </cell>
          <cell r="S1061">
            <v>1603.98</v>
          </cell>
          <cell r="X1061">
            <v>1603.98</v>
          </cell>
          <cell r="Y1061">
            <v>721.79</v>
          </cell>
          <cell r="AV1061">
            <v>1.0669999999999999</v>
          </cell>
          <cell r="AW1061">
            <v>1</v>
          </cell>
          <cell r="BA1061">
            <v>23.94</v>
          </cell>
          <cell r="BB1061">
            <v>9.9499999999999993</v>
          </cell>
          <cell r="BC1061">
            <v>4.2300000000000004</v>
          </cell>
          <cell r="BS1061">
            <v>23.94</v>
          </cell>
          <cell r="BZ1061">
            <v>100</v>
          </cell>
          <cell r="CA1061">
            <v>45</v>
          </cell>
          <cell r="DN1061">
            <v>125</v>
          </cell>
          <cell r="DO1061">
            <v>94</v>
          </cell>
        </row>
        <row r="1062">
          <cell r="E1062" t="str">
            <v>289</v>
          </cell>
          <cell r="F1062" t="str">
            <v>МКЭ-28-832/6-1 от 07.04.2016 г</v>
          </cell>
          <cell r="H1062" t="str">
            <v>шт.</v>
          </cell>
          <cell r="I1062">
            <v>2</v>
          </cell>
          <cell r="R1062">
            <v>0</v>
          </cell>
          <cell r="X1062">
            <v>0</v>
          </cell>
          <cell r="Y1062">
            <v>0</v>
          </cell>
          <cell r="AL1062">
            <v>1467.0802919708028</v>
          </cell>
          <cell r="DD1062" t="str">
            <v>*1,02</v>
          </cell>
        </row>
        <row r="1063">
          <cell r="R1063">
            <v>0</v>
          </cell>
          <cell r="X1063">
            <v>0</v>
          </cell>
          <cell r="Y1063">
            <v>0</v>
          </cell>
          <cell r="AW1063">
            <v>1</v>
          </cell>
          <cell r="BC1063">
            <v>5.48</v>
          </cell>
        </row>
        <row r="1064">
          <cell r="E1064" t="str">
            <v>290</v>
          </cell>
          <cell r="F1064" t="str">
            <v>1.12-9-7</v>
          </cell>
          <cell r="H1064" t="str">
            <v>шт.</v>
          </cell>
          <cell r="I1064">
            <v>4</v>
          </cell>
          <cell r="P1064">
            <v>351.24</v>
          </cell>
          <cell r="R1064">
            <v>0</v>
          </cell>
          <cell r="X1064">
            <v>0</v>
          </cell>
          <cell r="Y1064">
            <v>0</v>
          </cell>
          <cell r="AL1064">
            <v>87.81</v>
          </cell>
          <cell r="DD1064"/>
        </row>
        <row r="1065">
          <cell r="P1065">
            <v>1619.22</v>
          </cell>
          <cell r="R1065">
            <v>0</v>
          </cell>
          <cell r="X1065">
            <v>0</v>
          </cell>
          <cell r="Y1065">
            <v>0</v>
          </cell>
          <cell r="AW1065">
            <v>1</v>
          </cell>
          <cell r="BC1065">
            <v>4.6100000000000003</v>
          </cell>
        </row>
        <row r="1066">
          <cell r="E1066" t="str">
            <v>291</v>
          </cell>
          <cell r="F1066" t="str">
            <v>3.16-16-4</v>
          </cell>
          <cell r="H1066" t="str">
            <v>1  ШТ.</v>
          </cell>
          <cell r="I1066">
            <v>2</v>
          </cell>
          <cell r="P1066">
            <v>181.88</v>
          </cell>
          <cell r="Q1066">
            <v>25.459999999999997</v>
          </cell>
          <cell r="R1066">
            <v>9.0500000000000007</v>
          </cell>
          <cell r="S1066">
            <v>172.91</v>
          </cell>
          <cell r="U1066">
            <v>9.0268200000000007</v>
          </cell>
          <cell r="X1066">
            <v>216.14</v>
          </cell>
          <cell r="Y1066">
            <v>162.54</v>
          </cell>
          <cell r="AL1066">
            <v>90.94</v>
          </cell>
          <cell r="AM1066">
            <v>10.23</v>
          </cell>
          <cell r="AN1066">
            <v>2.54</v>
          </cell>
          <cell r="AO1066">
            <v>48.52</v>
          </cell>
          <cell r="AQ1066">
            <v>4.2300000000000004</v>
          </cell>
          <cell r="DD1066"/>
          <cell r="DE1066"/>
          <cell r="DG1066" t="str">
            <v>*1,67</v>
          </cell>
          <cell r="DI1066"/>
        </row>
        <row r="1067">
          <cell r="P1067">
            <v>767.53</v>
          </cell>
          <cell r="Q1067">
            <v>304.55</v>
          </cell>
          <cell r="R1067">
            <v>216.66</v>
          </cell>
          <cell r="S1067">
            <v>4139.47</v>
          </cell>
          <cell r="X1067">
            <v>4139.47</v>
          </cell>
          <cell r="Y1067">
            <v>1862.76</v>
          </cell>
          <cell r="AV1067">
            <v>1.0669999999999999</v>
          </cell>
          <cell r="AW1067">
            <v>1</v>
          </cell>
          <cell r="BA1067">
            <v>23.94</v>
          </cell>
          <cell r="BB1067">
            <v>9.9700000000000006</v>
          </cell>
          <cell r="BC1067">
            <v>4.22</v>
          </cell>
          <cell r="BS1067">
            <v>23.94</v>
          </cell>
          <cell r="BZ1067">
            <v>100</v>
          </cell>
          <cell r="CA1067">
            <v>45</v>
          </cell>
          <cell r="DN1067">
            <v>125</v>
          </cell>
          <cell r="DO1067">
            <v>94</v>
          </cell>
        </row>
        <row r="1068">
          <cell r="E1068" t="str">
            <v>292</v>
          </cell>
          <cell r="F1068" t="str">
            <v>1.12-9-9</v>
          </cell>
          <cell r="H1068" t="str">
            <v>шт.</v>
          </cell>
          <cell r="I1068">
            <v>4</v>
          </cell>
          <cell r="P1068">
            <v>919.36</v>
          </cell>
          <cell r="R1068">
            <v>0</v>
          </cell>
          <cell r="X1068">
            <v>0</v>
          </cell>
          <cell r="Y1068">
            <v>0</v>
          </cell>
          <cell r="AL1068">
            <v>229.84</v>
          </cell>
          <cell r="DD1068"/>
        </row>
        <row r="1069">
          <cell r="P1069">
            <v>2794.85</v>
          </cell>
          <cell r="R1069">
            <v>0</v>
          </cell>
          <cell r="X1069">
            <v>0</v>
          </cell>
          <cell r="Y1069">
            <v>0</v>
          </cell>
          <cell r="AW1069">
            <v>1</v>
          </cell>
          <cell r="BC1069">
            <v>3.04</v>
          </cell>
        </row>
        <row r="1070">
          <cell r="E1070" t="str">
            <v>293</v>
          </cell>
          <cell r="F1070" t="str">
            <v>3.16-16-2</v>
          </cell>
          <cell r="H1070" t="str">
            <v>1  ШТ.</v>
          </cell>
          <cell r="I1070">
            <v>2</v>
          </cell>
          <cell r="P1070">
            <v>75</v>
          </cell>
          <cell r="Q1070">
            <v>13.66</v>
          </cell>
          <cell r="R1070">
            <v>4.8499999999999996</v>
          </cell>
          <cell r="S1070">
            <v>67</v>
          </cell>
          <cell r="U1070">
            <v>3.3717199999999998</v>
          </cell>
          <cell r="X1070">
            <v>83.75</v>
          </cell>
          <cell r="Y1070">
            <v>62.98</v>
          </cell>
          <cell r="AL1070">
            <v>37.5</v>
          </cell>
          <cell r="AM1070">
            <v>5.49</v>
          </cell>
          <cell r="AN1070">
            <v>1.36</v>
          </cell>
          <cell r="AO1070">
            <v>18.8</v>
          </cell>
          <cell r="AQ1070">
            <v>1.58</v>
          </cell>
          <cell r="DD1070"/>
          <cell r="DE1070"/>
          <cell r="DG1070" t="str">
            <v>*1,67</v>
          </cell>
          <cell r="DI1070"/>
        </row>
        <row r="1071">
          <cell r="P1071">
            <v>317.25</v>
          </cell>
          <cell r="Q1071">
            <v>163.05000000000001</v>
          </cell>
          <cell r="R1071">
            <v>116.11</v>
          </cell>
          <cell r="S1071">
            <v>1603.98</v>
          </cell>
          <cell r="X1071">
            <v>1603.98</v>
          </cell>
          <cell r="Y1071">
            <v>721.79</v>
          </cell>
          <cell r="AV1071">
            <v>1.0669999999999999</v>
          </cell>
          <cell r="AW1071">
            <v>1</v>
          </cell>
          <cell r="BA1071">
            <v>23.94</v>
          </cell>
          <cell r="BB1071">
            <v>9.9499999999999993</v>
          </cell>
          <cell r="BC1071">
            <v>4.2300000000000004</v>
          </cell>
          <cell r="BS1071">
            <v>23.94</v>
          </cell>
          <cell r="BZ1071">
            <v>100</v>
          </cell>
          <cell r="CA1071">
            <v>45</v>
          </cell>
          <cell r="DN1071">
            <v>125</v>
          </cell>
          <cell r="DO1071">
            <v>94</v>
          </cell>
        </row>
        <row r="1072">
          <cell r="E1072" t="str">
            <v>294</v>
          </cell>
          <cell r="F1072" t="str">
            <v>МКЭ-33-916/7-11 от 30.11.2017</v>
          </cell>
          <cell r="H1072" t="str">
            <v>шт.</v>
          </cell>
          <cell r="I1072">
            <v>2</v>
          </cell>
          <cell r="R1072">
            <v>0</v>
          </cell>
          <cell r="X1072">
            <v>0</v>
          </cell>
          <cell r="Y1072">
            <v>0</v>
          </cell>
          <cell r="AL1072">
            <v>1467.0802919708028</v>
          </cell>
          <cell r="DD1072" t="str">
            <v>*1,02</v>
          </cell>
        </row>
        <row r="1073">
          <cell r="R1073">
            <v>0</v>
          </cell>
          <cell r="X1073">
            <v>0</v>
          </cell>
          <cell r="Y1073">
            <v>0</v>
          </cell>
          <cell r="AW1073">
            <v>1</v>
          </cell>
          <cell r="BC1073">
            <v>5.48</v>
          </cell>
        </row>
        <row r="1074">
          <cell r="E1074" t="str">
            <v>295</v>
          </cell>
          <cell r="F1074" t="str">
            <v>1.12-9-7</v>
          </cell>
          <cell r="H1074" t="str">
            <v>шт.</v>
          </cell>
          <cell r="I1074">
            <v>4</v>
          </cell>
          <cell r="P1074">
            <v>351.24</v>
          </cell>
          <cell r="R1074">
            <v>0</v>
          </cell>
          <cell r="X1074">
            <v>0</v>
          </cell>
          <cell r="Y1074">
            <v>0</v>
          </cell>
          <cell r="AL1074">
            <v>87.81</v>
          </cell>
          <cell r="DD1074"/>
        </row>
        <row r="1075">
          <cell r="P1075">
            <v>1619.22</v>
          </cell>
          <cell r="R1075">
            <v>0</v>
          </cell>
          <cell r="X1075">
            <v>0</v>
          </cell>
          <cell r="Y1075">
            <v>0</v>
          </cell>
          <cell r="AW1075">
            <v>1</v>
          </cell>
          <cell r="BC1075">
            <v>4.6100000000000003</v>
          </cell>
        </row>
        <row r="1094">
          <cell r="E1094" t="str">
            <v>302</v>
          </cell>
          <cell r="F1094" t="str">
            <v>3.16-9-2</v>
          </cell>
          <cell r="H1094" t="str">
            <v>100 м трубопровода</v>
          </cell>
          <cell r="I1094">
            <v>4.1799999999999997E-2</v>
          </cell>
          <cell r="P1094">
            <v>1.75</v>
          </cell>
          <cell r="Q1094">
            <v>7.14</v>
          </cell>
          <cell r="R1094">
            <v>1.45</v>
          </cell>
          <cell r="S1094">
            <v>61.57</v>
          </cell>
          <cell r="U1094">
            <v>2.9213392999999996</v>
          </cell>
          <cell r="X1094">
            <v>76.959999999999994</v>
          </cell>
          <cell r="Y1094">
            <v>57.88</v>
          </cell>
          <cell r="AL1094">
            <v>41.86</v>
          </cell>
          <cell r="AM1094">
            <v>147.1</v>
          </cell>
          <cell r="AN1094">
            <v>19.53</v>
          </cell>
          <cell r="AO1094">
            <v>826.61</v>
          </cell>
          <cell r="AQ1094">
            <v>65.5</v>
          </cell>
          <cell r="DD1094"/>
          <cell r="DE1094"/>
          <cell r="DG1094" t="str">
            <v>)*1,67</v>
          </cell>
          <cell r="DI1094"/>
        </row>
        <row r="1095">
          <cell r="P1095">
            <v>9.6999999999999993</v>
          </cell>
          <cell r="Q1095">
            <v>65.19</v>
          </cell>
          <cell r="R1095">
            <v>34.71</v>
          </cell>
          <cell r="S1095">
            <v>1473.99</v>
          </cell>
          <cell r="X1095">
            <v>1473.99</v>
          </cell>
          <cell r="Y1095">
            <v>663.3</v>
          </cell>
          <cell r="AV1095">
            <v>1.0669999999999999</v>
          </cell>
          <cell r="AW1095">
            <v>1</v>
          </cell>
          <cell r="BA1095">
            <v>23.94</v>
          </cell>
          <cell r="BB1095">
            <v>7.82</v>
          </cell>
          <cell r="BC1095">
            <v>5.54</v>
          </cell>
          <cell r="BS1095">
            <v>23.94</v>
          </cell>
          <cell r="BZ1095">
            <v>100</v>
          </cell>
          <cell r="CA1095">
            <v>45</v>
          </cell>
          <cell r="DN1095">
            <v>125</v>
          </cell>
          <cell r="DO1095">
            <v>94</v>
          </cell>
        </row>
        <row r="1096">
          <cell r="E1096" t="str">
            <v>302,1</v>
          </cell>
          <cell r="F1096" t="str">
            <v>1.12-6-112</v>
          </cell>
          <cell r="H1096" t="str">
            <v>м</v>
          </cell>
          <cell r="I1096">
            <v>4.18</v>
          </cell>
          <cell r="O1096">
            <v>158.30000000000001</v>
          </cell>
          <cell r="R1096">
            <v>0</v>
          </cell>
          <cell r="X1096">
            <v>0</v>
          </cell>
          <cell r="Y1096">
            <v>0</v>
          </cell>
          <cell r="AK1096">
            <v>37.869999999999997</v>
          </cell>
        </row>
        <row r="1097">
          <cell r="O1097">
            <v>1334.47</v>
          </cell>
          <cell r="R1097">
            <v>0</v>
          </cell>
          <cell r="X1097">
            <v>0</v>
          </cell>
          <cell r="Y1097">
            <v>0</v>
          </cell>
          <cell r="AW1097">
            <v>1</v>
          </cell>
          <cell r="BC1097">
            <v>8.43</v>
          </cell>
        </row>
        <row r="1098">
          <cell r="E1098" t="str">
            <v>303</v>
          </cell>
          <cell r="F1098" t="str">
            <v>3.16-9-4</v>
          </cell>
          <cell r="H1098" t="str">
            <v>100 м трубопровода</v>
          </cell>
          <cell r="I1098">
            <v>3.5000000000000003E-2</v>
          </cell>
          <cell r="P1098">
            <v>1.81</v>
          </cell>
          <cell r="Q1098">
            <v>8.93</v>
          </cell>
          <cell r="R1098">
            <v>1.94</v>
          </cell>
          <cell r="S1098">
            <v>57.06</v>
          </cell>
          <cell r="U1098">
            <v>2.7075125000000004</v>
          </cell>
          <cell r="X1098">
            <v>71.33</v>
          </cell>
          <cell r="Y1098">
            <v>53.64</v>
          </cell>
          <cell r="AL1098">
            <v>51.59</v>
          </cell>
          <cell r="AM1098">
            <v>218.14</v>
          </cell>
          <cell r="AN1098">
            <v>31.03</v>
          </cell>
          <cell r="AO1098">
            <v>914.95</v>
          </cell>
          <cell r="AQ1098">
            <v>72.5</v>
          </cell>
          <cell r="DD1098"/>
          <cell r="DE1098"/>
          <cell r="DG1098" t="str">
            <v>)*1,67</v>
          </cell>
          <cell r="DI1098"/>
        </row>
        <row r="1099">
          <cell r="P1099">
            <v>10.029999999999999</v>
          </cell>
          <cell r="Q1099">
            <v>83.79</v>
          </cell>
          <cell r="R1099">
            <v>46.44</v>
          </cell>
          <cell r="S1099">
            <v>1366.02</v>
          </cell>
          <cell r="X1099">
            <v>1366.02</v>
          </cell>
          <cell r="Y1099">
            <v>614.71</v>
          </cell>
          <cell r="AV1099">
            <v>1.0669999999999999</v>
          </cell>
          <cell r="AW1099">
            <v>1</v>
          </cell>
          <cell r="BA1099">
            <v>23.94</v>
          </cell>
          <cell r="BB1099">
            <v>7.99</v>
          </cell>
          <cell r="BC1099">
            <v>5.54</v>
          </cell>
          <cell r="BS1099">
            <v>23.94</v>
          </cell>
          <cell r="BZ1099">
            <v>100</v>
          </cell>
          <cell r="CA1099">
            <v>45</v>
          </cell>
          <cell r="DN1099">
            <v>125</v>
          </cell>
          <cell r="DO1099">
            <v>94</v>
          </cell>
        </row>
        <row r="1100">
          <cell r="E1100" t="str">
            <v>303,1</v>
          </cell>
          <cell r="F1100" t="str">
            <v>1.12-6-163</v>
          </cell>
          <cell r="H1100" t="str">
            <v>м</v>
          </cell>
          <cell r="I1100">
            <v>3.5</v>
          </cell>
          <cell r="O1100">
            <v>396.87</v>
          </cell>
          <cell r="R1100">
            <v>0</v>
          </cell>
          <cell r="X1100">
            <v>0</v>
          </cell>
          <cell r="Y1100">
            <v>0</v>
          </cell>
          <cell r="AK1100">
            <v>113.39</v>
          </cell>
        </row>
        <row r="1101">
          <cell r="O1101">
            <v>2428.84</v>
          </cell>
          <cell r="R1101">
            <v>0</v>
          </cell>
          <cell r="X1101">
            <v>0</v>
          </cell>
          <cell r="Y1101">
            <v>0</v>
          </cell>
          <cell r="AW1101">
            <v>1</v>
          </cell>
          <cell r="BC1101">
            <v>6.12</v>
          </cell>
        </row>
        <row r="1102">
          <cell r="E1102" t="str">
            <v>304</v>
          </cell>
          <cell r="F1102" t="str">
            <v>3.16-9-7</v>
          </cell>
          <cell r="H1102" t="str">
            <v>100 м трубопровода</v>
          </cell>
          <cell r="I1102">
            <v>2.3E-2</v>
          </cell>
          <cell r="P1102">
            <v>128.43</v>
          </cell>
          <cell r="Q1102">
            <v>10.700000000000001</v>
          </cell>
          <cell r="R1102">
            <v>2.63</v>
          </cell>
          <cell r="S1102">
            <v>83.88</v>
          </cell>
          <cell r="U1102">
            <v>4.0738059999999994</v>
          </cell>
          <cell r="X1102">
            <v>104.85</v>
          </cell>
          <cell r="Y1102">
            <v>78.849999999999994</v>
          </cell>
          <cell r="AL1102">
            <v>5583.75</v>
          </cell>
          <cell r="AM1102">
            <v>393.06</v>
          </cell>
          <cell r="AN1102">
            <v>64.14</v>
          </cell>
          <cell r="AO1102">
            <v>2046.78</v>
          </cell>
          <cell r="AQ1102">
            <v>166</v>
          </cell>
          <cell r="DD1102"/>
          <cell r="DE1102"/>
          <cell r="DG1102" t="str">
            <v>)*1,67</v>
          </cell>
          <cell r="DI1102"/>
        </row>
        <row r="1103">
          <cell r="P1103">
            <v>511.15</v>
          </cell>
          <cell r="Q1103">
            <v>106.01</v>
          </cell>
          <cell r="R1103">
            <v>62.96</v>
          </cell>
          <cell r="S1103">
            <v>2008.09</v>
          </cell>
          <cell r="X1103">
            <v>2008.09</v>
          </cell>
          <cell r="Y1103">
            <v>903.64</v>
          </cell>
          <cell r="AV1103">
            <v>1.0669999999999999</v>
          </cell>
          <cell r="AW1103">
            <v>1</v>
          </cell>
          <cell r="BA1103">
            <v>23.94</v>
          </cell>
          <cell r="BB1103">
            <v>8.3800000000000008</v>
          </cell>
          <cell r="BC1103">
            <v>3.98</v>
          </cell>
          <cell r="BS1103">
            <v>23.94</v>
          </cell>
          <cell r="BZ1103">
            <v>100</v>
          </cell>
          <cell r="CA1103">
            <v>45</v>
          </cell>
          <cell r="DN1103">
            <v>125</v>
          </cell>
          <cell r="DO1103">
            <v>94</v>
          </cell>
        </row>
        <row r="1104">
          <cell r="E1104" t="str">
            <v>304,1</v>
          </cell>
          <cell r="F1104" t="str">
            <v>1.12-6-208</v>
          </cell>
          <cell r="H1104" t="str">
            <v>м</v>
          </cell>
          <cell r="I1104">
            <v>2.2999999999999998</v>
          </cell>
          <cell r="O1104">
            <v>397.51</v>
          </cell>
          <cell r="R1104">
            <v>0</v>
          </cell>
          <cell r="X1104">
            <v>0</v>
          </cell>
          <cell r="Y1104">
            <v>0</v>
          </cell>
          <cell r="AK1104">
            <v>172.83</v>
          </cell>
        </row>
        <row r="1105">
          <cell r="O1105">
            <v>2631.52</v>
          </cell>
          <cell r="R1105">
            <v>0</v>
          </cell>
          <cell r="X1105">
            <v>0</v>
          </cell>
          <cell r="Y1105">
            <v>0</v>
          </cell>
          <cell r="AW1105">
            <v>1</v>
          </cell>
          <cell r="BC1105">
            <v>6.62</v>
          </cell>
        </row>
        <row r="1122">
          <cell r="E1122" t="str">
            <v>312</v>
          </cell>
          <cell r="F1122" t="str">
            <v>1.12-11-2</v>
          </cell>
          <cell r="H1122" t="str">
            <v>шт.</v>
          </cell>
          <cell r="I1122">
            <v>1</v>
          </cell>
          <cell r="P1122">
            <v>15.61</v>
          </cell>
          <cell r="R1122">
            <v>0</v>
          </cell>
          <cell r="X1122">
            <v>0</v>
          </cell>
          <cell r="Y1122">
            <v>0</v>
          </cell>
          <cell r="AL1122">
            <v>15.61</v>
          </cell>
          <cell r="DD1122"/>
        </row>
        <row r="1123">
          <cell r="P1123">
            <v>52.29</v>
          </cell>
          <cell r="R1123">
            <v>0</v>
          </cell>
          <cell r="X1123">
            <v>0</v>
          </cell>
          <cell r="Y1123">
            <v>0</v>
          </cell>
          <cell r="AW1123">
            <v>1</v>
          </cell>
          <cell r="BC1123">
            <v>3.35</v>
          </cell>
        </row>
        <row r="1124">
          <cell r="E1124" t="str">
            <v>313</v>
          </cell>
          <cell r="F1124" t="str">
            <v>1.12-11-5</v>
          </cell>
          <cell r="H1124" t="str">
            <v>шт.</v>
          </cell>
          <cell r="I1124">
            <v>1</v>
          </cell>
          <cell r="P1124">
            <v>51.01</v>
          </cell>
          <cell r="R1124">
            <v>0</v>
          </cell>
          <cell r="X1124">
            <v>0</v>
          </cell>
          <cell r="Y1124">
            <v>0</v>
          </cell>
          <cell r="AL1124">
            <v>51.01</v>
          </cell>
          <cell r="DD1124"/>
        </row>
        <row r="1125">
          <cell r="P1125">
            <v>214.24</v>
          </cell>
          <cell r="R1125">
            <v>0</v>
          </cell>
          <cell r="X1125">
            <v>0</v>
          </cell>
          <cell r="Y1125">
            <v>0</v>
          </cell>
          <cell r="AW1125">
            <v>1</v>
          </cell>
          <cell r="BC1125">
            <v>4.2</v>
          </cell>
        </row>
        <row r="1128">
          <cell r="E1128" t="str">
            <v>315</v>
          </cell>
          <cell r="F1128" t="str">
            <v>1.12-11-104</v>
          </cell>
          <cell r="H1128" t="str">
            <v>шт.</v>
          </cell>
          <cell r="I1128">
            <v>3</v>
          </cell>
          <cell r="P1128">
            <v>891.03</v>
          </cell>
          <cell r="R1128">
            <v>0</v>
          </cell>
          <cell r="X1128">
            <v>0</v>
          </cell>
          <cell r="Y1128">
            <v>0</v>
          </cell>
          <cell r="AL1128">
            <v>297.01</v>
          </cell>
          <cell r="DD1128"/>
        </row>
        <row r="1129">
          <cell r="P1129">
            <v>2682</v>
          </cell>
          <cell r="R1129">
            <v>0</v>
          </cell>
          <cell r="X1129">
            <v>0</v>
          </cell>
          <cell r="Y1129">
            <v>0</v>
          </cell>
          <cell r="AW1129">
            <v>1</v>
          </cell>
          <cell r="BC1129">
            <v>3.01</v>
          </cell>
        </row>
        <row r="1132">
          <cell r="E1132" t="str">
            <v>317</v>
          </cell>
          <cell r="F1132" t="str">
            <v>1.12-11-153</v>
          </cell>
          <cell r="H1132" t="str">
            <v>шт.</v>
          </cell>
          <cell r="I1132">
            <v>2</v>
          </cell>
          <cell r="P1132">
            <v>216</v>
          </cell>
          <cell r="R1132">
            <v>0</v>
          </cell>
          <cell r="X1132">
            <v>0</v>
          </cell>
          <cell r="Y1132">
            <v>0</v>
          </cell>
          <cell r="AL1132">
            <v>108</v>
          </cell>
          <cell r="DD1132"/>
        </row>
        <row r="1133">
          <cell r="P1133">
            <v>181.44</v>
          </cell>
          <cell r="R1133">
            <v>0</v>
          </cell>
          <cell r="X1133">
            <v>0</v>
          </cell>
          <cell r="Y1133">
            <v>0</v>
          </cell>
          <cell r="AW1133">
            <v>1</v>
          </cell>
          <cell r="BC1133">
            <v>0.84</v>
          </cell>
        </row>
        <row r="1136">
          <cell r="E1136" t="str">
            <v>319</v>
          </cell>
          <cell r="F1136" t="str">
            <v>1.12-11-161</v>
          </cell>
          <cell r="H1136" t="str">
            <v>шт.</v>
          </cell>
          <cell r="I1136">
            <v>2</v>
          </cell>
          <cell r="P1136">
            <v>432</v>
          </cell>
          <cell r="R1136">
            <v>0</v>
          </cell>
          <cell r="X1136">
            <v>0</v>
          </cell>
          <cell r="Y1136">
            <v>0</v>
          </cell>
          <cell r="AL1136">
            <v>216</v>
          </cell>
          <cell r="DD1136"/>
        </row>
        <row r="1137">
          <cell r="P1137">
            <v>453.6</v>
          </cell>
          <cell r="R1137">
            <v>0</v>
          </cell>
          <cell r="X1137">
            <v>0</v>
          </cell>
          <cell r="Y1137">
            <v>0</v>
          </cell>
          <cell r="AW1137">
            <v>1</v>
          </cell>
          <cell r="BC1137">
            <v>1.05</v>
          </cell>
        </row>
        <row r="1138">
          <cell r="E1138" t="str">
            <v>320</v>
          </cell>
          <cell r="F1138" t="str">
            <v>1.12-9-97</v>
          </cell>
          <cell r="H1138" t="str">
            <v>КОМПЛЕКТ</v>
          </cell>
          <cell r="I1138">
            <v>1</v>
          </cell>
          <cell r="P1138">
            <v>846</v>
          </cell>
          <cell r="R1138">
            <v>0</v>
          </cell>
          <cell r="X1138">
            <v>0</v>
          </cell>
          <cell r="Y1138">
            <v>0</v>
          </cell>
          <cell r="AL1138">
            <v>846</v>
          </cell>
          <cell r="DD1138"/>
        </row>
        <row r="1139">
          <cell r="P1139">
            <v>3587.04</v>
          </cell>
          <cell r="R1139">
            <v>0</v>
          </cell>
          <cell r="X1139">
            <v>0</v>
          </cell>
          <cell r="Y1139">
            <v>0</v>
          </cell>
          <cell r="AW1139">
            <v>1</v>
          </cell>
          <cell r="BC1139">
            <v>4.24</v>
          </cell>
        </row>
        <row r="1140">
          <cell r="E1140" t="str">
            <v>321</v>
          </cell>
          <cell r="F1140" t="str">
            <v>1.12-9-99</v>
          </cell>
          <cell r="H1140" t="str">
            <v>КОМПЛЕКТ</v>
          </cell>
          <cell r="I1140">
            <v>1</v>
          </cell>
          <cell r="P1140">
            <v>1170.02</v>
          </cell>
          <cell r="R1140">
            <v>0</v>
          </cell>
          <cell r="X1140">
            <v>0</v>
          </cell>
          <cell r="Y1140">
            <v>0</v>
          </cell>
          <cell r="AL1140">
            <v>1170.02</v>
          </cell>
          <cell r="DD1140"/>
        </row>
        <row r="1141">
          <cell r="P1141">
            <v>5428.89</v>
          </cell>
          <cell r="R1141">
            <v>0</v>
          </cell>
          <cell r="X1141">
            <v>0</v>
          </cell>
          <cell r="Y1141">
            <v>0</v>
          </cell>
          <cell r="AW1141">
            <v>1</v>
          </cell>
          <cell r="BC1141">
            <v>4.6399999999999997</v>
          </cell>
        </row>
        <row r="1142">
          <cell r="E1142" t="str">
            <v>322</v>
          </cell>
          <cell r="F1142" t="str">
            <v>1.1-1-3650</v>
          </cell>
          <cell r="H1142" t="str">
            <v>т</v>
          </cell>
          <cell r="I1142">
            <v>2.6159999999999999E-2</v>
          </cell>
          <cell r="P1142">
            <v>509.81</v>
          </cell>
          <cell r="R1142">
            <v>0</v>
          </cell>
          <cell r="X1142">
            <v>0</v>
          </cell>
          <cell r="Y1142">
            <v>0</v>
          </cell>
          <cell r="AL1142">
            <v>19487.98</v>
          </cell>
          <cell r="DD1142"/>
        </row>
        <row r="1143">
          <cell r="P1143">
            <v>1728.26</v>
          </cell>
          <cell r="R1143">
            <v>0</v>
          </cell>
          <cell r="X1143">
            <v>0</v>
          </cell>
          <cell r="Y1143">
            <v>0</v>
          </cell>
          <cell r="AW1143">
            <v>1</v>
          </cell>
          <cell r="BC1143">
            <v>3.39</v>
          </cell>
        </row>
        <row r="1159">
          <cell r="G1159" t="str">
            <v>ОБОРУДОВАНИЕ</v>
          </cell>
        </row>
        <row r="1163">
          <cell r="E1163" t="str">
            <v>329</v>
          </cell>
          <cell r="F1163" t="str">
            <v>МКЭ-33-85/7-4 от 21.04.2017г.</v>
          </cell>
          <cell r="H1163" t="str">
            <v>шт.</v>
          </cell>
          <cell r="I1163">
            <v>1</v>
          </cell>
          <cell r="R1163">
            <v>0</v>
          </cell>
          <cell r="X1163">
            <v>0</v>
          </cell>
          <cell r="Y1163">
            <v>0</v>
          </cell>
          <cell r="AL1163">
            <v>8138.5054744525551</v>
          </cell>
          <cell r="DD1163" t="str">
            <v>*1,02</v>
          </cell>
        </row>
        <row r="1164">
          <cell r="R1164">
            <v>0</v>
          </cell>
          <cell r="X1164">
            <v>0</v>
          </cell>
          <cell r="Y1164">
            <v>0</v>
          </cell>
          <cell r="AW1164">
            <v>1</v>
          </cell>
          <cell r="BC1164">
            <v>5.48</v>
          </cell>
        </row>
        <row r="1165">
          <cell r="E1165" t="str">
            <v>330</v>
          </cell>
          <cell r="F1165" t="str">
            <v>МКЭ-28-832/6-1 от 07.04.2016г.</v>
          </cell>
          <cell r="H1165" t="str">
            <v>шт.</v>
          </cell>
          <cell r="I1165">
            <v>2</v>
          </cell>
          <cell r="R1165">
            <v>0</v>
          </cell>
          <cell r="X1165">
            <v>0</v>
          </cell>
          <cell r="Y1165">
            <v>0</v>
          </cell>
          <cell r="AL1165">
            <v>2591.8576642335765</v>
          </cell>
          <cell r="DD1165" t="str">
            <v>*1,02</v>
          </cell>
        </row>
        <row r="1166">
          <cell r="R1166">
            <v>0</v>
          </cell>
          <cell r="X1166">
            <v>0</v>
          </cell>
          <cell r="Y1166">
            <v>0</v>
          </cell>
          <cell r="AW1166">
            <v>1</v>
          </cell>
          <cell r="BC1166">
            <v>5.48</v>
          </cell>
        </row>
        <row r="1172">
          <cell r="G1172" t="str">
            <v>ОБОРУДОВАНИЕ</v>
          </cell>
        </row>
        <row r="1201">
          <cell r="G1201" t="str">
            <v>Канализационная насосная станция (пом. 4.23)</v>
          </cell>
        </row>
        <row r="1230">
          <cell r="G1230" t="str">
            <v>Водоотвод из помещения КНС (пом. 4.23) (К1Н)</v>
          </cell>
        </row>
        <row r="1238">
          <cell r="E1238" t="str">
            <v>335</v>
          </cell>
          <cell r="F1238" t="str">
            <v>3.16-16-1</v>
          </cell>
          <cell r="H1238" t="str">
            <v>1  ШТ.</v>
          </cell>
          <cell r="I1238">
            <v>1</v>
          </cell>
          <cell r="P1238">
            <v>19.8</v>
          </cell>
          <cell r="Q1238">
            <v>6.83</v>
          </cell>
          <cell r="R1238">
            <v>2.42</v>
          </cell>
          <cell r="S1238">
            <v>19.079999999999998</v>
          </cell>
          <cell r="U1238">
            <v>0.96029999999999993</v>
          </cell>
          <cell r="X1238">
            <v>23.85</v>
          </cell>
          <cell r="Y1238">
            <v>17.940000000000001</v>
          </cell>
          <cell r="AL1238">
            <v>19.8</v>
          </cell>
          <cell r="AM1238">
            <v>5.49</v>
          </cell>
          <cell r="AN1238">
            <v>1.36</v>
          </cell>
          <cell r="AO1238">
            <v>10.71</v>
          </cell>
          <cell r="AQ1238">
            <v>0.9</v>
          </cell>
          <cell r="DD1238"/>
          <cell r="DE1238"/>
          <cell r="DG1238" t="str">
            <v>*1,67</v>
          </cell>
          <cell r="DI1238"/>
        </row>
        <row r="1239">
          <cell r="P1239">
            <v>83.56</v>
          </cell>
          <cell r="Q1239">
            <v>81.53</v>
          </cell>
          <cell r="R1239">
            <v>57.93</v>
          </cell>
          <cell r="S1239">
            <v>456.78</v>
          </cell>
          <cell r="X1239">
            <v>456.78</v>
          </cell>
          <cell r="Y1239">
            <v>205.55</v>
          </cell>
          <cell r="AV1239">
            <v>1.0669999999999999</v>
          </cell>
          <cell r="AW1239">
            <v>1</v>
          </cell>
          <cell r="BA1239">
            <v>23.94</v>
          </cell>
          <cell r="BB1239">
            <v>9.9499999999999993</v>
          </cell>
          <cell r="BC1239">
            <v>4.22</v>
          </cell>
          <cell r="BS1239">
            <v>23.94</v>
          </cell>
          <cell r="BZ1239">
            <v>100</v>
          </cell>
          <cell r="CA1239">
            <v>45</v>
          </cell>
          <cell r="DN1239">
            <v>125</v>
          </cell>
          <cell r="DO1239">
            <v>94</v>
          </cell>
        </row>
        <row r="1240">
          <cell r="E1240" t="str">
            <v>336</v>
          </cell>
          <cell r="F1240" t="str">
            <v>МКЭ-33-2104/7-3 от 14.12.2017г.</v>
          </cell>
          <cell r="H1240" t="str">
            <v>шт.</v>
          </cell>
          <cell r="I1240">
            <v>1</v>
          </cell>
          <cell r="R1240">
            <v>0</v>
          </cell>
          <cell r="X1240">
            <v>0</v>
          </cell>
          <cell r="Y1240">
            <v>0</v>
          </cell>
          <cell r="AL1240">
            <v>958.80109489051097</v>
          </cell>
          <cell r="DD1240" t="str">
            <v>*1,02</v>
          </cell>
        </row>
        <row r="1241">
          <cell r="R1241">
            <v>0</v>
          </cell>
          <cell r="X1241">
            <v>0</v>
          </cell>
          <cell r="Y1241">
            <v>0</v>
          </cell>
          <cell r="AW1241">
            <v>1</v>
          </cell>
          <cell r="BC1241">
            <v>5.48</v>
          </cell>
        </row>
        <row r="1242">
          <cell r="E1242" t="str">
            <v>337</v>
          </cell>
          <cell r="F1242" t="str">
            <v>1.12-9-4</v>
          </cell>
          <cell r="H1242" t="str">
            <v>шт.</v>
          </cell>
          <cell r="I1242">
            <v>2</v>
          </cell>
          <cell r="P1242">
            <v>91.9</v>
          </cell>
          <cell r="R1242">
            <v>0</v>
          </cell>
          <cell r="X1242">
            <v>0</v>
          </cell>
          <cell r="Y1242">
            <v>0</v>
          </cell>
          <cell r="AL1242">
            <v>45.95</v>
          </cell>
          <cell r="DD1242"/>
        </row>
        <row r="1243">
          <cell r="P1243">
            <v>374.95</v>
          </cell>
          <cell r="R1243">
            <v>0</v>
          </cell>
          <cell r="X1243">
            <v>0</v>
          </cell>
          <cell r="Y1243">
            <v>0</v>
          </cell>
          <cell r="AW1243">
            <v>1</v>
          </cell>
          <cell r="BC1243">
            <v>4.08</v>
          </cell>
        </row>
        <row r="1244">
          <cell r="E1244" t="str">
            <v>338</v>
          </cell>
          <cell r="F1244" t="str">
            <v>3.16-16-1</v>
          </cell>
          <cell r="H1244" t="str">
            <v>1  ШТ.</v>
          </cell>
          <cell r="I1244">
            <v>1</v>
          </cell>
          <cell r="P1244">
            <v>19.8</v>
          </cell>
          <cell r="Q1244">
            <v>6.83</v>
          </cell>
          <cell r="R1244">
            <v>2.42</v>
          </cell>
          <cell r="S1244">
            <v>19.079999999999998</v>
          </cell>
          <cell r="U1244">
            <v>0.96029999999999993</v>
          </cell>
          <cell r="X1244">
            <v>23.85</v>
          </cell>
          <cell r="Y1244">
            <v>17.940000000000001</v>
          </cell>
          <cell r="AL1244">
            <v>19.8</v>
          </cell>
          <cell r="AM1244">
            <v>5.49</v>
          </cell>
          <cell r="AN1244">
            <v>1.36</v>
          </cell>
          <cell r="AO1244">
            <v>10.71</v>
          </cell>
          <cell r="AQ1244">
            <v>0.9</v>
          </cell>
          <cell r="DD1244"/>
          <cell r="DE1244"/>
          <cell r="DG1244" t="str">
            <v>*1,67</v>
          </cell>
          <cell r="DI1244"/>
        </row>
        <row r="1245">
          <cell r="P1245">
            <v>83.56</v>
          </cell>
          <cell r="Q1245">
            <v>81.53</v>
          </cell>
          <cell r="R1245">
            <v>57.93</v>
          </cell>
          <cell r="S1245">
            <v>456.78</v>
          </cell>
          <cell r="X1245">
            <v>456.78</v>
          </cell>
          <cell r="Y1245">
            <v>205.55</v>
          </cell>
          <cell r="AV1245">
            <v>1.0669999999999999</v>
          </cell>
          <cell r="AW1245">
            <v>1</v>
          </cell>
          <cell r="BA1245">
            <v>23.94</v>
          </cell>
          <cell r="BB1245">
            <v>9.9499999999999993</v>
          </cell>
          <cell r="BC1245">
            <v>4.22</v>
          </cell>
          <cell r="BS1245">
            <v>23.94</v>
          </cell>
          <cell r="BZ1245">
            <v>100</v>
          </cell>
          <cell r="CA1245">
            <v>45</v>
          </cell>
          <cell r="DN1245">
            <v>125</v>
          </cell>
          <cell r="DO1245">
            <v>94</v>
          </cell>
        </row>
        <row r="1246">
          <cell r="E1246" t="str">
            <v>339</v>
          </cell>
          <cell r="F1246" t="str">
            <v>МКЭ-28-2585/6-1 от 22.11.2016г.</v>
          </cell>
          <cell r="H1246" t="str">
            <v>шт.</v>
          </cell>
          <cell r="I1246">
            <v>1</v>
          </cell>
          <cell r="R1246">
            <v>0</v>
          </cell>
          <cell r="X1246">
            <v>0</v>
          </cell>
          <cell r="Y1246">
            <v>0</v>
          </cell>
          <cell r="DD1246" t="str">
            <v>*1,02</v>
          </cell>
        </row>
        <row r="1247">
          <cell r="R1247">
            <v>0</v>
          </cell>
          <cell r="X1247">
            <v>0</v>
          </cell>
          <cell r="Y1247">
            <v>0</v>
          </cell>
          <cell r="AW1247">
            <v>1</v>
          </cell>
          <cell r="BC1247">
            <v>5.48</v>
          </cell>
        </row>
        <row r="1248">
          <cell r="E1248" t="str">
            <v>340</v>
          </cell>
          <cell r="F1248" t="str">
            <v>1.12-9-4</v>
          </cell>
          <cell r="H1248" t="str">
            <v>шт.</v>
          </cell>
          <cell r="I1248">
            <v>2</v>
          </cell>
          <cell r="P1248">
            <v>91.9</v>
          </cell>
          <cell r="R1248">
            <v>0</v>
          </cell>
          <cell r="X1248">
            <v>0</v>
          </cell>
          <cell r="Y1248">
            <v>0</v>
          </cell>
          <cell r="AL1248">
            <v>45.95</v>
          </cell>
          <cell r="DD1248"/>
        </row>
        <row r="1249">
          <cell r="P1249">
            <v>374.95</v>
          </cell>
          <cell r="R1249">
            <v>0</v>
          </cell>
          <cell r="X1249">
            <v>0</v>
          </cell>
          <cell r="Y1249">
            <v>0</v>
          </cell>
          <cell r="AW1249">
            <v>1</v>
          </cell>
          <cell r="BC1249">
            <v>4.08</v>
          </cell>
        </row>
        <row r="1256">
          <cell r="E1256" t="str">
            <v>344</v>
          </cell>
          <cell r="F1256" t="str">
            <v>3.16-9-2</v>
          </cell>
          <cell r="H1256" t="str">
            <v>100 м трубопровода</v>
          </cell>
          <cell r="I1256">
            <v>0.02</v>
          </cell>
          <cell r="P1256">
            <v>0.84</v>
          </cell>
          <cell r="Q1256">
            <v>3.42</v>
          </cell>
          <cell r="R1256">
            <v>0.7</v>
          </cell>
          <cell r="S1256">
            <v>29.46</v>
          </cell>
          <cell r="U1256">
            <v>1.39777</v>
          </cell>
          <cell r="X1256">
            <v>36.83</v>
          </cell>
          <cell r="Y1256">
            <v>27.69</v>
          </cell>
          <cell r="AL1256">
            <v>41.86</v>
          </cell>
          <cell r="AM1256">
            <v>147.1</v>
          </cell>
          <cell r="AN1256">
            <v>19.53</v>
          </cell>
          <cell r="AO1256">
            <v>826.61</v>
          </cell>
          <cell r="AQ1256">
            <v>65.5</v>
          </cell>
          <cell r="DD1256"/>
          <cell r="DE1256"/>
          <cell r="DG1256" t="str">
            <v>)*1,67</v>
          </cell>
          <cell r="DI1256"/>
        </row>
        <row r="1257">
          <cell r="P1257">
            <v>4.6500000000000004</v>
          </cell>
          <cell r="Q1257">
            <v>31.25</v>
          </cell>
          <cell r="R1257">
            <v>16.760000000000002</v>
          </cell>
          <cell r="S1257">
            <v>705.27</v>
          </cell>
          <cell r="X1257">
            <v>705.27</v>
          </cell>
          <cell r="Y1257">
            <v>317.37</v>
          </cell>
          <cell r="AV1257">
            <v>1.0669999999999999</v>
          </cell>
          <cell r="AW1257">
            <v>1</v>
          </cell>
          <cell r="BA1257">
            <v>23.94</v>
          </cell>
          <cell r="BB1257">
            <v>7.82</v>
          </cell>
          <cell r="BC1257">
            <v>5.54</v>
          </cell>
          <cell r="BS1257">
            <v>23.94</v>
          </cell>
          <cell r="BZ1257">
            <v>100</v>
          </cell>
          <cell r="CA1257">
            <v>45</v>
          </cell>
          <cell r="DN1257">
            <v>125</v>
          </cell>
          <cell r="DO1257">
            <v>94</v>
          </cell>
        </row>
        <row r="1258">
          <cell r="E1258" t="str">
            <v>344,1</v>
          </cell>
          <cell r="F1258" t="str">
            <v>1.12-6-112</v>
          </cell>
          <cell r="H1258" t="str">
            <v>м</v>
          </cell>
          <cell r="I1258">
            <v>2</v>
          </cell>
          <cell r="O1258">
            <v>75.739999999999995</v>
          </cell>
          <cell r="R1258">
            <v>0</v>
          </cell>
          <cell r="X1258">
            <v>0</v>
          </cell>
          <cell r="Y1258">
            <v>0</v>
          </cell>
          <cell r="AK1258">
            <v>37.869999999999997</v>
          </cell>
        </row>
        <row r="1259">
          <cell r="O1259">
            <v>638.49</v>
          </cell>
          <cell r="R1259">
            <v>0</v>
          </cell>
          <cell r="X1259">
            <v>0</v>
          </cell>
          <cell r="Y1259">
            <v>0</v>
          </cell>
          <cell r="AW1259">
            <v>1</v>
          </cell>
          <cell r="BC1259">
            <v>8.43</v>
          </cell>
        </row>
        <row r="1262">
          <cell r="E1262" t="str">
            <v>346</v>
          </cell>
          <cell r="F1262" t="str">
            <v>1.12-11-2</v>
          </cell>
          <cell r="H1262" t="str">
            <v>шт.</v>
          </cell>
          <cell r="I1262">
            <v>1</v>
          </cell>
          <cell r="P1262">
            <v>15.61</v>
          </cell>
          <cell r="R1262">
            <v>0</v>
          </cell>
          <cell r="X1262">
            <v>0</v>
          </cell>
          <cell r="Y1262">
            <v>0</v>
          </cell>
          <cell r="AL1262">
            <v>15.61</v>
          </cell>
          <cell r="DD1262"/>
        </row>
        <row r="1263">
          <cell r="P1263">
            <v>52.29</v>
          </cell>
          <cell r="R1263">
            <v>0</v>
          </cell>
          <cell r="X1263">
            <v>0</v>
          </cell>
          <cell r="Y1263">
            <v>0</v>
          </cell>
          <cell r="AW1263">
            <v>1</v>
          </cell>
          <cell r="BC1263">
            <v>3.35</v>
          </cell>
        </row>
        <row r="1283">
          <cell r="G1283" t="str">
            <v>Водоотвод из помещения КНС (пом. 4.23) (К1Н)</v>
          </cell>
        </row>
        <row r="1312">
          <cell r="G1312" t="str">
            <v>Водоотвод самотечный (К2)</v>
          </cell>
        </row>
        <row r="1316">
          <cell r="E1316" t="str">
            <v>354</v>
          </cell>
          <cell r="F1316" t="str">
            <v>3.16-5-2</v>
          </cell>
          <cell r="H1316" t="str">
            <v>100 м трубопровода</v>
          </cell>
          <cell r="I1316">
            <v>0.48299999999999998</v>
          </cell>
          <cell r="P1316">
            <v>95.18</v>
          </cell>
          <cell r="Q1316">
            <v>75.539999999999992</v>
          </cell>
          <cell r="R1316">
            <v>25.73</v>
          </cell>
          <cell r="S1316">
            <v>874.77</v>
          </cell>
          <cell r="U1316">
            <v>39.682796999999994</v>
          </cell>
          <cell r="X1316">
            <v>1093.46</v>
          </cell>
          <cell r="Y1316">
            <v>822.28</v>
          </cell>
          <cell r="AL1316">
            <v>197.05</v>
          </cell>
          <cell r="AM1316">
            <v>126.55</v>
          </cell>
          <cell r="AN1316">
            <v>29.9</v>
          </cell>
          <cell r="AO1316">
            <v>1016.4</v>
          </cell>
          <cell r="AQ1316">
            <v>77</v>
          </cell>
          <cell r="DD1316"/>
          <cell r="DE1316"/>
          <cell r="DG1316" t="str">
            <v>)*1,67</v>
          </cell>
          <cell r="DI1316"/>
        </row>
        <row r="1317">
          <cell r="P1317">
            <v>527.29999999999995</v>
          </cell>
          <cell r="Q1317">
            <v>882.3</v>
          </cell>
          <cell r="R1317">
            <v>615.98</v>
          </cell>
          <cell r="S1317">
            <v>20941.990000000002</v>
          </cell>
          <cell r="X1317">
            <v>20941.990000000002</v>
          </cell>
          <cell r="Y1317">
            <v>9423.9</v>
          </cell>
          <cell r="AV1317">
            <v>1.0669999999999999</v>
          </cell>
          <cell r="AW1317">
            <v>1</v>
          </cell>
          <cell r="BA1317">
            <v>23.94</v>
          </cell>
          <cell r="BB1317">
            <v>9.74</v>
          </cell>
          <cell r="BC1317">
            <v>5.54</v>
          </cell>
          <cell r="BS1317">
            <v>23.94</v>
          </cell>
          <cell r="BZ1317">
            <v>100</v>
          </cell>
          <cell r="CA1317">
            <v>45</v>
          </cell>
          <cell r="DN1317">
            <v>125</v>
          </cell>
          <cell r="DO1317">
            <v>94</v>
          </cell>
        </row>
        <row r="1318">
          <cell r="E1318" t="str">
            <v>354,1</v>
          </cell>
          <cell r="F1318" t="str">
            <v>1.12-1-69</v>
          </cell>
          <cell r="H1318" t="str">
            <v>м</v>
          </cell>
          <cell r="I1318">
            <v>48.203400000000002</v>
          </cell>
          <cell r="O1318">
            <v>6227.4</v>
          </cell>
          <cell r="R1318">
            <v>0</v>
          </cell>
          <cell r="X1318">
            <v>0</v>
          </cell>
          <cell r="Y1318">
            <v>0</v>
          </cell>
          <cell r="AK1318">
            <v>129.19</v>
          </cell>
        </row>
        <row r="1319">
          <cell r="O1319">
            <v>42906.79</v>
          </cell>
          <cell r="R1319">
            <v>0</v>
          </cell>
          <cell r="X1319">
            <v>0</v>
          </cell>
          <cell r="Y1319">
            <v>0</v>
          </cell>
          <cell r="AW1319">
            <v>1</v>
          </cell>
          <cell r="BC1319">
            <v>6.89</v>
          </cell>
        </row>
        <row r="1340">
          <cell r="E1340" t="str">
            <v>363</v>
          </cell>
          <cell r="F1340" t="str">
            <v>3.13-11-3</v>
          </cell>
          <cell r="H1340" t="str">
            <v>100 м2</v>
          </cell>
          <cell r="I1340">
            <v>0.11</v>
          </cell>
          <cell r="P1340">
            <v>22.69</v>
          </cell>
          <cell r="Q1340">
            <v>3.33</v>
          </cell>
          <cell r="R1340">
            <v>0.54</v>
          </cell>
          <cell r="S1340">
            <v>11.35</v>
          </cell>
          <cell r="U1340">
            <v>0.57124319999999995</v>
          </cell>
          <cell r="X1340">
            <v>11.92</v>
          </cell>
          <cell r="Y1340">
            <v>8.74</v>
          </cell>
          <cell r="AL1340">
            <v>103.14</v>
          </cell>
          <cell r="AM1340">
            <v>13.49</v>
          </cell>
          <cell r="AN1340">
            <v>1.41</v>
          </cell>
          <cell r="AO1340">
            <v>29.51</v>
          </cell>
          <cell r="AQ1340">
            <v>2.48</v>
          </cell>
          <cell r="DD1340" t="str">
            <v>*2</v>
          </cell>
          <cell r="DE1340" t="str">
            <v>*2</v>
          </cell>
          <cell r="DG1340" t="str">
            <v>*1,67*2</v>
          </cell>
          <cell r="DI1340" t="str">
            <v>*2</v>
          </cell>
        </row>
        <row r="1341">
          <cell r="P1341">
            <v>194.68</v>
          </cell>
          <cell r="Q1341">
            <v>25.21</v>
          </cell>
          <cell r="R1341">
            <v>12.93</v>
          </cell>
          <cell r="S1341">
            <v>271.72000000000003</v>
          </cell>
          <cell r="X1341">
            <v>230.96</v>
          </cell>
          <cell r="Y1341">
            <v>111.41</v>
          </cell>
          <cell r="AV1341">
            <v>1.0469999999999999</v>
          </cell>
          <cell r="AW1341">
            <v>1</v>
          </cell>
          <cell r="BA1341">
            <v>23.94</v>
          </cell>
          <cell r="BB1341">
            <v>6.41</v>
          </cell>
          <cell r="BC1341">
            <v>8.58</v>
          </cell>
          <cell r="BS1341">
            <v>23.94</v>
          </cell>
          <cell r="BZ1341">
            <v>85</v>
          </cell>
          <cell r="CA1341">
            <v>41</v>
          </cell>
          <cell r="DN1341">
            <v>105</v>
          </cell>
          <cell r="DO1341">
            <v>77</v>
          </cell>
        </row>
        <row r="1342">
          <cell r="E1342" t="str">
            <v>363,1</v>
          </cell>
          <cell r="F1342" t="str">
            <v>1.1-1-455</v>
          </cell>
          <cell r="H1342" t="str">
            <v>т</v>
          </cell>
          <cell r="I1342">
            <v>5.0600000000000003E-3</v>
          </cell>
          <cell r="O1342">
            <v>52.31</v>
          </cell>
          <cell r="R1342">
            <v>0</v>
          </cell>
          <cell r="X1342">
            <v>0</v>
          </cell>
          <cell r="Y1342">
            <v>0</v>
          </cell>
          <cell r="AK1342">
            <v>10337.290000000001</v>
          </cell>
        </row>
        <row r="1343">
          <cell r="O1343">
            <v>470.79</v>
          </cell>
          <cell r="R1343">
            <v>0</v>
          </cell>
          <cell r="X1343">
            <v>0</v>
          </cell>
          <cell r="Y1343">
            <v>0</v>
          </cell>
          <cell r="AW1343">
            <v>1</v>
          </cell>
          <cell r="BC1343">
            <v>9</v>
          </cell>
        </row>
        <row r="1358">
          <cell r="E1358" t="str">
            <v>371</v>
          </cell>
          <cell r="F1358" t="str">
            <v>3.13-11-6</v>
          </cell>
          <cell r="H1358" t="str">
            <v>100 м2</v>
          </cell>
          <cell r="I1358">
            <v>5.5500000000000001E-2</v>
          </cell>
          <cell r="P1358">
            <v>2.2400000000000002</v>
          </cell>
          <cell r="Q1358">
            <v>2.77</v>
          </cell>
          <cell r="R1358">
            <v>0.43</v>
          </cell>
          <cell r="S1358">
            <v>5.87</v>
          </cell>
          <cell r="U1358">
            <v>0.29519118</v>
          </cell>
          <cell r="X1358">
            <v>6.16</v>
          </cell>
          <cell r="Y1358">
            <v>4.5199999999999996</v>
          </cell>
          <cell r="AL1358">
            <v>20.16</v>
          </cell>
          <cell r="AM1358">
            <v>22.38</v>
          </cell>
          <cell r="AN1358">
            <v>2.2200000000000002</v>
          </cell>
          <cell r="AO1358">
            <v>30.23</v>
          </cell>
          <cell r="AQ1358">
            <v>2.54</v>
          </cell>
          <cell r="DD1358" t="str">
            <v>)*2</v>
          </cell>
          <cell r="DE1358" t="str">
            <v>)*2</v>
          </cell>
          <cell r="DG1358" t="str">
            <v>)*2)*1,67</v>
          </cell>
          <cell r="DI1358" t="str">
            <v>)*2</v>
          </cell>
        </row>
        <row r="1359">
          <cell r="P1359">
            <v>18.28</v>
          </cell>
          <cell r="Q1359">
            <v>20.37</v>
          </cell>
          <cell r="R1359">
            <v>10.29</v>
          </cell>
          <cell r="S1359">
            <v>140.53</v>
          </cell>
          <cell r="X1359">
            <v>119.45</v>
          </cell>
          <cell r="Y1359">
            <v>57.62</v>
          </cell>
          <cell r="AV1359">
            <v>1.0469999999999999</v>
          </cell>
          <cell r="AW1359">
            <v>1</v>
          </cell>
          <cell r="BA1359">
            <v>23.94</v>
          </cell>
          <cell r="BB1359">
            <v>6.27</v>
          </cell>
          <cell r="BC1359">
            <v>8.16</v>
          </cell>
          <cell r="BS1359">
            <v>23.94</v>
          </cell>
          <cell r="BZ1359">
            <v>85</v>
          </cell>
          <cell r="CA1359">
            <v>41</v>
          </cell>
          <cell r="DN1359">
            <v>105</v>
          </cell>
          <cell r="DO1359">
            <v>77</v>
          </cell>
        </row>
        <row r="1360">
          <cell r="E1360" t="str">
            <v>371,1</v>
          </cell>
          <cell r="F1360" t="str">
            <v>1.1-1-413</v>
          </cell>
          <cell r="H1360" t="str">
            <v>кг</v>
          </cell>
          <cell r="I1360">
            <v>1.998</v>
          </cell>
          <cell r="O1360">
            <v>191.41</v>
          </cell>
          <cell r="R1360">
            <v>0</v>
          </cell>
          <cell r="X1360">
            <v>0</v>
          </cell>
          <cell r="Y1360">
            <v>0</v>
          </cell>
          <cell r="AK1360">
            <v>47.9</v>
          </cell>
        </row>
        <row r="1361">
          <cell r="O1361">
            <v>505.32</v>
          </cell>
          <cell r="R1361">
            <v>0</v>
          </cell>
          <cell r="X1361">
            <v>0</v>
          </cell>
          <cell r="Y1361">
            <v>0</v>
          </cell>
          <cell r="AW1361">
            <v>1</v>
          </cell>
          <cell r="BC1361">
            <v>2.64</v>
          </cell>
        </row>
        <row r="1362">
          <cell r="E1362" t="str">
            <v>372</v>
          </cell>
          <cell r="F1362" t="str">
            <v>1.6-1-269</v>
          </cell>
          <cell r="H1362" t="str">
            <v>т</v>
          </cell>
          <cell r="I1362">
            <v>0.08</v>
          </cell>
          <cell r="P1362">
            <v>993.29</v>
          </cell>
          <cell r="R1362">
            <v>0</v>
          </cell>
          <cell r="X1362">
            <v>0</v>
          </cell>
          <cell r="Y1362">
            <v>0</v>
          </cell>
          <cell r="AL1362">
            <v>12416.1</v>
          </cell>
          <cell r="DD1362"/>
        </row>
        <row r="1363">
          <cell r="P1363">
            <v>6655.04</v>
          </cell>
          <cell r="R1363">
            <v>0</v>
          </cell>
          <cell r="X1363">
            <v>0</v>
          </cell>
          <cell r="Y1363">
            <v>0</v>
          </cell>
          <cell r="AW1363">
            <v>1</v>
          </cell>
          <cell r="BC1363">
            <v>6.7</v>
          </cell>
        </row>
        <row r="1364">
          <cell r="E1364" t="str">
            <v>373</v>
          </cell>
          <cell r="F1364" t="str">
            <v>1.7-5-155</v>
          </cell>
          <cell r="H1364" t="str">
            <v>шт.</v>
          </cell>
          <cell r="I1364">
            <v>78</v>
          </cell>
          <cell r="P1364">
            <v>1975.74</v>
          </cell>
          <cell r="R1364">
            <v>0</v>
          </cell>
          <cell r="X1364">
            <v>0</v>
          </cell>
          <cell r="Y1364">
            <v>0</v>
          </cell>
          <cell r="AL1364">
            <v>25.33</v>
          </cell>
          <cell r="DD1364"/>
        </row>
        <row r="1365">
          <cell r="P1365">
            <v>10076.27</v>
          </cell>
          <cell r="R1365">
            <v>0</v>
          </cell>
          <cell r="X1365">
            <v>0</v>
          </cell>
          <cell r="Y1365">
            <v>0</v>
          </cell>
          <cell r="AW1365">
            <v>1</v>
          </cell>
          <cell r="BC1365">
            <v>5.0999999999999996</v>
          </cell>
        </row>
        <row r="1369">
          <cell r="G1369" t="str">
            <v>Водоотвод самотечный (К2)</v>
          </cell>
        </row>
        <row r="2508">
          <cell r="G2508" t="str">
            <v>Платформенная часть. Внутренние инженерные системы. Водоснабжение и водоотведение</v>
          </cell>
        </row>
        <row r="2514">
          <cell r="H2514" t="str">
            <v>Стоимость материалов (всего)</v>
          </cell>
        </row>
        <row r="2522">
          <cell r="F2522">
            <v>163.79</v>
          </cell>
          <cell r="H2522" t="str">
            <v>ЗП машинистов</v>
          </cell>
          <cell r="P2522">
            <v>3921.13</v>
          </cell>
        </row>
        <row r="2523">
          <cell r="F2523">
            <v>4091.36</v>
          </cell>
          <cell r="H2523" t="str">
            <v>Основная ЗП рабочих</v>
          </cell>
          <cell r="P2523">
            <v>97947.19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5">
          <cell r="AB15" t="str">
            <v>С.А. Гаврилюк</v>
          </cell>
        </row>
        <row r="73">
          <cell r="G73" t="str">
            <v>Вентиляция</v>
          </cell>
        </row>
        <row r="993">
          <cell r="G993" t="str">
            <v>В2-35</v>
          </cell>
        </row>
        <row r="1013">
          <cell r="G1013"/>
        </row>
        <row r="1098">
          <cell r="E1098" t="str">
            <v>134</v>
          </cell>
          <cell r="F1098" t="str">
            <v>3.20-12-6</v>
          </cell>
          <cell r="H1098" t="str">
            <v>1  ШТ.</v>
          </cell>
          <cell r="I1098">
            <v>2</v>
          </cell>
          <cell r="P1098">
            <v>33.06</v>
          </cell>
          <cell r="Q1098">
            <v>1.8399999999999999</v>
          </cell>
          <cell r="R1098">
            <v>0.5</v>
          </cell>
          <cell r="S1098">
            <v>44.44</v>
          </cell>
          <cell r="U1098">
            <v>2.2620399999999998</v>
          </cell>
          <cell r="X1098">
            <v>55.55</v>
          </cell>
          <cell r="Y1098">
            <v>41.77</v>
          </cell>
          <cell r="AL1098">
            <v>16.53</v>
          </cell>
          <cell r="AM1098">
            <v>0.77</v>
          </cell>
          <cell r="AN1098">
            <v>0.14000000000000001</v>
          </cell>
          <cell r="AO1098">
            <v>12.47</v>
          </cell>
          <cell r="AQ1098">
            <v>1.06</v>
          </cell>
          <cell r="DD1098"/>
          <cell r="DE1098"/>
          <cell r="DG1098" t="str">
            <v>)*1,67</v>
          </cell>
          <cell r="DI1098"/>
        </row>
        <row r="1099">
          <cell r="P1099">
            <v>83.64</v>
          </cell>
          <cell r="Q1099">
            <v>19.600000000000001</v>
          </cell>
          <cell r="R1099">
            <v>11.97</v>
          </cell>
          <cell r="S1099">
            <v>1063.8900000000001</v>
          </cell>
          <cell r="X1099">
            <v>1063.8900000000001</v>
          </cell>
          <cell r="Y1099">
            <v>478.75</v>
          </cell>
          <cell r="AV1099">
            <v>1.0669999999999999</v>
          </cell>
          <cell r="AW1099">
            <v>1</v>
          </cell>
          <cell r="BA1099">
            <v>23.94</v>
          </cell>
          <cell r="BB1099">
            <v>9.0299999999999994</v>
          </cell>
          <cell r="BC1099">
            <v>2.5299999999999998</v>
          </cell>
          <cell r="BS1099">
            <v>23.94</v>
          </cell>
          <cell r="BZ1099">
            <v>100</v>
          </cell>
          <cell r="CA1099">
            <v>45</v>
          </cell>
          <cell r="DN1099">
            <v>125</v>
          </cell>
          <cell r="DO1099">
            <v>94</v>
          </cell>
        </row>
        <row r="1104">
          <cell r="E1104" t="str">
            <v>135</v>
          </cell>
          <cell r="F1104" t="str">
            <v>1.19-6-75</v>
          </cell>
          <cell r="H1104" t="str">
            <v>шт.</v>
          </cell>
          <cell r="I1104">
            <v>2</v>
          </cell>
          <cell r="P1104">
            <v>517.26</v>
          </cell>
          <cell r="R1104">
            <v>0</v>
          </cell>
          <cell r="X1104">
            <v>0</v>
          </cell>
          <cell r="Y1104">
            <v>0</v>
          </cell>
          <cell r="AL1104">
            <v>258.63</v>
          </cell>
          <cell r="DD1104"/>
        </row>
        <row r="1105">
          <cell r="P1105">
            <v>1815.58</v>
          </cell>
          <cell r="R1105">
            <v>0</v>
          </cell>
          <cell r="X1105">
            <v>0</v>
          </cell>
          <cell r="Y1105">
            <v>0</v>
          </cell>
          <cell r="AW1105">
            <v>1</v>
          </cell>
          <cell r="BC1105">
            <v>3.51</v>
          </cell>
        </row>
        <row r="1106">
          <cell r="E1106" t="str">
            <v>136</v>
          </cell>
          <cell r="F1106" t="str">
            <v>3.20-12-7</v>
          </cell>
          <cell r="H1106" t="str">
            <v>1  ШТ.</v>
          </cell>
          <cell r="I1106">
            <v>7</v>
          </cell>
          <cell r="P1106">
            <v>149.16999999999999</v>
          </cell>
          <cell r="Q1106">
            <v>6.45</v>
          </cell>
          <cell r="R1106">
            <v>1.75</v>
          </cell>
          <cell r="S1106">
            <v>175.12</v>
          </cell>
          <cell r="U1106">
            <v>8.8134199999999989</v>
          </cell>
          <cell r="X1106">
            <v>218.9</v>
          </cell>
          <cell r="Y1106">
            <v>164.61</v>
          </cell>
          <cell r="AL1106">
            <v>21.31</v>
          </cell>
          <cell r="AM1106">
            <v>0.77</v>
          </cell>
          <cell r="AN1106">
            <v>0.14000000000000001</v>
          </cell>
          <cell r="AO1106">
            <v>14.04</v>
          </cell>
          <cell r="AQ1106">
            <v>1.18</v>
          </cell>
          <cell r="DD1106"/>
          <cell r="DE1106"/>
          <cell r="DG1106" t="str">
            <v>)*1,67</v>
          </cell>
          <cell r="DI1106"/>
        </row>
        <row r="1107">
          <cell r="P1107">
            <v>387.84</v>
          </cell>
          <cell r="Q1107">
            <v>68.680000000000007</v>
          </cell>
          <cell r="R1107">
            <v>41.9</v>
          </cell>
          <cell r="S1107">
            <v>4192.37</v>
          </cell>
          <cell r="X1107">
            <v>4192.37</v>
          </cell>
          <cell r="Y1107">
            <v>1886.57</v>
          </cell>
          <cell r="AV1107">
            <v>1.0669999999999999</v>
          </cell>
          <cell r="AW1107">
            <v>1</v>
          </cell>
          <cell r="BA1107">
            <v>23.94</v>
          </cell>
          <cell r="BB1107">
            <v>9.0299999999999994</v>
          </cell>
          <cell r="BC1107">
            <v>2.6</v>
          </cell>
          <cell r="BS1107">
            <v>23.94</v>
          </cell>
          <cell r="BZ1107">
            <v>100</v>
          </cell>
          <cell r="CA1107">
            <v>45</v>
          </cell>
          <cell r="DN1107">
            <v>125</v>
          </cell>
          <cell r="DO1107">
            <v>94</v>
          </cell>
        </row>
        <row r="1108">
          <cell r="E1108" t="str">
            <v>137</v>
          </cell>
          <cell r="F1108" t="str">
            <v>1.19-6-81</v>
          </cell>
          <cell r="H1108" t="str">
            <v>шт.</v>
          </cell>
          <cell r="I1108">
            <v>7</v>
          </cell>
          <cell r="P1108">
            <v>3279.08</v>
          </cell>
          <cell r="R1108">
            <v>0</v>
          </cell>
          <cell r="X1108">
            <v>0</v>
          </cell>
          <cell r="Y1108">
            <v>0</v>
          </cell>
          <cell r="AL1108">
            <v>468.44</v>
          </cell>
          <cell r="DD1108"/>
        </row>
        <row r="1109">
          <cell r="P1109">
            <v>13903.3</v>
          </cell>
          <cell r="R1109">
            <v>0</v>
          </cell>
          <cell r="X1109">
            <v>0</v>
          </cell>
          <cell r="Y1109">
            <v>0</v>
          </cell>
          <cell r="AW1109">
            <v>1</v>
          </cell>
          <cell r="BC1109">
            <v>4.24</v>
          </cell>
        </row>
        <row r="1110">
          <cell r="E1110" t="str">
            <v>138</v>
          </cell>
          <cell r="F1110" t="str">
            <v>3.20-12-8</v>
          </cell>
          <cell r="H1110" t="str">
            <v>1  ШТ.</v>
          </cell>
          <cell r="I1110">
            <v>6</v>
          </cell>
          <cell r="P1110">
            <v>196.5</v>
          </cell>
          <cell r="Q1110">
            <v>5.5299999999999994</v>
          </cell>
          <cell r="R1110">
            <v>1.5</v>
          </cell>
          <cell r="S1110">
            <v>182.5</v>
          </cell>
          <cell r="U1110">
            <v>9.4109400000000001</v>
          </cell>
          <cell r="X1110">
            <v>228.13</v>
          </cell>
          <cell r="Y1110">
            <v>171.55</v>
          </cell>
          <cell r="AL1110">
            <v>32.75</v>
          </cell>
          <cell r="AM1110">
            <v>0.77</v>
          </cell>
          <cell r="AN1110">
            <v>0.14000000000000001</v>
          </cell>
          <cell r="AO1110">
            <v>17.07</v>
          </cell>
          <cell r="AQ1110">
            <v>1.47</v>
          </cell>
          <cell r="DD1110"/>
          <cell r="DE1110"/>
          <cell r="DG1110" t="str">
            <v>)*1,67</v>
          </cell>
          <cell r="DI1110"/>
        </row>
        <row r="1111">
          <cell r="P1111">
            <v>520.73</v>
          </cell>
          <cell r="Q1111">
            <v>58.88</v>
          </cell>
          <cell r="R1111">
            <v>35.909999999999997</v>
          </cell>
          <cell r="S1111">
            <v>4369.05</v>
          </cell>
          <cell r="X1111">
            <v>4369.05</v>
          </cell>
          <cell r="Y1111">
            <v>1966.07</v>
          </cell>
          <cell r="AV1111">
            <v>1.0669999999999999</v>
          </cell>
          <cell r="AW1111">
            <v>1</v>
          </cell>
          <cell r="BA1111">
            <v>23.94</v>
          </cell>
          <cell r="BB1111">
            <v>9.0299999999999994</v>
          </cell>
          <cell r="BC1111">
            <v>2.65</v>
          </cell>
          <cell r="BS1111">
            <v>23.94</v>
          </cell>
          <cell r="BZ1111">
            <v>100</v>
          </cell>
          <cell r="CA1111">
            <v>45</v>
          </cell>
          <cell r="DN1111">
            <v>125</v>
          </cell>
          <cell r="DO1111">
            <v>94</v>
          </cell>
        </row>
        <row r="1112">
          <cell r="E1112" t="str">
            <v>139</v>
          </cell>
          <cell r="F1112" t="str">
            <v>1.19-6-83</v>
          </cell>
          <cell r="H1112" t="str">
            <v>шт.</v>
          </cell>
          <cell r="I1112">
            <v>4</v>
          </cell>
          <cell r="P1112">
            <v>1976</v>
          </cell>
          <cell r="R1112">
            <v>0</v>
          </cell>
          <cell r="X1112">
            <v>0</v>
          </cell>
          <cell r="Y1112">
            <v>0</v>
          </cell>
          <cell r="AL1112">
            <v>494</v>
          </cell>
          <cell r="DD1112"/>
        </row>
        <row r="1113">
          <cell r="P1113">
            <v>16993.599999999999</v>
          </cell>
          <cell r="R1113">
            <v>0</v>
          </cell>
          <cell r="X1113">
            <v>0</v>
          </cell>
          <cell r="Y1113">
            <v>0</v>
          </cell>
          <cell r="AW1113">
            <v>1</v>
          </cell>
          <cell r="BC1113">
            <v>8.6</v>
          </cell>
        </row>
        <row r="1114">
          <cell r="E1114" t="str">
            <v>140</v>
          </cell>
          <cell r="F1114" t="str">
            <v>1.19-6-84</v>
          </cell>
          <cell r="H1114" t="str">
            <v>шт.</v>
          </cell>
          <cell r="I1114">
            <v>2</v>
          </cell>
          <cell r="P1114">
            <v>1141.74</v>
          </cell>
          <cell r="R1114">
            <v>0</v>
          </cell>
          <cell r="X1114">
            <v>0</v>
          </cell>
          <cell r="Y1114">
            <v>0</v>
          </cell>
          <cell r="AL1114">
            <v>570.87</v>
          </cell>
          <cell r="DD1114"/>
        </row>
        <row r="1115">
          <cell r="P1115">
            <v>8871.32</v>
          </cell>
          <cell r="R1115">
            <v>0</v>
          </cell>
          <cell r="X1115">
            <v>0</v>
          </cell>
          <cell r="Y1115">
            <v>0</v>
          </cell>
          <cell r="AW1115">
            <v>1</v>
          </cell>
          <cell r="BC1115">
            <v>7.77</v>
          </cell>
        </row>
        <row r="1204">
          <cell r="E1204" t="str">
            <v>182</v>
          </cell>
          <cell r="F1204" t="str">
            <v>3.20-1-9</v>
          </cell>
          <cell r="H1204" t="str">
            <v>100 м2 поверхности воздуховодов</v>
          </cell>
          <cell r="I1204">
            <v>0.1258</v>
          </cell>
          <cell r="P1204">
            <v>62.8</v>
          </cell>
          <cell r="Q1204">
            <v>18.29</v>
          </cell>
          <cell r="R1204">
            <v>3.46</v>
          </cell>
          <cell r="S1204">
            <v>357.79</v>
          </cell>
          <cell r="U1204">
            <v>18.926232599999999</v>
          </cell>
          <cell r="X1204">
            <v>447.24</v>
          </cell>
          <cell r="Y1204">
            <v>336.32</v>
          </cell>
          <cell r="AL1204">
            <v>499.17</v>
          </cell>
          <cell r="AM1204">
            <v>125.93</v>
          </cell>
          <cell r="AN1204">
            <v>15.43</v>
          </cell>
          <cell r="AO1204">
            <v>1596.12</v>
          </cell>
          <cell r="AQ1204">
            <v>141</v>
          </cell>
          <cell r="DD1204"/>
          <cell r="DE1204"/>
          <cell r="DG1204" t="str">
            <v>)*1,67</v>
          </cell>
          <cell r="DI1204"/>
        </row>
        <row r="1205">
          <cell r="P1205">
            <v>224.82</v>
          </cell>
          <cell r="Q1205">
            <v>174.73</v>
          </cell>
          <cell r="R1205">
            <v>82.83</v>
          </cell>
          <cell r="S1205">
            <v>8565.49</v>
          </cell>
          <cell r="X1205">
            <v>8565.49</v>
          </cell>
          <cell r="Y1205">
            <v>3854.47</v>
          </cell>
          <cell r="AV1205">
            <v>1.0669999999999999</v>
          </cell>
          <cell r="AW1205">
            <v>1</v>
          </cell>
          <cell r="BA1205">
            <v>23.94</v>
          </cell>
          <cell r="BB1205">
            <v>8.3699999999999992</v>
          </cell>
          <cell r="BC1205">
            <v>3.58</v>
          </cell>
          <cell r="BS1205">
            <v>23.94</v>
          </cell>
          <cell r="BZ1205">
            <v>100</v>
          </cell>
          <cell r="CA1205">
            <v>45</v>
          </cell>
          <cell r="DN1205">
            <v>125</v>
          </cell>
          <cell r="DO1205">
            <v>94</v>
          </cell>
        </row>
        <row r="1206">
          <cell r="E1206" t="str">
            <v>182,1</v>
          </cell>
          <cell r="F1206" t="str">
            <v>1.19-3-12</v>
          </cell>
          <cell r="H1206" t="str">
            <v>м2</v>
          </cell>
          <cell r="I1206">
            <v>12.58</v>
          </cell>
          <cell r="O1206">
            <v>1580.55</v>
          </cell>
          <cell r="R1206">
            <v>0</v>
          </cell>
          <cell r="X1206">
            <v>0</v>
          </cell>
          <cell r="Y1206">
            <v>0</v>
          </cell>
          <cell r="AK1206">
            <v>125.64</v>
          </cell>
        </row>
        <row r="1207">
          <cell r="O1207">
            <v>6069.31</v>
          </cell>
          <cell r="R1207">
            <v>0</v>
          </cell>
          <cell r="X1207">
            <v>0</v>
          </cell>
          <cell r="Y1207">
            <v>0</v>
          </cell>
          <cell r="AW1207">
            <v>1</v>
          </cell>
          <cell r="BC1207">
            <v>3.84</v>
          </cell>
        </row>
        <row r="1216">
          <cell r="E1216" t="str">
            <v>185</v>
          </cell>
          <cell r="F1216" t="str">
            <v>3.20-1-9</v>
          </cell>
          <cell r="H1216" t="str">
            <v>100 м2 поверхности воздуховодов</v>
          </cell>
          <cell r="I1216">
            <v>5.0200000000000002E-2</v>
          </cell>
          <cell r="P1216">
            <v>25.06</v>
          </cell>
          <cell r="Q1216">
            <v>7.3</v>
          </cell>
          <cell r="R1216">
            <v>1.38</v>
          </cell>
          <cell r="S1216">
            <v>142.77000000000001</v>
          </cell>
          <cell r="U1216">
            <v>7.5524394000000008</v>
          </cell>
          <cell r="X1216">
            <v>178.46</v>
          </cell>
          <cell r="Y1216">
            <v>134.19999999999999</v>
          </cell>
          <cell r="AL1216">
            <v>499.17</v>
          </cell>
          <cell r="AM1216">
            <v>125.93</v>
          </cell>
          <cell r="AN1216">
            <v>15.43</v>
          </cell>
          <cell r="AO1216">
            <v>1596.12</v>
          </cell>
          <cell r="AQ1216">
            <v>141</v>
          </cell>
          <cell r="DD1216"/>
          <cell r="DE1216"/>
          <cell r="DG1216" t="str">
            <v>)*1,67</v>
          </cell>
          <cell r="DI1216"/>
        </row>
        <row r="1217">
          <cell r="P1217">
            <v>89.71</v>
          </cell>
          <cell r="Q1217">
            <v>69.67</v>
          </cell>
          <cell r="R1217">
            <v>33.04</v>
          </cell>
          <cell r="S1217">
            <v>3417.91</v>
          </cell>
          <cell r="X1217">
            <v>3417.91</v>
          </cell>
          <cell r="Y1217">
            <v>1538.06</v>
          </cell>
          <cell r="AV1217">
            <v>1.0669999999999999</v>
          </cell>
          <cell r="AW1217">
            <v>1</v>
          </cell>
          <cell r="BA1217">
            <v>23.94</v>
          </cell>
          <cell r="BB1217">
            <v>8.3699999999999992</v>
          </cell>
          <cell r="BC1217">
            <v>3.58</v>
          </cell>
          <cell r="BS1217">
            <v>23.94</v>
          </cell>
          <cell r="BZ1217">
            <v>100</v>
          </cell>
          <cell r="CA1217">
            <v>45</v>
          </cell>
          <cell r="DN1217">
            <v>125</v>
          </cell>
          <cell r="DO1217">
            <v>94</v>
          </cell>
        </row>
        <row r="1218">
          <cell r="E1218" t="str">
            <v>185,1</v>
          </cell>
          <cell r="F1218" t="str">
            <v>1.19-3-12</v>
          </cell>
          <cell r="H1218" t="str">
            <v>м2</v>
          </cell>
          <cell r="I1218">
            <v>5.0199999999999996</v>
          </cell>
          <cell r="O1218">
            <v>630.71</v>
          </cell>
          <cell r="R1218">
            <v>0</v>
          </cell>
          <cell r="X1218">
            <v>0</v>
          </cell>
          <cell r="Y1218">
            <v>0</v>
          </cell>
          <cell r="AK1218">
            <v>125.64</v>
          </cell>
        </row>
        <row r="1219">
          <cell r="O1219">
            <v>2421.9299999999998</v>
          </cell>
          <cell r="R1219">
            <v>0</v>
          </cell>
          <cell r="X1219">
            <v>0</v>
          </cell>
          <cell r="Y1219">
            <v>0</v>
          </cell>
          <cell r="AW1219">
            <v>1</v>
          </cell>
          <cell r="BC1219">
            <v>3.84</v>
          </cell>
        </row>
        <row r="1232">
          <cell r="E1232" t="str">
            <v>189</v>
          </cell>
          <cell r="F1232" t="str">
            <v>3.20-1-11</v>
          </cell>
          <cell r="H1232" t="str">
            <v>100 м2 поверхности воздуховодов</v>
          </cell>
          <cell r="I1232">
            <v>2.1507999999999998</v>
          </cell>
          <cell r="P1232">
            <v>881.2</v>
          </cell>
          <cell r="Q1232">
            <v>217.15</v>
          </cell>
          <cell r="R1232">
            <v>40.97</v>
          </cell>
          <cell r="S1232">
            <v>3982.65</v>
          </cell>
          <cell r="U1232">
            <v>210.67215047999997</v>
          </cell>
          <cell r="X1232">
            <v>4978.3100000000004</v>
          </cell>
          <cell r="Y1232">
            <v>3743.69</v>
          </cell>
          <cell r="AL1232">
            <v>409.71</v>
          </cell>
          <cell r="AM1232">
            <v>87.46</v>
          </cell>
          <cell r="AN1232">
            <v>10.69</v>
          </cell>
          <cell r="AO1232">
            <v>1039.18</v>
          </cell>
          <cell r="AQ1232">
            <v>91.8</v>
          </cell>
          <cell r="DD1232"/>
          <cell r="DE1232"/>
          <cell r="DG1232" t="str">
            <v>)*1,67</v>
          </cell>
          <cell r="DI1232"/>
        </row>
        <row r="1233">
          <cell r="P1233">
            <v>2846.28</v>
          </cell>
          <cell r="Q1233">
            <v>2075.52</v>
          </cell>
          <cell r="R1233">
            <v>980.82</v>
          </cell>
          <cell r="S1233">
            <v>95344.639999999999</v>
          </cell>
          <cell r="X1233">
            <v>95344.639999999999</v>
          </cell>
          <cell r="Y1233">
            <v>42905.09</v>
          </cell>
          <cell r="AV1233">
            <v>1.0669999999999999</v>
          </cell>
          <cell r="AW1233">
            <v>1</v>
          </cell>
          <cell r="BA1233">
            <v>23.94</v>
          </cell>
          <cell r="BB1233">
            <v>8.3800000000000008</v>
          </cell>
          <cell r="BC1233">
            <v>3.23</v>
          </cell>
          <cell r="BS1233">
            <v>23.94</v>
          </cell>
          <cell r="BZ1233">
            <v>100</v>
          </cell>
          <cell r="CA1233">
            <v>45</v>
          </cell>
          <cell r="DN1233">
            <v>125</v>
          </cell>
          <cell r="DO1233">
            <v>94</v>
          </cell>
        </row>
        <row r="1234">
          <cell r="E1234" t="str">
            <v>189,1</v>
          </cell>
          <cell r="F1234" t="str">
            <v>1.19-3-13</v>
          </cell>
          <cell r="H1234" t="str">
            <v>м2</v>
          </cell>
          <cell r="I1234">
            <v>215.08</v>
          </cell>
          <cell r="O1234">
            <v>33883.699999999997</v>
          </cell>
          <cell r="R1234">
            <v>0</v>
          </cell>
          <cell r="X1234">
            <v>0</v>
          </cell>
          <cell r="Y1234">
            <v>0</v>
          </cell>
          <cell r="AK1234">
            <v>157.54</v>
          </cell>
        </row>
        <row r="1235">
          <cell r="O1235">
            <v>104022.96</v>
          </cell>
          <cell r="R1235">
            <v>0</v>
          </cell>
          <cell r="X1235">
            <v>0</v>
          </cell>
          <cell r="Y1235">
            <v>0</v>
          </cell>
          <cell r="AW1235">
            <v>1</v>
          </cell>
          <cell r="BC1235">
            <v>3.07</v>
          </cell>
        </row>
        <row r="1250">
          <cell r="E1250" t="str">
            <v>193</v>
          </cell>
          <cell r="F1250" t="str">
            <v>3.20-1-16</v>
          </cell>
          <cell r="H1250" t="str">
            <v>100 м2 поверхности воздуховодов</v>
          </cell>
          <cell r="I1250">
            <v>6.9199999999999998E-2</v>
          </cell>
          <cell r="P1250">
            <v>48.62</v>
          </cell>
          <cell r="Q1250">
            <v>7.63</v>
          </cell>
          <cell r="R1250">
            <v>1.46</v>
          </cell>
          <cell r="S1250">
            <v>77.19</v>
          </cell>
          <cell r="U1250">
            <v>4.1717566000000001</v>
          </cell>
          <cell r="X1250">
            <v>96.49</v>
          </cell>
          <cell r="Y1250">
            <v>72.56</v>
          </cell>
          <cell r="AL1250">
            <v>702.53</v>
          </cell>
          <cell r="AM1250">
            <v>95.33</v>
          </cell>
          <cell r="AN1250">
            <v>11.87</v>
          </cell>
          <cell r="AO1250">
            <v>626.02</v>
          </cell>
          <cell r="AQ1250">
            <v>56.5</v>
          </cell>
          <cell r="DD1250"/>
          <cell r="DE1250"/>
          <cell r="DG1250" t="str">
            <v>)*1,67</v>
          </cell>
          <cell r="DI1250"/>
        </row>
        <row r="1251">
          <cell r="P1251">
            <v>179.41</v>
          </cell>
          <cell r="Q1251">
            <v>73.19</v>
          </cell>
          <cell r="R1251">
            <v>34.950000000000003</v>
          </cell>
          <cell r="S1251">
            <v>1847.93</v>
          </cell>
          <cell r="X1251">
            <v>1847.93</v>
          </cell>
          <cell r="Y1251">
            <v>831.57</v>
          </cell>
          <cell r="AV1251">
            <v>1.0669999999999999</v>
          </cell>
          <cell r="AW1251">
            <v>1</v>
          </cell>
          <cell r="BA1251">
            <v>23.94</v>
          </cell>
          <cell r="BB1251">
            <v>8.39</v>
          </cell>
          <cell r="BC1251">
            <v>3.69</v>
          </cell>
          <cell r="BS1251">
            <v>23.94</v>
          </cell>
          <cell r="BZ1251">
            <v>100</v>
          </cell>
          <cell r="CA1251">
            <v>45</v>
          </cell>
          <cell r="DN1251">
            <v>125</v>
          </cell>
          <cell r="DO1251">
            <v>94</v>
          </cell>
        </row>
        <row r="1252">
          <cell r="E1252" t="str">
            <v>193,1</v>
          </cell>
          <cell r="F1252" t="str">
            <v>1.19-3-14</v>
          </cell>
          <cell r="H1252" t="str">
            <v>м2</v>
          </cell>
          <cell r="I1252">
            <v>6.92</v>
          </cell>
          <cell r="O1252">
            <v>1103.05</v>
          </cell>
          <cell r="R1252">
            <v>0</v>
          </cell>
          <cell r="X1252">
            <v>0</v>
          </cell>
          <cell r="Y1252">
            <v>0</v>
          </cell>
          <cell r="AK1252">
            <v>159.4</v>
          </cell>
        </row>
        <row r="1253">
          <cell r="O1253">
            <v>3342.24</v>
          </cell>
          <cell r="R1253">
            <v>0</v>
          </cell>
          <cell r="X1253">
            <v>0</v>
          </cell>
          <cell r="Y1253">
            <v>0</v>
          </cell>
          <cell r="AW1253">
            <v>1</v>
          </cell>
          <cell r="BC1253">
            <v>3.03</v>
          </cell>
        </row>
        <row r="1304">
          <cell r="E1304" t="str">
            <v>215</v>
          </cell>
          <cell r="F1304" t="str">
            <v>1.19-12-57</v>
          </cell>
          <cell r="H1304" t="str">
            <v>кг</v>
          </cell>
          <cell r="I1304">
            <v>220</v>
          </cell>
          <cell r="P1304">
            <v>6375.6</v>
          </cell>
          <cell r="R1304">
            <v>0</v>
          </cell>
          <cell r="X1304">
            <v>0</v>
          </cell>
          <cell r="Y1304">
            <v>0</v>
          </cell>
          <cell r="AL1304">
            <v>28.98</v>
          </cell>
          <cell r="DD1304"/>
        </row>
        <row r="1305">
          <cell r="P1305">
            <v>23653.48</v>
          </cell>
          <cell r="R1305">
            <v>0</v>
          </cell>
          <cell r="X1305">
            <v>0</v>
          </cell>
          <cell r="Y1305">
            <v>0</v>
          </cell>
          <cell r="AW1305">
            <v>1</v>
          </cell>
          <cell r="BC1305">
            <v>3.71</v>
          </cell>
        </row>
        <row r="1308">
          <cell r="G1308"/>
        </row>
        <row r="1334">
          <cell r="G1334" t="str">
            <v>В2-35</v>
          </cell>
        </row>
        <row r="1499">
          <cell r="G1499" t="str">
            <v>Вентиляция</v>
          </cell>
        </row>
        <row r="2326">
          <cell r="G2326" t="str">
            <v>Станционный комплекс "Аминьевское шоссе". Инженерные системы ТПП. Отопление, вентиляция, кондиционирование, дымоудаление.</v>
          </cell>
        </row>
        <row r="2332">
          <cell r="F2332">
            <v>51884.1</v>
          </cell>
          <cell r="H2332" t="str">
            <v>Стоимость материалов (всего)</v>
          </cell>
          <cell r="P2332">
            <v>185426.15</v>
          </cell>
        </row>
        <row r="2340">
          <cell r="F2340">
            <v>51.02</v>
          </cell>
          <cell r="H2340" t="str">
            <v>ЗП машинистов</v>
          </cell>
          <cell r="P2340">
            <v>1221.42</v>
          </cell>
        </row>
        <row r="2341">
          <cell r="F2341">
            <v>4962.46</v>
          </cell>
          <cell r="H2341" t="str">
            <v>Основная ЗП рабочих</v>
          </cell>
          <cell r="P2341">
            <v>118801.28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ТрМ. "/>
      <sheetName val="К.С.М. м"/>
      <sheetName val="отгр ГОК"/>
      <sheetName val="коэф"/>
    </sheetNames>
    <sheetDataSet>
      <sheetData sheetId="0"/>
      <sheetData sheetId="1">
        <row r="57">
          <cell r="H57">
            <v>136.85</v>
          </cell>
        </row>
      </sheetData>
      <sheetData sheetId="2"/>
      <sheetData sheetId="3" refreshError="1">
        <row r="29">
          <cell r="F29">
            <v>14.603200000000001</v>
          </cell>
        </row>
      </sheetData>
      <sheetData sheetId="4">
        <row r="319">
          <cell r="P319">
            <v>10.35</v>
          </cell>
        </row>
      </sheetData>
      <sheetData sheetId="5" refreshError="1">
        <row r="17">
          <cell r="H17">
            <v>5.0599999999999996</v>
          </cell>
        </row>
        <row r="39">
          <cell r="H39">
            <v>3.08</v>
          </cell>
        </row>
        <row r="42">
          <cell r="H42">
            <v>2.6100000000000003</v>
          </cell>
        </row>
        <row r="47">
          <cell r="H47">
            <v>3.21</v>
          </cell>
        </row>
        <row r="50">
          <cell r="H50">
            <v>3.08</v>
          </cell>
        </row>
        <row r="53">
          <cell r="H53">
            <v>2.98</v>
          </cell>
        </row>
        <row r="56">
          <cell r="H56">
            <v>5.22</v>
          </cell>
        </row>
        <row r="59">
          <cell r="H59">
            <v>5.09</v>
          </cell>
        </row>
        <row r="62">
          <cell r="H62">
            <v>2.4300000000000002</v>
          </cell>
        </row>
        <row r="65">
          <cell r="H65">
            <v>1.4</v>
          </cell>
        </row>
      </sheetData>
      <sheetData sheetId="6" refreshError="1">
        <row r="43">
          <cell r="F43">
            <v>5.2489999999999997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view="pageBreakPreview" topLeftCell="A4" zoomScale="40" zoomScaleNormal="55" zoomScaleSheetLayoutView="40" workbookViewId="0">
      <selection activeCell="Q15" sqref="Q15"/>
    </sheetView>
  </sheetViews>
  <sheetFormatPr defaultRowHeight="25.5" x14ac:dyDescent="0.2"/>
  <cols>
    <col min="1" max="1" width="5.28515625" style="320" customWidth="1"/>
    <col min="2" max="2" width="12.140625" style="408" customWidth="1"/>
    <col min="3" max="3" width="32.42578125" style="409" customWidth="1"/>
    <col min="4" max="4" width="43.42578125" style="322" customWidth="1"/>
    <col min="5" max="5" width="25.7109375" style="322" customWidth="1"/>
    <col min="6" max="6" width="22.42578125" style="322" customWidth="1"/>
    <col min="7" max="7" width="23" style="322" customWidth="1"/>
    <col min="8" max="8" width="16.42578125" style="322" hidden="1" customWidth="1"/>
    <col min="9" max="9" width="18.85546875" style="322" hidden="1" customWidth="1"/>
    <col min="10" max="10" width="19" style="322" hidden="1" customWidth="1"/>
    <col min="11" max="11" width="20.28515625" style="322" hidden="1" customWidth="1"/>
    <col min="12" max="12" width="18.85546875" style="322" hidden="1" customWidth="1"/>
    <col min="13" max="13" width="19.42578125" style="322" hidden="1" customWidth="1"/>
    <col min="14" max="14" width="23.7109375" style="322" customWidth="1"/>
    <col min="15" max="15" width="21.85546875" style="322" customWidth="1"/>
    <col min="16" max="16" width="23.5703125" style="322" customWidth="1"/>
    <col min="17" max="17" width="20.42578125" style="322" customWidth="1"/>
    <col min="18" max="18" width="20.7109375" style="322" customWidth="1"/>
    <col min="19" max="19" width="25.7109375" style="322" customWidth="1"/>
    <col min="20" max="20" width="26.5703125" style="322" customWidth="1"/>
    <col min="21" max="23" width="28.7109375" style="322" customWidth="1"/>
    <col min="24" max="24" width="24.28515625" style="321" customWidth="1"/>
    <col min="25" max="25" width="22.85546875" style="321" customWidth="1"/>
    <col min="26" max="29" width="9.140625" style="321"/>
    <col min="30" max="30" width="28" style="321" bestFit="1" customWidth="1"/>
    <col min="31" max="242" width="9.140625" style="321"/>
    <col min="243" max="243" width="5.28515625" style="321" customWidth="1"/>
    <col min="244" max="244" width="7.85546875" style="321" customWidth="1"/>
    <col min="245" max="245" width="25.140625" style="321" customWidth="1"/>
    <col min="246" max="246" width="37.42578125" style="321" customWidth="1"/>
    <col min="247" max="247" width="17.140625" style="321" bestFit="1" customWidth="1"/>
    <col min="248" max="248" width="15.42578125" style="321" bestFit="1" customWidth="1"/>
    <col min="249" max="249" width="16.5703125" style="321" customWidth="1"/>
    <col min="250" max="250" width="16.28515625" style="321" bestFit="1" customWidth="1"/>
    <col min="251" max="251" width="14.28515625" style="321" bestFit="1" customWidth="1"/>
    <col min="252" max="252" width="16.5703125" style="321" bestFit="1" customWidth="1"/>
    <col min="253" max="253" width="13.140625" style="321" bestFit="1" customWidth="1"/>
    <col min="254" max="256" width="14.28515625" style="321" bestFit="1" customWidth="1"/>
    <col min="257" max="257" width="15.42578125" style="321" bestFit="1" customWidth="1"/>
    <col min="258" max="260" width="0" style="321" hidden="1" customWidth="1"/>
    <col min="261" max="261" width="14.140625" style="321" bestFit="1" customWidth="1"/>
    <col min="262" max="262" width="14.85546875" style="321" customWidth="1"/>
    <col min="263" max="263" width="14.28515625" style="321" customWidth="1"/>
    <col min="264" max="264" width="12.140625" style="321" bestFit="1" customWidth="1"/>
    <col min="265" max="265" width="14.28515625" style="321" bestFit="1" customWidth="1"/>
    <col min="266" max="266" width="14.140625" style="321" bestFit="1" customWidth="1"/>
    <col min="267" max="267" width="15.42578125" style="321" bestFit="1" customWidth="1"/>
    <col min="268" max="268" width="16.5703125" style="321" bestFit="1" customWidth="1"/>
    <col min="269" max="269" width="17.42578125" style="321" bestFit="1" customWidth="1"/>
    <col min="270" max="270" width="24.85546875" style="321" customWidth="1"/>
    <col min="271" max="272" width="25.5703125" style="321" bestFit="1" customWidth="1"/>
    <col min="273" max="273" width="9.140625" style="321"/>
    <col min="274" max="274" width="27" style="321" customWidth="1"/>
    <col min="275" max="498" width="9.140625" style="321"/>
    <col min="499" max="499" width="5.28515625" style="321" customWidth="1"/>
    <col min="500" max="500" width="7.85546875" style="321" customWidth="1"/>
    <col min="501" max="501" width="25.140625" style="321" customWidth="1"/>
    <col min="502" max="502" width="37.42578125" style="321" customWidth="1"/>
    <col min="503" max="503" width="17.140625" style="321" bestFit="1" customWidth="1"/>
    <col min="504" max="504" width="15.42578125" style="321" bestFit="1" customWidth="1"/>
    <col min="505" max="505" width="16.5703125" style="321" customWidth="1"/>
    <col min="506" max="506" width="16.28515625" style="321" bestFit="1" customWidth="1"/>
    <col min="507" max="507" width="14.28515625" style="321" bestFit="1" customWidth="1"/>
    <col min="508" max="508" width="16.5703125" style="321" bestFit="1" customWidth="1"/>
    <col min="509" max="509" width="13.140625" style="321" bestFit="1" customWidth="1"/>
    <col min="510" max="512" width="14.28515625" style="321" bestFit="1" customWidth="1"/>
    <col min="513" max="513" width="15.42578125" style="321" bestFit="1" customWidth="1"/>
    <col min="514" max="516" width="0" style="321" hidden="1" customWidth="1"/>
    <col min="517" max="517" width="14.140625" style="321" bestFit="1" customWidth="1"/>
    <col min="518" max="518" width="14.85546875" style="321" customWidth="1"/>
    <col min="519" max="519" width="14.28515625" style="321" customWidth="1"/>
    <col min="520" max="520" width="12.140625" style="321" bestFit="1" customWidth="1"/>
    <col min="521" max="521" width="14.28515625" style="321" bestFit="1" customWidth="1"/>
    <col min="522" max="522" width="14.140625" style="321" bestFit="1" customWidth="1"/>
    <col min="523" max="523" width="15.42578125" style="321" bestFit="1" customWidth="1"/>
    <col min="524" max="524" width="16.5703125" style="321" bestFit="1" customWidth="1"/>
    <col min="525" max="525" width="17.42578125" style="321" bestFit="1" customWidth="1"/>
    <col min="526" max="526" width="24.85546875" style="321" customWidth="1"/>
    <col min="527" max="528" width="25.5703125" style="321" bestFit="1" customWidth="1"/>
    <col min="529" max="529" width="9.140625" style="321"/>
    <col min="530" max="530" width="27" style="321" customWidth="1"/>
    <col min="531" max="754" width="9.140625" style="321"/>
    <col min="755" max="755" width="5.28515625" style="321" customWidth="1"/>
    <col min="756" max="756" width="7.85546875" style="321" customWidth="1"/>
    <col min="757" max="757" width="25.140625" style="321" customWidth="1"/>
    <col min="758" max="758" width="37.42578125" style="321" customWidth="1"/>
    <col min="759" max="759" width="17.140625" style="321" bestFit="1" customWidth="1"/>
    <col min="760" max="760" width="15.42578125" style="321" bestFit="1" customWidth="1"/>
    <col min="761" max="761" width="16.5703125" style="321" customWidth="1"/>
    <col min="762" max="762" width="16.28515625" style="321" bestFit="1" customWidth="1"/>
    <col min="763" max="763" width="14.28515625" style="321" bestFit="1" customWidth="1"/>
    <col min="764" max="764" width="16.5703125" style="321" bestFit="1" customWidth="1"/>
    <col min="765" max="765" width="13.140625" style="321" bestFit="1" customWidth="1"/>
    <col min="766" max="768" width="14.28515625" style="321" bestFit="1" customWidth="1"/>
    <col min="769" max="769" width="15.42578125" style="321" bestFit="1" customWidth="1"/>
    <col min="770" max="772" width="0" style="321" hidden="1" customWidth="1"/>
    <col min="773" max="773" width="14.140625" style="321" bestFit="1" customWidth="1"/>
    <col min="774" max="774" width="14.85546875" style="321" customWidth="1"/>
    <col min="775" max="775" width="14.28515625" style="321" customWidth="1"/>
    <col min="776" max="776" width="12.140625" style="321" bestFit="1" customWidth="1"/>
    <col min="777" max="777" width="14.28515625" style="321" bestFit="1" customWidth="1"/>
    <col min="778" max="778" width="14.140625" style="321" bestFit="1" customWidth="1"/>
    <col min="779" max="779" width="15.42578125" style="321" bestFit="1" customWidth="1"/>
    <col min="780" max="780" width="16.5703125" style="321" bestFit="1" customWidth="1"/>
    <col min="781" max="781" width="17.42578125" style="321" bestFit="1" customWidth="1"/>
    <col min="782" max="782" width="24.85546875" style="321" customWidth="1"/>
    <col min="783" max="784" width="25.5703125" style="321" bestFit="1" customWidth="1"/>
    <col min="785" max="785" width="9.140625" style="321"/>
    <col min="786" max="786" width="27" style="321" customWidth="1"/>
    <col min="787" max="1010" width="9.140625" style="321"/>
    <col min="1011" max="1011" width="5.28515625" style="321" customWidth="1"/>
    <col min="1012" max="1012" width="7.85546875" style="321" customWidth="1"/>
    <col min="1013" max="1013" width="25.140625" style="321" customWidth="1"/>
    <col min="1014" max="1014" width="37.42578125" style="321" customWidth="1"/>
    <col min="1015" max="1015" width="17.140625" style="321" bestFit="1" customWidth="1"/>
    <col min="1016" max="1016" width="15.42578125" style="321" bestFit="1" customWidth="1"/>
    <col min="1017" max="1017" width="16.5703125" style="321" customWidth="1"/>
    <col min="1018" max="1018" width="16.28515625" style="321" bestFit="1" customWidth="1"/>
    <col min="1019" max="1019" width="14.28515625" style="321" bestFit="1" customWidth="1"/>
    <col min="1020" max="1020" width="16.5703125" style="321" bestFit="1" customWidth="1"/>
    <col min="1021" max="1021" width="13.140625" style="321" bestFit="1" customWidth="1"/>
    <col min="1022" max="1024" width="14.28515625" style="321" bestFit="1" customWidth="1"/>
    <col min="1025" max="1025" width="15.42578125" style="321" bestFit="1" customWidth="1"/>
    <col min="1026" max="1028" width="0" style="321" hidden="1" customWidth="1"/>
    <col min="1029" max="1029" width="14.140625" style="321" bestFit="1" customWidth="1"/>
    <col min="1030" max="1030" width="14.85546875" style="321" customWidth="1"/>
    <col min="1031" max="1031" width="14.28515625" style="321" customWidth="1"/>
    <col min="1032" max="1032" width="12.140625" style="321" bestFit="1" customWidth="1"/>
    <col min="1033" max="1033" width="14.28515625" style="321" bestFit="1" customWidth="1"/>
    <col min="1034" max="1034" width="14.140625" style="321" bestFit="1" customWidth="1"/>
    <col min="1035" max="1035" width="15.42578125" style="321" bestFit="1" customWidth="1"/>
    <col min="1036" max="1036" width="16.5703125" style="321" bestFit="1" customWidth="1"/>
    <col min="1037" max="1037" width="17.42578125" style="321" bestFit="1" customWidth="1"/>
    <col min="1038" max="1038" width="24.85546875" style="321" customWidth="1"/>
    <col min="1039" max="1040" width="25.5703125" style="321" bestFit="1" customWidth="1"/>
    <col min="1041" max="1041" width="9.140625" style="321"/>
    <col min="1042" max="1042" width="27" style="321" customWidth="1"/>
    <col min="1043" max="1266" width="9.140625" style="321"/>
    <col min="1267" max="1267" width="5.28515625" style="321" customWidth="1"/>
    <col min="1268" max="1268" width="7.85546875" style="321" customWidth="1"/>
    <col min="1269" max="1269" width="25.140625" style="321" customWidth="1"/>
    <col min="1270" max="1270" width="37.42578125" style="321" customWidth="1"/>
    <col min="1271" max="1271" width="17.140625" style="321" bestFit="1" customWidth="1"/>
    <col min="1272" max="1272" width="15.42578125" style="321" bestFit="1" customWidth="1"/>
    <col min="1273" max="1273" width="16.5703125" style="321" customWidth="1"/>
    <col min="1274" max="1274" width="16.28515625" style="321" bestFit="1" customWidth="1"/>
    <col min="1275" max="1275" width="14.28515625" style="321" bestFit="1" customWidth="1"/>
    <col min="1276" max="1276" width="16.5703125" style="321" bestFit="1" customWidth="1"/>
    <col min="1277" max="1277" width="13.140625" style="321" bestFit="1" customWidth="1"/>
    <col min="1278" max="1280" width="14.28515625" style="321" bestFit="1" customWidth="1"/>
    <col min="1281" max="1281" width="15.42578125" style="321" bestFit="1" customWidth="1"/>
    <col min="1282" max="1284" width="0" style="321" hidden="1" customWidth="1"/>
    <col min="1285" max="1285" width="14.140625" style="321" bestFit="1" customWidth="1"/>
    <col min="1286" max="1286" width="14.85546875" style="321" customWidth="1"/>
    <col min="1287" max="1287" width="14.28515625" style="321" customWidth="1"/>
    <col min="1288" max="1288" width="12.140625" style="321" bestFit="1" customWidth="1"/>
    <col min="1289" max="1289" width="14.28515625" style="321" bestFit="1" customWidth="1"/>
    <col min="1290" max="1290" width="14.140625" style="321" bestFit="1" customWidth="1"/>
    <col min="1291" max="1291" width="15.42578125" style="321" bestFit="1" customWidth="1"/>
    <col min="1292" max="1292" width="16.5703125" style="321" bestFit="1" customWidth="1"/>
    <col min="1293" max="1293" width="17.42578125" style="321" bestFit="1" customWidth="1"/>
    <col min="1294" max="1294" width="24.85546875" style="321" customWidth="1"/>
    <col min="1295" max="1296" width="25.5703125" style="321" bestFit="1" customWidth="1"/>
    <col min="1297" max="1297" width="9.140625" style="321"/>
    <col min="1298" max="1298" width="27" style="321" customWidth="1"/>
    <col min="1299" max="1522" width="9.140625" style="321"/>
    <col min="1523" max="1523" width="5.28515625" style="321" customWidth="1"/>
    <col min="1524" max="1524" width="7.85546875" style="321" customWidth="1"/>
    <col min="1525" max="1525" width="25.140625" style="321" customWidth="1"/>
    <col min="1526" max="1526" width="37.42578125" style="321" customWidth="1"/>
    <col min="1527" max="1527" width="17.140625" style="321" bestFit="1" customWidth="1"/>
    <col min="1528" max="1528" width="15.42578125" style="321" bestFit="1" customWidth="1"/>
    <col min="1529" max="1529" width="16.5703125" style="321" customWidth="1"/>
    <col min="1530" max="1530" width="16.28515625" style="321" bestFit="1" customWidth="1"/>
    <col min="1531" max="1531" width="14.28515625" style="321" bestFit="1" customWidth="1"/>
    <col min="1532" max="1532" width="16.5703125" style="321" bestFit="1" customWidth="1"/>
    <col min="1533" max="1533" width="13.140625" style="321" bestFit="1" customWidth="1"/>
    <col min="1534" max="1536" width="14.28515625" style="321" bestFit="1" customWidth="1"/>
    <col min="1537" max="1537" width="15.42578125" style="321" bestFit="1" customWidth="1"/>
    <col min="1538" max="1540" width="0" style="321" hidden="1" customWidth="1"/>
    <col min="1541" max="1541" width="14.140625" style="321" bestFit="1" customWidth="1"/>
    <col min="1542" max="1542" width="14.85546875" style="321" customWidth="1"/>
    <col min="1543" max="1543" width="14.28515625" style="321" customWidth="1"/>
    <col min="1544" max="1544" width="12.140625" style="321" bestFit="1" customWidth="1"/>
    <col min="1545" max="1545" width="14.28515625" style="321" bestFit="1" customWidth="1"/>
    <col min="1546" max="1546" width="14.140625" style="321" bestFit="1" customWidth="1"/>
    <col min="1547" max="1547" width="15.42578125" style="321" bestFit="1" customWidth="1"/>
    <col min="1548" max="1548" width="16.5703125" style="321" bestFit="1" customWidth="1"/>
    <col min="1549" max="1549" width="17.42578125" style="321" bestFit="1" customWidth="1"/>
    <col min="1550" max="1550" width="24.85546875" style="321" customWidth="1"/>
    <col min="1551" max="1552" width="25.5703125" style="321" bestFit="1" customWidth="1"/>
    <col min="1553" max="1553" width="9.140625" style="321"/>
    <col min="1554" max="1554" width="27" style="321" customWidth="1"/>
    <col min="1555" max="1778" width="9.140625" style="321"/>
    <col min="1779" max="1779" width="5.28515625" style="321" customWidth="1"/>
    <col min="1780" max="1780" width="7.85546875" style="321" customWidth="1"/>
    <col min="1781" max="1781" width="25.140625" style="321" customWidth="1"/>
    <col min="1782" max="1782" width="37.42578125" style="321" customWidth="1"/>
    <col min="1783" max="1783" width="17.140625" style="321" bestFit="1" customWidth="1"/>
    <col min="1784" max="1784" width="15.42578125" style="321" bestFit="1" customWidth="1"/>
    <col min="1785" max="1785" width="16.5703125" style="321" customWidth="1"/>
    <col min="1786" max="1786" width="16.28515625" style="321" bestFit="1" customWidth="1"/>
    <col min="1787" max="1787" width="14.28515625" style="321" bestFit="1" customWidth="1"/>
    <col min="1788" max="1788" width="16.5703125" style="321" bestFit="1" customWidth="1"/>
    <col min="1789" max="1789" width="13.140625" style="321" bestFit="1" customWidth="1"/>
    <col min="1790" max="1792" width="14.28515625" style="321" bestFit="1" customWidth="1"/>
    <col min="1793" max="1793" width="15.42578125" style="321" bestFit="1" customWidth="1"/>
    <col min="1794" max="1796" width="0" style="321" hidden="1" customWidth="1"/>
    <col min="1797" max="1797" width="14.140625" style="321" bestFit="1" customWidth="1"/>
    <col min="1798" max="1798" width="14.85546875" style="321" customWidth="1"/>
    <col min="1799" max="1799" width="14.28515625" style="321" customWidth="1"/>
    <col min="1800" max="1800" width="12.140625" style="321" bestFit="1" customWidth="1"/>
    <col min="1801" max="1801" width="14.28515625" style="321" bestFit="1" customWidth="1"/>
    <col min="1802" max="1802" width="14.140625" style="321" bestFit="1" customWidth="1"/>
    <col min="1803" max="1803" width="15.42578125" style="321" bestFit="1" customWidth="1"/>
    <col min="1804" max="1804" width="16.5703125" style="321" bestFit="1" customWidth="1"/>
    <col min="1805" max="1805" width="17.42578125" style="321" bestFit="1" customWidth="1"/>
    <col min="1806" max="1806" width="24.85546875" style="321" customWidth="1"/>
    <col min="1807" max="1808" width="25.5703125" style="321" bestFit="1" customWidth="1"/>
    <col min="1809" max="1809" width="9.140625" style="321"/>
    <col min="1810" max="1810" width="27" style="321" customWidth="1"/>
    <col min="1811" max="2034" width="9.140625" style="321"/>
    <col min="2035" max="2035" width="5.28515625" style="321" customWidth="1"/>
    <col min="2036" max="2036" width="7.85546875" style="321" customWidth="1"/>
    <col min="2037" max="2037" width="25.140625" style="321" customWidth="1"/>
    <col min="2038" max="2038" width="37.42578125" style="321" customWidth="1"/>
    <col min="2039" max="2039" width="17.140625" style="321" bestFit="1" customWidth="1"/>
    <col min="2040" max="2040" width="15.42578125" style="321" bestFit="1" customWidth="1"/>
    <col min="2041" max="2041" width="16.5703125" style="321" customWidth="1"/>
    <col min="2042" max="2042" width="16.28515625" style="321" bestFit="1" customWidth="1"/>
    <col min="2043" max="2043" width="14.28515625" style="321" bestFit="1" customWidth="1"/>
    <col min="2044" max="2044" width="16.5703125" style="321" bestFit="1" customWidth="1"/>
    <col min="2045" max="2045" width="13.140625" style="321" bestFit="1" customWidth="1"/>
    <col min="2046" max="2048" width="14.28515625" style="321" bestFit="1" customWidth="1"/>
    <col min="2049" max="2049" width="15.42578125" style="321" bestFit="1" customWidth="1"/>
    <col min="2050" max="2052" width="0" style="321" hidden="1" customWidth="1"/>
    <col min="2053" max="2053" width="14.140625" style="321" bestFit="1" customWidth="1"/>
    <col min="2054" max="2054" width="14.85546875" style="321" customWidth="1"/>
    <col min="2055" max="2055" width="14.28515625" style="321" customWidth="1"/>
    <col min="2056" max="2056" width="12.140625" style="321" bestFit="1" customWidth="1"/>
    <col min="2057" max="2057" width="14.28515625" style="321" bestFit="1" customWidth="1"/>
    <col min="2058" max="2058" width="14.140625" style="321" bestFit="1" customWidth="1"/>
    <col min="2059" max="2059" width="15.42578125" style="321" bestFit="1" customWidth="1"/>
    <col min="2060" max="2060" width="16.5703125" style="321" bestFit="1" customWidth="1"/>
    <col min="2061" max="2061" width="17.42578125" style="321" bestFit="1" customWidth="1"/>
    <col min="2062" max="2062" width="24.85546875" style="321" customWidth="1"/>
    <col min="2063" max="2064" width="25.5703125" style="321" bestFit="1" customWidth="1"/>
    <col min="2065" max="2065" width="9.140625" style="321"/>
    <col min="2066" max="2066" width="27" style="321" customWidth="1"/>
    <col min="2067" max="2290" width="9.140625" style="321"/>
    <col min="2291" max="2291" width="5.28515625" style="321" customWidth="1"/>
    <col min="2292" max="2292" width="7.85546875" style="321" customWidth="1"/>
    <col min="2293" max="2293" width="25.140625" style="321" customWidth="1"/>
    <col min="2294" max="2294" width="37.42578125" style="321" customWidth="1"/>
    <col min="2295" max="2295" width="17.140625" style="321" bestFit="1" customWidth="1"/>
    <col min="2296" max="2296" width="15.42578125" style="321" bestFit="1" customWidth="1"/>
    <col min="2297" max="2297" width="16.5703125" style="321" customWidth="1"/>
    <col min="2298" max="2298" width="16.28515625" style="321" bestFit="1" customWidth="1"/>
    <col min="2299" max="2299" width="14.28515625" style="321" bestFit="1" customWidth="1"/>
    <col min="2300" max="2300" width="16.5703125" style="321" bestFit="1" customWidth="1"/>
    <col min="2301" max="2301" width="13.140625" style="321" bestFit="1" customWidth="1"/>
    <col min="2302" max="2304" width="14.28515625" style="321" bestFit="1" customWidth="1"/>
    <col min="2305" max="2305" width="15.42578125" style="321" bestFit="1" customWidth="1"/>
    <col min="2306" max="2308" width="0" style="321" hidden="1" customWidth="1"/>
    <col min="2309" max="2309" width="14.140625" style="321" bestFit="1" customWidth="1"/>
    <col min="2310" max="2310" width="14.85546875" style="321" customWidth="1"/>
    <col min="2311" max="2311" width="14.28515625" style="321" customWidth="1"/>
    <col min="2312" max="2312" width="12.140625" style="321" bestFit="1" customWidth="1"/>
    <col min="2313" max="2313" width="14.28515625" style="321" bestFit="1" customWidth="1"/>
    <col min="2314" max="2314" width="14.140625" style="321" bestFit="1" customWidth="1"/>
    <col min="2315" max="2315" width="15.42578125" style="321" bestFit="1" customWidth="1"/>
    <col min="2316" max="2316" width="16.5703125" style="321" bestFit="1" customWidth="1"/>
    <col min="2317" max="2317" width="17.42578125" style="321" bestFit="1" customWidth="1"/>
    <col min="2318" max="2318" width="24.85546875" style="321" customWidth="1"/>
    <col min="2319" max="2320" width="25.5703125" style="321" bestFit="1" customWidth="1"/>
    <col min="2321" max="2321" width="9.140625" style="321"/>
    <col min="2322" max="2322" width="27" style="321" customWidth="1"/>
    <col min="2323" max="2546" width="9.140625" style="321"/>
    <col min="2547" max="2547" width="5.28515625" style="321" customWidth="1"/>
    <col min="2548" max="2548" width="7.85546875" style="321" customWidth="1"/>
    <col min="2549" max="2549" width="25.140625" style="321" customWidth="1"/>
    <col min="2550" max="2550" width="37.42578125" style="321" customWidth="1"/>
    <col min="2551" max="2551" width="17.140625" style="321" bestFit="1" customWidth="1"/>
    <col min="2552" max="2552" width="15.42578125" style="321" bestFit="1" customWidth="1"/>
    <col min="2553" max="2553" width="16.5703125" style="321" customWidth="1"/>
    <col min="2554" max="2554" width="16.28515625" style="321" bestFit="1" customWidth="1"/>
    <col min="2555" max="2555" width="14.28515625" style="321" bestFit="1" customWidth="1"/>
    <col min="2556" max="2556" width="16.5703125" style="321" bestFit="1" customWidth="1"/>
    <col min="2557" max="2557" width="13.140625" style="321" bestFit="1" customWidth="1"/>
    <col min="2558" max="2560" width="14.28515625" style="321" bestFit="1" customWidth="1"/>
    <col min="2561" max="2561" width="15.42578125" style="321" bestFit="1" customWidth="1"/>
    <col min="2562" max="2564" width="0" style="321" hidden="1" customWidth="1"/>
    <col min="2565" max="2565" width="14.140625" style="321" bestFit="1" customWidth="1"/>
    <col min="2566" max="2566" width="14.85546875" style="321" customWidth="1"/>
    <col min="2567" max="2567" width="14.28515625" style="321" customWidth="1"/>
    <col min="2568" max="2568" width="12.140625" style="321" bestFit="1" customWidth="1"/>
    <col min="2569" max="2569" width="14.28515625" style="321" bestFit="1" customWidth="1"/>
    <col min="2570" max="2570" width="14.140625" style="321" bestFit="1" customWidth="1"/>
    <col min="2571" max="2571" width="15.42578125" style="321" bestFit="1" customWidth="1"/>
    <col min="2572" max="2572" width="16.5703125" style="321" bestFit="1" customWidth="1"/>
    <col min="2573" max="2573" width="17.42578125" style="321" bestFit="1" customWidth="1"/>
    <col min="2574" max="2574" width="24.85546875" style="321" customWidth="1"/>
    <col min="2575" max="2576" width="25.5703125" style="321" bestFit="1" customWidth="1"/>
    <col min="2577" max="2577" width="9.140625" style="321"/>
    <col min="2578" max="2578" width="27" style="321" customWidth="1"/>
    <col min="2579" max="2802" width="9.140625" style="321"/>
    <col min="2803" max="2803" width="5.28515625" style="321" customWidth="1"/>
    <col min="2804" max="2804" width="7.85546875" style="321" customWidth="1"/>
    <col min="2805" max="2805" width="25.140625" style="321" customWidth="1"/>
    <col min="2806" max="2806" width="37.42578125" style="321" customWidth="1"/>
    <col min="2807" max="2807" width="17.140625" style="321" bestFit="1" customWidth="1"/>
    <col min="2808" max="2808" width="15.42578125" style="321" bestFit="1" customWidth="1"/>
    <col min="2809" max="2809" width="16.5703125" style="321" customWidth="1"/>
    <col min="2810" max="2810" width="16.28515625" style="321" bestFit="1" customWidth="1"/>
    <col min="2811" max="2811" width="14.28515625" style="321" bestFit="1" customWidth="1"/>
    <col min="2812" max="2812" width="16.5703125" style="321" bestFit="1" customWidth="1"/>
    <col min="2813" max="2813" width="13.140625" style="321" bestFit="1" customWidth="1"/>
    <col min="2814" max="2816" width="14.28515625" style="321" bestFit="1" customWidth="1"/>
    <col min="2817" max="2817" width="15.42578125" style="321" bestFit="1" customWidth="1"/>
    <col min="2818" max="2820" width="0" style="321" hidden="1" customWidth="1"/>
    <col min="2821" max="2821" width="14.140625" style="321" bestFit="1" customWidth="1"/>
    <col min="2822" max="2822" width="14.85546875" style="321" customWidth="1"/>
    <col min="2823" max="2823" width="14.28515625" style="321" customWidth="1"/>
    <col min="2824" max="2824" width="12.140625" style="321" bestFit="1" customWidth="1"/>
    <col min="2825" max="2825" width="14.28515625" style="321" bestFit="1" customWidth="1"/>
    <col min="2826" max="2826" width="14.140625" style="321" bestFit="1" customWidth="1"/>
    <col min="2827" max="2827" width="15.42578125" style="321" bestFit="1" customWidth="1"/>
    <col min="2828" max="2828" width="16.5703125" style="321" bestFit="1" customWidth="1"/>
    <col min="2829" max="2829" width="17.42578125" style="321" bestFit="1" customWidth="1"/>
    <col min="2830" max="2830" width="24.85546875" style="321" customWidth="1"/>
    <col min="2831" max="2832" width="25.5703125" style="321" bestFit="1" customWidth="1"/>
    <col min="2833" max="2833" width="9.140625" style="321"/>
    <col min="2834" max="2834" width="27" style="321" customWidth="1"/>
    <col min="2835" max="3058" width="9.140625" style="321"/>
    <col min="3059" max="3059" width="5.28515625" style="321" customWidth="1"/>
    <col min="3060" max="3060" width="7.85546875" style="321" customWidth="1"/>
    <col min="3061" max="3061" width="25.140625" style="321" customWidth="1"/>
    <col min="3062" max="3062" width="37.42578125" style="321" customWidth="1"/>
    <col min="3063" max="3063" width="17.140625" style="321" bestFit="1" customWidth="1"/>
    <col min="3064" max="3064" width="15.42578125" style="321" bestFit="1" customWidth="1"/>
    <col min="3065" max="3065" width="16.5703125" style="321" customWidth="1"/>
    <col min="3066" max="3066" width="16.28515625" style="321" bestFit="1" customWidth="1"/>
    <col min="3067" max="3067" width="14.28515625" style="321" bestFit="1" customWidth="1"/>
    <col min="3068" max="3068" width="16.5703125" style="321" bestFit="1" customWidth="1"/>
    <col min="3069" max="3069" width="13.140625" style="321" bestFit="1" customWidth="1"/>
    <col min="3070" max="3072" width="14.28515625" style="321" bestFit="1" customWidth="1"/>
    <col min="3073" max="3073" width="15.42578125" style="321" bestFit="1" customWidth="1"/>
    <col min="3074" max="3076" width="0" style="321" hidden="1" customWidth="1"/>
    <col min="3077" max="3077" width="14.140625" style="321" bestFit="1" customWidth="1"/>
    <col min="3078" max="3078" width="14.85546875" style="321" customWidth="1"/>
    <col min="3079" max="3079" width="14.28515625" style="321" customWidth="1"/>
    <col min="3080" max="3080" width="12.140625" style="321" bestFit="1" customWidth="1"/>
    <col min="3081" max="3081" width="14.28515625" style="321" bestFit="1" customWidth="1"/>
    <col min="3082" max="3082" width="14.140625" style="321" bestFit="1" customWidth="1"/>
    <col min="3083" max="3083" width="15.42578125" style="321" bestFit="1" customWidth="1"/>
    <col min="3084" max="3084" width="16.5703125" style="321" bestFit="1" customWidth="1"/>
    <col min="3085" max="3085" width="17.42578125" style="321" bestFit="1" customWidth="1"/>
    <col min="3086" max="3086" width="24.85546875" style="321" customWidth="1"/>
    <col min="3087" max="3088" width="25.5703125" style="321" bestFit="1" customWidth="1"/>
    <col min="3089" max="3089" width="9.140625" style="321"/>
    <col min="3090" max="3090" width="27" style="321" customWidth="1"/>
    <col min="3091" max="3314" width="9.140625" style="321"/>
    <col min="3315" max="3315" width="5.28515625" style="321" customWidth="1"/>
    <col min="3316" max="3316" width="7.85546875" style="321" customWidth="1"/>
    <col min="3317" max="3317" width="25.140625" style="321" customWidth="1"/>
    <col min="3318" max="3318" width="37.42578125" style="321" customWidth="1"/>
    <col min="3319" max="3319" width="17.140625" style="321" bestFit="1" customWidth="1"/>
    <col min="3320" max="3320" width="15.42578125" style="321" bestFit="1" customWidth="1"/>
    <col min="3321" max="3321" width="16.5703125" style="321" customWidth="1"/>
    <col min="3322" max="3322" width="16.28515625" style="321" bestFit="1" customWidth="1"/>
    <col min="3323" max="3323" width="14.28515625" style="321" bestFit="1" customWidth="1"/>
    <col min="3324" max="3324" width="16.5703125" style="321" bestFit="1" customWidth="1"/>
    <col min="3325" max="3325" width="13.140625" style="321" bestFit="1" customWidth="1"/>
    <col min="3326" max="3328" width="14.28515625" style="321" bestFit="1" customWidth="1"/>
    <col min="3329" max="3329" width="15.42578125" style="321" bestFit="1" customWidth="1"/>
    <col min="3330" max="3332" width="0" style="321" hidden="1" customWidth="1"/>
    <col min="3333" max="3333" width="14.140625" style="321" bestFit="1" customWidth="1"/>
    <col min="3334" max="3334" width="14.85546875" style="321" customWidth="1"/>
    <col min="3335" max="3335" width="14.28515625" style="321" customWidth="1"/>
    <col min="3336" max="3336" width="12.140625" style="321" bestFit="1" customWidth="1"/>
    <col min="3337" max="3337" width="14.28515625" style="321" bestFit="1" customWidth="1"/>
    <col min="3338" max="3338" width="14.140625" style="321" bestFit="1" customWidth="1"/>
    <col min="3339" max="3339" width="15.42578125" style="321" bestFit="1" customWidth="1"/>
    <col min="3340" max="3340" width="16.5703125" style="321" bestFit="1" customWidth="1"/>
    <col min="3341" max="3341" width="17.42578125" style="321" bestFit="1" customWidth="1"/>
    <col min="3342" max="3342" width="24.85546875" style="321" customWidth="1"/>
    <col min="3343" max="3344" width="25.5703125" style="321" bestFit="1" customWidth="1"/>
    <col min="3345" max="3345" width="9.140625" style="321"/>
    <col min="3346" max="3346" width="27" style="321" customWidth="1"/>
    <col min="3347" max="3570" width="9.140625" style="321"/>
    <col min="3571" max="3571" width="5.28515625" style="321" customWidth="1"/>
    <col min="3572" max="3572" width="7.85546875" style="321" customWidth="1"/>
    <col min="3573" max="3573" width="25.140625" style="321" customWidth="1"/>
    <col min="3574" max="3574" width="37.42578125" style="321" customWidth="1"/>
    <col min="3575" max="3575" width="17.140625" style="321" bestFit="1" customWidth="1"/>
    <col min="3576" max="3576" width="15.42578125" style="321" bestFit="1" customWidth="1"/>
    <col min="3577" max="3577" width="16.5703125" style="321" customWidth="1"/>
    <col min="3578" max="3578" width="16.28515625" style="321" bestFit="1" customWidth="1"/>
    <col min="3579" max="3579" width="14.28515625" style="321" bestFit="1" customWidth="1"/>
    <col min="3580" max="3580" width="16.5703125" style="321" bestFit="1" customWidth="1"/>
    <col min="3581" max="3581" width="13.140625" style="321" bestFit="1" customWidth="1"/>
    <col min="3582" max="3584" width="14.28515625" style="321" bestFit="1" customWidth="1"/>
    <col min="3585" max="3585" width="15.42578125" style="321" bestFit="1" customWidth="1"/>
    <col min="3586" max="3588" width="0" style="321" hidden="1" customWidth="1"/>
    <col min="3589" max="3589" width="14.140625" style="321" bestFit="1" customWidth="1"/>
    <col min="3590" max="3590" width="14.85546875" style="321" customWidth="1"/>
    <col min="3591" max="3591" width="14.28515625" style="321" customWidth="1"/>
    <col min="3592" max="3592" width="12.140625" style="321" bestFit="1" customWidth="1"/>
    <col min="3593" max="3593" width="14.28515625" style="321" bestFit="1" customWidth="1"/>
    <col min="3594" max="3594" width="14.140625" style="321" bestFit="1" customWidth="1"/>
    <col min="3595" max="3595" width="15.42578125" style="321" bestFit="1" customWidth="1"/>
    <col min="3596" max="3596" width="16.5703125" style="321" bestFit="1" customWidth="1"/>
    <col min="3597" max="3597" width="17.42578125" style="321" bestFit="1" customWidth="1"/>
    <col min="3598" max="3598" width="24.85546875" style="321" customWidth="1"/>
    <col min="3599" max="3600" width="25.5703125" style="321" bestFit="1" customWidth="1"/>
    <col min="3601" max="3601" width="9.140625" style="321"/>
    <col min="3602" max="3602" width="27" style="321" customWidth="1"/>
    <col min="3603" max="3826" width="9.140625" style="321"/>
    <col min="3827" max="3827" width="5.28515625" style="321" customWidth="1"/>
    <col min="3828" max="3828" width="7.85546875" style="321" customWidth="1"/>
    <col min="3829" max="3829" width="25.140625" style="321" customWidth="1"/>
    <col min="3830" max="3830" width="37.42578125" style="321" customWidth="1"/>
    <col min="3831" max="3831" width="17.140625" style="321" bestFit="1" customWidth="1"/>
    <col min="3832" max="3832" width="15.42578125" style="321" bestFit="1" customWidth="1"/>
    <col min="3833" max="3833" width="16.5703125" style="321" customWidth="1"/>
    <col min="3834" max="3834" width="16.28515625" style="321" bestFit="1" customWidth="1"/>
    <col min="3835" max="3835" width="14.28515625" style="321" bestFit="1" customWidth="1"/>
    <col min="3836" max="3836" width="16.5703125" style="321" bestFit="1" customWidth="1"/>
    <col min="3837" max="3837" width="13.140625" style="321" bestFit="1" customWidth="1"/>
    <col min="3838" max="3840" width="14.28515625" style="321" bestFit="1" customWidth="1"/>
    <col min="3841" max="3841" width="15.42578125" style="321" bestFit="1" customWidth="1"/>
    <col min="3842" max="3844" width="0" style="321" hidden="1" customWidth="1"/>
    <col min="3845" max="3845" width="14.140625" style="321" bestFit="1" customWidth="1"/>
    <col min="3846" max="3846" width="14.85546875" style="321" customWidth="1"/>
    <col min="3847" max="3847" width="14.28515625" style="321" customWidth="1"/>
    <col min="3848" max="3848" width="12.140625" style="321" bestFit="1" customWidth="1"/>
    <col min="3849" max="3849" width="14.28515625" style="321" bestFit="1" customWidth="1"/>
    <col min="3850" max="3850" width="14.140625" style="321" bestFit="1" customWidth="1"/>
    <col min="3851" max="3851" width="15.42578125" style="321" bestFit="1" customWidth="1"/>
    <col min="3852" max="3852" width="16.5703125" style="321" bestFit="1" customWidth="1"/>
    <col min="3853" max="3853" width="17.42578125" style="321" bestFit="1" customWidth="1"/>
    <col min="3854" max="3854" width="24.85546875" style="321" customWidth="1"/>
    <col min="3855" max="3856" width="25.5703125" style="321" bestFit="1" customWidth="1"/>
    <col min="3857" max="3857" width="9.140625" style="321"/>
    <col min="3858" max="3858" width="27" style="321" customWidth="1"/>
    <col min="3859" max="4082" width="9.140625" style="321"/>
    <col min="4083" max="4083" width="5.28515625" style="321" customWidth="1"/>
    <col min="4084" max="4084" width="7.85546875" style="321" customWidth="1"/>
    <col min="4085" max="4085" width="25.140625" style="321" customWidth="1"/>
    <col min="4086" max="4086" width="37.42578125" style="321" customWidth="1"/>
    <col min="4087" max="4087" width="17.140625" style="321" bestFit="1" customWidth="1"/>
    <col min="4088" max="4088" width="15.42578125" style="321" bestFit="1" customWidth="1"/>
    <col min="4089" max="4089" width="16.5703125" style="321" customWidth="1"/>
    <col min="4090" max="4090" width="16.28515625" style="321" bestFit="1" customWidth="1"/>
    <col min="4091" max="4091" width="14.28515625" style="321" bestFit="1" customWidth="1"/>
    <col min="4092" max="4092" width="16.5703125" style="321" bestFit="1" customWidth="1"/>
    <col min="4093" max="4093" width="13.140625" style="321" bestFit="1" customWidth="1"/>
    <col min="4094" max="4096" width="14.28515625" style="321" bestFit="1" customWidth="1"/>
    <col min="4097" max="4097" width="15.42578125" style="321" bestFit="1" customWidth="1"/>
    <col min="4098" max="4100" width="0" style="321" hidden="1" customWidth="1"/>
    <col min="4101" max="4101" width="14.140625" style="321" bestFit="1" customWidth="1"/>
    <col min="4102" max="4102" width="14.85546875" style="321" customWidth="1"/>
    <col min="4103" max="4103" width="14.28515625" style="321" customWidth="1"/>
    <col min="4104" max="4104" width="12.140625" style="321" bestFit="1" customWidth="1"/>
    <col min="4105" max="4105" width="14.28515625" style="321" bestFit="1" customWidth="1"/>
    <col min="4106" max="4106" width="14.140625" style="321" bestFit="1" customWidth="1"/>
    <col min="4107" max="4107" width="15.42578125" style="321" bestFit="1" customWidth="1"/>
    <col min="4108" max="4108" width="16.5703125" style="321" bestFit="1" customWidth="1"/>
    <col min="4109" max="4109" width="17.42578125" style="321" bestFit="1" customWidth="1"/>
    <col min="4110" max="4110" width="24.85546875" style="321" customWidth="1"/>
    <col min="4111" max="4112" width="25.5703125" style="321" bestFit="1" customWidth="1"/>
    <col min="4113" max="4113" width="9.140625" style="321"/>
    <col min="4114" max="4114" width="27" style="321" customWidth="1"/>
    <col min="4115" max="4338" width="9.140625" style="321"/>
    <col min="4339" max="4339" width="5.28515625" style="321" customWidth="1"/>
    <col min="4340" max="4340" width="7.85546875" style="321" customWidth="1"/>
    <col min="4341" max="4341" width="25.140625" style="321" customWidth="1"/>
    <col min="4342" max="4342" width="37.42578125" style="321" customWidth="1"/>
    <col min="4343" max="4343" width="17.140625" style="321" bestFit="1" customWidth="1"/>
    <col min="4344" max="4344" width="15.42578125" style="321" bestFit="1" customWidth="1"/>
    <col min="4345" max="4345" width="16.5703125" style="321" customWidth="1"/>
    <col min="4346" max="4346" width="16.28515625" style="321" bestFit="1" customWidth="1"/>
    <col min="4347" max="4347" width="14.28515625" style="321" bestFit="1" customWidth="1"/>
    <col min="4348" max="4348" width="16.5703125" style="321" bestFit="1" customWidth="1"/>
    <col min="4349" max="4349" width="13.140625" style="321" bestFit="1" customWidth="1"/>
    <col min="4350" max="4352" width="14.28515625" style="321" bestFit="1" customWidth="1"/>
    <col min="4353" max="4353" width="15.42578125" style="321" bestFit="1" customWidth="1"/>
    <col min="4354" max="4356" width="0" style="321" hidden="1" customWidth="1"/>
    <col min="4357" max="4357" width="14.140625" style="321" bestFit="1" customWidth="1"/>
    <col min="4358" max="4358" width="14.85546875" style="321" customWidth="1"/>
    <col min="4359" max="4359" width="14.28515625" style="321" customWidth="1"/>
    <col min="4360" max="4360" width="12.140625" style="321" bestFit="1" customWidth="1"/>
    <col min="4361" max="4361" width="14.28515625" style="321" bestFit="1" customWidth="1"/>
    <col min="4362" max="4362" width="14.140625" style="321" bestFit="1" customWidth="1"/>
    <col min="4363" max="4363" width="15.42578125" style="321" bestFit="1" customWidth="1"/>
    <col min="4364" max="4364" width="16.5703125" style="321" bestFit="1" customWidth="1"/>
    <col min="4365" max="4365" width="17.42578125" style="321" bestFit="1" customWidth="1"/>
    <col min="4366" max="4366" width="24.85546875" style="321" customWidth="1"/>
    <col min="4367" max="4368" width="25.5703125" style="321" bestFit="1" customWidth="1"/>
    <col min="4369" max="4369" width="9.140625" style="321"/>
    <col min="4370" max="4370" width="27" style="321" customWidth="1"/>
    <col min="4371" max="4594" width="9.140625" style="321"/>
    <col min="4595" max="4595" width="5.28515625" style="321" customWidth="1"/>
    <col min="4596" max="4596" width="7.85546875" style="321" customWidth="1"/>
    <col min="4597" max="4597" width="25.140625" style="321" customWidth="1"/>
    <col min="4598" max="4598" width="37.42578125" style="321" customWidth="1"/>
    <col min="4599" max="4599" width="17.140625" style="321" bestFit="1" customWidth="1"/>
    <col min="4600" max="4600" width="15.42578125" style="321" bestFit="1" customWidth="1"/>
    <col min="4601" max="4601" width="16.5703125" style="321" customWidth="1"/>
    <col min="4602" max="4602" width="16.28515625" style="321" bestFit="1" customWidth="1"/>
    <col min="4603" max="4603" width="14.28515625" style="321" bestFit="1" customWidth="1"/>
    <col min="4604" max="4604" width="16.5703125" style="321" bestFit="1" customWidth="1"/>
    <col min="4605" max="4605" width="13.140625" style="321" bestFit="1" customWidth="1"/>
    <col min="4606" max="4608" width="14.28515625" style="321" bestFit="1" customWidth="1"/>
    <col min="4609" max="4609" width="15.42578125" style="321" bestFit="1" customWidth="1"/>
    <col min="4610" max="4612" width="0" style="321" hidden="1" customWidth="1"/>
    <col min="4613" max="4613" width="14.140625" style="321" bestFit="1" customWidth="1"/>
    <col min="4614" max="4614" width="14.85546875" style="321" customWidth="1"/>
    <col min="4615" max="4615" width="14.28515625" style="321" customWidth="1"/>
    <col min="4616" max="4616" width="12.140625" style="321" bestFit="1" customWidth="1"/>
    <col min="4617" max="4617" width="14.28515625" style="321" bestFit="1" customWidth="1"/>
    <col min="4618" max="4618" width="14.140625" style="321" bestFit="1" customWidth="1"/>
    <col min="4619" max="4619" width="15.42578125" style="321" bestFit="1" customWidth="1"/>
    <col min="4620" max="4620" width="16.5703125" style="321" bestFit="1" customWidth="1"/>
    <col min="4621" max="4621" width="17.42578125" style="321" bestFit="1" customWidth="1"/>
    <col min="4622" max="4622" width="24.85546875" style="321" customWidth="1"/>
    <col min="4623" max="4624" width="25.5703125" style="321" bestFit="1" customWidth="1"/>
    <col min="4625" max="4625" width="9.140625" style="321"/>
    <col min="4626" max="4626" width="27" style="321" customWidth="1"/>
    <col min="4627" max="4850" width="9.140625" style="321"/>
    <col min="4851" max="4851" width="5.28515625" style="321" customWidth="1"/>
    <col min="4852" max="4852" width="7.85546875" style="321" customWidth="1"/>
    <col min="4853" max="4853" width="25.140625" style="321" customWidth="1"/>
    <col min="4854" max="4854" width="37.42578125" style="321" customWidth="1"/>
    <col min="4855" max="4855" width="17.140625" style="321" bestFit="1" customWidth="1"/>
    <col min="4856" max="4856" width="15.42578125" style="321" bestFit="1" customWidth="1"/>
    <col min="4857" max="4857" width="16.5703125" style="321" customWidth="1"/>
    <col min="4858" max="4858" width="16.28515625" style="321" bestFit="1" customWidth="1"/>
    <col min="4859" max="4859" width="14.28515625" style="321" bestFit="1" customWidth="1"/>
    <col min="4860" max="4860" width="16.5703125" style="321" bestFit="1" customWidth="1"/>
    <col min="4861" max="4861" width="13.140625" style="321" bestFit="1" customWidth="1"/>
    <col min="4862" max="4864" width="14.28515625" style="321" bestFit="1" customWidth="1"/>
    <col min="4865" max="4865" width="15.42578125" style="321" bestFit="1" customWidth="1"/>
    <col min="4866" max="4868" width="0" style="321" hidden="1" customWidth="1"/>
    <col min="4869" max="4869" width="14.140625" style="321" bestFit="1" customWidth="1"/>
    <col min="4870" max="4870" width="14.85546875" style="321" customWidth="1"/>
    <col min="4871" max="4871" width="14.28515625" style="321" customWidth="1"/>
    <col min="4872" max="4872" width="12.140625" style="321" bestFit="1" customWidth="1"/>
    <col min="4873" max="4873" width="14.28515625" style="321" bestFit="1" customWidth="1"/>
    <col min="4874" max="4874" width="14.140625" style="321" bestFit="1" customWidth="1"/>
    <col min="4875" max="4875" width="15.42578125" style="321" bestFit="1" customWidth="1"/>
    <col min="4876" max="4876" width="16.5703125" style="321" bestFit="1" customWidth="1"/>
    <col min="4877" max="4877" width="17.42578125" style="321" bestFit="1" customWidth="1"/>
    <col min="4878" max="4878" width="24.85546875" style="321" customWidth="1"/>
    <col min="4879" max="4880" width="25.5703125" style="321" bestFit="1" customWidth="1"/>
    <col min="4881" max="4881" width="9.140625" style="321"/>
    <col min="4882" max="4882" width="27" style="321" customWidth="1"/>
    <col min="4883" max="5106" width="9.140625" style="321"/>
    <col min="5107" max="5107" width="5.28515625" style="321" customWidth="1"/>
    <col min="5108" max="5108" width="7.85546875" style="321" customWidth="1"/>
    <col min="5109" max="5109" width="25.140625" style="321" customWidth="1"/>
    <col min="5110" max="5110" width="37.42578125" style="321" customWidth="1"/>
    <col min="5111" max="5111" width="17.140625" style="321" bestFit="1" customWidth="1"/>
    <col min="5112" max="5112" width="15.42578125" style="321" bestFit="1" customWidth="1"/>
    <col min="5113" max="5113" width="16.5703125" style="321" customWidth="1"/>
    <col min="5114" max="5114" width="16.28515625" style="321" bestFit="1" customWidth="1"/>
    <col min="5115" max="5115" width="14.28515625" style="321" bestFit="1" customWidth="1"/>
    <col min="5116" max="5116" width="16.5703125" style="321" bestFit="1" customWidth="1"/>
    <col min="5117" max="5117" width="13.140625" style="321" bestFit="1" customWidth="1"/>
    <col min="5118" max="5120" width="14.28515625" style="321" bestFit="1" customWidth="1"/>
    <col min="5121" max="5121" width="15.42578125" style="321" bestFit="1" customWidth="1"/>
    <col min="5122" max="5124" width="0" style="321" hidden="1" customWidth="1"/>
    <col min="5125" max="5125" width="14.140625" style="321" bestFit="1" customWidth="1"/>
    <col min="5126" max="5126" width="14.85546875" style="321" customWidth="1"/>
    <col min="5127" max="5127" width="14.28515625" style="321" customWidth="1"/>
    <col min="5128" max="5128" width="12.140625" style="321" bestFit="1" customWidth="1"/>
    <col min="5129" max="5129" width="14.28515625" style="321" bestFit="1" customWidth="1"/>
    <col min="5130" max="5130" width="14.140625" style="321" bestFit="1" customWidth="1"/>
    <col min="5131" max="5131" width="15.42578125" style="321" bestFit="1" customWidth="1"/>
    <col min="5132" max="5132" width="16.5703125" style="321" bestFit="1" customWidth="1"/>
    <col min="5133" max="5133" width="17.42578125" style="321" bestFit="1" customWidth="1"/>
    <col min="5134" max="5134" width="24.85546875" style="321" customWidth="1"/>
    <col min="5135" max="5136" width="25.5703125" style="321" bestFit="1" customWidth="1"/>
    <col min="5137" max="5137" width="9.140625" style="321"/>
    <col min="5138" max="5138" width="27" style="321" customWidth="1"/>
    <col min="5139" max="5362" width="9.140625" style="321"/>
    <col min="5363" max="5363" width="5.28515625" style="321" customWidth="1"/>
    <col min="5364" max="5364" width="7.85546875" style="321" customWidth="1"/>
    <col min="5365" max="5365" width="25.140625" style="321" customWidth="1"/>
    <col min="5366" max="5366" width="37.42578125" style="321" customWidth="1"/>
    <col min="5367" max="5367" width="17.140625" style="321" bestFit="1" customWidth="1"/>
    <col min="5368" max="5368" width="15.42578125" style="321" bestFit="1" customWidth="1"/>
    <col min="5369" max="5369" width="16.5703125" style="321" customWidth="1"/>
    <col min="5370" max="5370" width="16.28515625" style="321" bestFit="1" customWidth="1"/>
    <col min="5371" max="5371" width="14.28515625" style="321" bestFit="1" customWidth="1"/>
    <col min="5372" max="5372" width="16.5703125" style="321" bestFit="1" customWidth="1"/>
    <col min="5373" max="5373" width="13.140625" style="321" bestFit="1" customWidth="1"/>
    <col min="5374" max="5376" width="14.28515625" style="321" bestFit="1" customWidth="1"/>
    <col min="5377" max="5377" width="15.42578125" style="321" bestFit="1" customWidth="1"/>
    <col min="5378" max="5380" width="0" style="321" hidden="1" customWidth="1"/>
    <col min="5381" max="5381" width="14.140625" style="321" bestFit="1" customWidth="1"/>
    <col min="5382" max="5382" width="14.85546875" style="321" customWidth="1"/>
    <col min="5383" max="5383" width="14.28515625" style="321" customWidth="1"/>
    <col min="5384" max="5384" width="12.140625" style="321" bestFit="1" customWidth="1"/>
    <col min="5385" max="5385" width="14.28515625" style="321" bestFit="1" customWidth="1"/>
    <col min="5386" max="5386" width="14.140625" style="321" bestFit="1" customWidth="1"/>
    <col min="5387" max="5387" width="15.42578125" style="321" bestFit="1" customWidth="1"/>
    <col min="5388" max="5388" width="16.5703125" style="321" bestFit="1" customWidth="1"/>
    <col min="5389" max="5389" width="17.42578125" style="321" bestFit="1" customWidth="1"/>
    <col min="5390" max="5390" width="24.85546875" style="321" customWidth="1"/>
    <col min="5391" max="5392" width="25.5703125" style="321" bestFit="1" customWidth="1"/>
    <col min="5393" max="5393" width="9.140625" style="321"/>
    <col min="5394" max="5394" width="27" style="321" customWidth="1"/>
    <col min="5395" max="5618" width="9.140625" style="321"/>
    <col min="5619" max="5619" width="5.28515625" style="321" customWidth="1"/>
    <col min="5620" max="5620" width="7.85546875" style="321" customWidth="1"/>
    <col min="5621" max="5621" width="25.140625" style="321" customWidth="1"/>
    <col min="5622" max="5622" width="37.42578125" style="321" customWidth="1"/>
    <col min="5623" max="5623" width="17.140625" style="321" bestFit="1" customWidth="1"/>
    <col min="5624" max="5624" width="15.42578125" style="321" bestFit="1" customWidth="1"/>
    <col min="5625" max="5625" width="16.5703125" style="321" customWidth="1"/>
    <col min="5626" max="5626" width="16.28515625" style="321" bestFit="1" customWidth="1"/>
    <col min="5627" max="5627" width="14.28515625" style="321" bestFit="1" customWidth="1"/>
    <col min="5628" max="5628" width="16.5703125" style="321" bestFit="1" customWidth="1"/>
    <col min="5629" max="5629" width="13.140625" style="321" bestFit="1" customWidth="1"/>
    <col min="5630" max="5632" width="14.28515625" style="321" bestFit="1" customWidth="1"/>
    <col min="5633" max="5633" width="15.42578125" style="321" bestFit="1" customWidth="1"/>
    <col min="5634" max="5636" width="0" style="321" hidden="1" customWidth="1"/>
    <col min="5637" max="5637" width="14.140625" style="321" bestFit="1" customWidth="1"/>
    <col min="5638" max="5638" width="14.85546875" style="321" customWidth="1"/>
    <col min="5639" max="5639" width="14.28515625" style="321" customWidth="1"/>
    <col min="5640" max="5640" width="12.140625" style="321" bestFit="1" customWidth="1"/>
    <col min="5641" max="5641" width="14.28515625" style="321" bestFit="1" customWidth="1"/>
    <col min="5642" max="5642" width="14.140625" style="321" bestFit="1" customWidth="1"/>
    <col min="5643" max="5643" width="15.42578125" style="321" bestFit="1" customWidth="1"/>
    <col min="5644" max="5644" width="16.5703125" style="321" bestFit="1" customWidth="1"/>
    <col min="5645" max="5645" width="17.42578125" style="321" bestFit="1" customWidth="1"/>
    <col min="5646" max="5646" width="24.85546875" style="321" customWidth="1"/>
    <col min="5647" max="5648" width="25.5703125" style="321" bestFit="1" customWidth="1"/>
    <col min="5649" max="5649" width="9.140625" style="321"/>
    <col min="5650" max="5650" width="27" style="321" customWidth="1"/>
    <col min="5651" max="5874" width="9.140625" style="321"/>
    <col min="5875" max="5875" width="5.28515625" style="321" customWidth="1"/>
    <col min="5876" max="5876" width="7.85546875" style="321" customWidth="1"/>
    <col min="5877" max="5877" width="25.140625" style="321" customWidth="1"/>
    <col min="5878" max="5878" width="37.42578125" style="321" customWidth="1"/>
    <col min="5879" max="5879" width="17.140625" style="321" bestFit="1" customWidth="1"/>
    <col min="5880" max="5880" width="15.42578125" style="321" bestFit="1" customWidth="1"/>
    <col min="5881" max="5881" width="16.5703125" style="321" customWidth="1"/>
    <col min="5882" max="5882" width="16.28515625" style="321" bestFit="1" customWidth="1"/>
    <col min="5883" max="5883" width="14.28515625" style="321" bestFit="1" customWidth="1"/>
    <col min="5884" max="5884" width="16.5703125" style="321" bestFit="1" customWidth="1"/>
    <col min="5885" max="5885" width="13.140625" style="321" bestFit="1" customWidth="1"/>
    <col min="5886" max="5888" width="14.28515625" style="321" bestFit="1" customWidth="1"/>
    <col min="5889" max="5889" width="15.42578125" style="321" bestFit="1" customWidth="1"/>
    <col min="5890" max="5892" width="0" style="321" hidden="1" customWidth="1"/>
    <col min="5893" max="5893" width="14.140625" style="321" bestFit="1" customWidth="1"/>
    <col min="5894" max="5894" width="14.85546875" style="321" customWidth="1"/>
    <col min="5895" max="5895" width="14.28515625" style="321" customWidth="1"/>
    <col min="5896" max="5896" width="12.140625" style="321" bestFit="1" customWidth="1"/>
    <col min="5897" max="5897" width="14.28515625" style="321" bestFit="1" customWidth="1"/>
    <col min="5898" max="5898" width="14.140625" style="321" bestFit="1" customWidth="1"/>
    <col min="5899" max="5899" width="15.42578125" style="321" bestFit="1" customWidth="1"/>
    <col min="5900" max="5900" width="16.5703125" style="321" bestFit="1" customWidth="1"/>
    <col min="5901" max="5901" width="17.42578125" style="321" bestFit="1" customWidth="1"/>
    <col min="5902" max="5902" width="24.85546875" style="321" customWidth="1"/>
    <col min="5903" max="5904" width="25.5703125" style="321" bestFit="1" customWidth="1"/>
    <col min="5905" max="5905" width="9.140625" style="321"/>
    <col min="5906" max="5906" width="27" style="321" customWidth="1"/>
    <col min="5907" max="6130" width="9.140625" style="321"/>
    <col min="6131" max="6131" width="5.28515625" style="321" customWidth="1"/>
    <col min="6132" max="6132" width="7.85546875" style="321" customWidth="1"/>
    <col min="6133" max="6133" width="25.140625" style="321" customWidth="1"/>
    <col min="6134" max="6134" width="37.42578125" style="321" customWidth="1"/>
    <col min="6135" max="6135" width="17.140625" style="321" bestFit="1" customWidth="1"/>
    <col min="6136" max="6136" width="15.42578125" style="321" bestFit="1" customWidth="1"/>
    <col min="6137" max="6137" width="16.5703125" style="321" customWidth="1"/>
    <col min="6138" max="6138" width="16.28515625" style="321" bestFit="1" customWidth="1"/>
    <col min="6139" max="6139" width="14.28515625" style="321" bestFit="1" customWidth="1"/>
    <col min="6140" max="6140" width="16.5703125" style="321" bestFit="1" customWidth="1"/>
    <col min="6141" max="6141" width="13.140625" style="321" bestFit="1" customWidth="1"/>
    <col min="6142" max="6144" width="14.28515625" style="321" bestFit="1" customWidth="1"/>
    <col min="6145" max="6145" width="15.42578125" style="321" bestFit="1" customWidth="1"/>
    <col min="6146" max="6148" width="0" style="321" hidden="1" customWidth="1"/>
    <col min="6149" max="6149" width="14.140625" style="321" bestFit="1" customWidth="1"/>
    <col min="6150" max="6150" width="14.85546875" style="321" customWidth="1"/>
    <col min="6151" max="6151" width="14.28515625" style="321" customWidth="1"/>
    <col min="6152" max="6152" width="12.140625" style="321" bestFit="1" customWidth="1"/>
    <col min="6153" max="6153" width="14.28515625" style="321" bestFit="1" customWidth="1"/>
    <col min="6154" max="6154" width="14.140625" style="321" bestFit="1" customWidth="1"/>
    <col min="6155" max="6155" width="15.42578125" style="321" bestFit="1" customWidth="1"/>
    <col min="6156" max="6156" width="16.5703125" style="321" bestFit="1" customWidth="1"/>
    <col min="6157" max="6157" width="17.42578125" style="321" bestFit="1" customWidth="1"/>
    <col min="6158" max="6158" width="24.85546875" style="321" customWidth="1"/>
    <col min="6159" max="6160" width="25.5703125" style="321" bestFit="1" customWidth="1"/>
    <col min="6161" max="6161" width="9.140625" style="321"/>
    <col min="6162" max="6162" width="27" style="321" customWidth="1"/>
    <col min="6163" max="6386" width="9.140625" style="321"/>
    <col min="6387" max="6387" width="5.28515625" style="321" customWidth="1"/>
    <col min="6388" max="6388" width="7.85546875" style="321" customWidth="1"/>
    <col min="6389" max="6389" width="25.140625" style="321" customWidth="1"/>
    <col min="6390" max="6390" width="37.42578125" style="321" customWidth="1"/>
    <col min="6391" max="6391" width="17.140625" style="321" bestFit="1" customWidth="1"/>
    <col min="6392" max="6392" width="15.42578125" style="321" bestFit="1" customWidth="1"/>
    <col min="6393" max="6393" width="16.5703125" style="321" customWidth="1"/>
    <col min="6394" max="6394" width="16.28515625" style="321" bestFit="1" customWidth="1"/>
    <col min="6395" max="6395" width="14.28515625" style="321" bestFit="1" customWidth="1"/>
    <col min="6396" max="6396" width="16.5703125" style="321" bestFit="1" customWidth="1"/>
    <col min="6397" max="6397" width="13.140625" style="321" bestFit="1" customWidth="1"/>
    <col min="6398" max="6400" width="14.28515625" style="321" bestFit="1" customWidth="1"/>
    <col min="6401" max="6401" width="15.42578125" style="321" bestFit="1" customWidth="1"/>
    <col min="6402" max="6404" width="0" style="321" hidden="1" customWidth="1"/>
    <col min="6405" max="6405" width="14.140625" style="321" bestFit="1" customWidth="1"/>
    <col min="6406" max="6406" width="14.85546875" style="321" customWidth="1"/>
    <col min="6407" max="6407" width="14.28515625" style="321" customWidth="1"/>
    <col min="6408" max="6408" width="12.140625" style="321" bestFit="1" customWidth="1"/>
    <col min="6409" max="6409" width="14.28515625" style="321" bestFit="1" customWidth="1"/>
    <col min="6410" max="6410" width="14.140625" style="321" bestFit="1" customWidth="1"/>
    <col min="6411" max="6411" width="15.42578125" style="321" bestFit="1" customWidth="1"/>
    <col min="6412" max="6412" width="16.5703125" style="321" bestFit="1" customWidth="1"/>
    <col min="6413" max="6413" width="17.42578125" style="321" bestFit="1" customWidth="1"/>
    <col min="6414" max="6414" width="24.85546875" style="321" customWidth="1"/>
    <col min="6415" max="6416" width="25.5703125" style="321" bestFit="1" customWidth="1"/>
    <col min="6417" max="6417" width="9.140625" style="321"/>
    <col min="6418" max="6418" width="27" style="321" customWidth="1"/>
    <col min="6419" max="6642" width="9.140625" style="321"/>
    <col min="6643" max="6643" width="5.28515625" style="321" customWidth="1"/>
    <col min="6644" max="6644" width="7.85546875" style="321" customWidth="1"/>
    <col min="6645" max="6645" width="25.140625" style="321" customWidth="1"/>
    <col min="6646" max="6646" width="37.42578125" style="321" customWidth="1"/>
    <col min="6647" max="6647" width="17.140625" style="321" bestFit="1" customWidth="1"/>
    <col min="6648" max="6648" width="15.42578125" style="321" bestFit="1" customWidth="1"/>
    <col min="6649" max="6649" width="16.5703125" style="321" customWidth="1"/>
    <col min="6650" max="6650" width="16.28515625" style="321" bestFit="1" customWidth="1"/>
    <col min="6651" max="6651" width="14.28515625" style="321" bestFit="1" customWidth="1"/>
    <col min="6652" max="6652" width="16.5703125" style="321" bestFit="1" customWidth="1"/>
    <col min="6653" max="6653" width="13.140625" style="321" bestFit="1" customWidth="1"/>
    <col min="6654" max="6656" width="14.28515625" style="321" bestFit="1" customWidth="1"/>
    <col min="6657" max="6657" width="15.42578125" style="321" bestFit="1" customWidth="1"/>
    <col min="6658" max="6660" width="0" style="321" hidden="1" customWidth="1"/>
    <col min="6661" max="6661" width="14.140625" style="321" bestFit="1" customWidth="1"/>
    <col min="6662" max="6662" width="14.85546875" style="321" customWidth="1"/>
    <col min="6663" max="6663" width="14.28515625" style="321" customWidth="1"/>
    <col min="6664" max="6664" width="12.140625" style="321" bestFit="1" customWidth="1"/>
    <col min="6665" max="6665" width="14.28515625" style="321" bestFit="1" customWidth="1"/>
    <col min="6666" max="6666" width="14.140625" style="321" bestFit="1" customWidth="1"/>
    <col min="6667" max="6667" width="15.42578125" style="321" bestFit="1" customWidth="1"/>
    <col min="6668" max="6668" width="16.5703125" style="321" bestFit="1" customWidth="1"/>
    <col min="6669" max="6669" width="17.42578125" style="321" bestFit="1" customWidth="1"/>
    <col min="6670" max="6670" width="24.85546875" style="321" customWidth="1"/>
    <col min="6671" max="6672" width="25.5703125" style="321" bestFit="1" customWidth="1"/>
    <col min="6673" max="6673" width="9.140625" style="321"/>
    <col min="6674" max="6674" width="27" style="321" customWidth="1"/>
    <col min="6675" max="6898" width="9.140625" style="321"/>
    <col min="6899" max="6899" width="5.28515625" style="321" customWidth="1"/>
    <col min="6900" max="6900" width="7.85546875" style="321" customWidth="1"/>
    <col min="6901" max="6901" width="25.140625" style="321" customWidth="1"/>
    <col min="6902" max="6902" width="37.42578125" style="321" customWidth="1"/>
    <col min="6903" max="6903" width="17.140625" style="321" bestFit="1" customWidth="1"/>
    <col min="6904" max="6904" width="15.42578125" style="321" bestFit="1" customWidth="1"/>
    <col min="6905" max="6905" width="16.5703125" style="321" customWidth="1"/>
    <col min="6906" max="6906" width="16.28515625" style="321" bestFit="1" customWidth="1"/>
    <col min="6907" max="6907" width="14.28515625" style="321" bestFit="1" customWidth="1"/>
    <col min="6908" max="6908" width="16.5703125" style="321" bestFit="1" customWidth="1"/>
    <col min="6909" max="6909" width="13.140625" style="321" bestFit="1" customWidth="1"/>
    <col min="6910" max="6912" width="14.28515625" style="321" bestFit="1" customWidth="1"/>
    <col min="6913" max="6913" width="15.42578125" style="321" bestFit="1" customWidth="1"/>
    <col min="6914" max="6916" width="0" style="321" hidden="1" customWidth="1"/>
    <col min="6917" max="6917" width="14.140625" style="321" bestFit="1" customWidth="1"/>
    <col min="6918" max="6918" width="14.85546875" style="321" customWidth="1"/>
    <col min="6919" max="6919" width="14.28515625" style="321" customWidth="1"/>
    <col min="6920" max="6920" width="12.140625" style="321" bestFit="1" customWidth="1"/>
    <col min="6921" max="6921" width="14.28515625" style="321" bestFit="1" customWidth="1"/>
    <col min="6922" max="6922" width="14.140625" style="321" bestFit="1" customWidth="1"/>
    <col min="6923" max="6923" width="15.42578125" style="321" bestFit="1" customWidth="1"/>
    <col min="6924" max="6924" width="16.5703125" style="321" bestFit="1" customWidth="1"/>
    <col min="6925" max="6925" width="17.42578125" style="321" bestFit="1" customWidth="1"/>
    <col min="6926" max="6926" width="24.85546875" style="321" customWidth="1"/>
    <col min="6927" max="6928" width="25.5703125" style="321" bestFit="1" customWidth="1"/>
    <col min="6929" max="6929" width="9.140625" style="321"/>
    <col min="6930" max="6930" width="27" style="321" customWidth="1"/>
    <col min="6931" max="7154" width="9.140625" style="321"/>
    <col min="7155" max="7155" width="5.28515625" style="321" customWidth="1"/>
    <col min="7156" max="7156" width="7.85546875" style="321" customWidth="1"/>
    <col min="7157" max="7157" width="25.140625" style="321" customWidth="1"/>
    <col min="7158" max="7158" width="37.42578125" style="321" customWidth="1"/>
    <col min="7159" max="7159" width="17.140625" style="321" bestFit="1" customWidth="1"/>
    <col min="7160" max="7160" width="15.42578125" style="321" bestFit="1" customWidth="1"/>
    <col min="7161" max="7161" width="16.5703125" style="321" customWidth="1"/>
    <col min="7162" max="7162" width="16.28515625" style="321" bestFit="1" customWidth="1"/>
    <col min="7163" max="7163" width="14.28515625" style="321" bestFit="1" customWidth="1"/>
    <col min="7164" max="7164" width="16.5703125" style="321" bestFit="1" customWidth="1"/>
    <col min="7165" max="7165" width="13.140625" style="321" bestFit="1" customWidth="1"/>
    <col min="7166" max="7168" width="14.28515625" style="321" bestFit="1" customWidth="1"/>
    <col min="7169" max="7169" width="15.42578125" style="321" bestFit="1" customWidth="1"/>
    <col min="7170" max="7172" width="0" style="321" hidden="1" customWidth="1"/>
    <col min="7173" max="7173" width="14.140625" style="321" bestFit="1" customWidth="1"/>
    <col min="7174" max="7174" width="14.85546875" style="321" customWidth="1"/>
    <col min="7175" max="7175" width="14.28515625" style="321" customWidth="1"/>
    <col min="7176" max="7176" width="12.140625" style="321" bestFit="1" customWidth="1"/>
    <col min="7177" max="7177" width="14.28515625" style="321" bestFit="1" customWidth="1"/>
    <col min="7178" max="7178" width="14.140625" style="321" bestFit="1" customWidth="1"/>
    <col min="7179" max="7179" width="15.42578125" style="321" bestFit="1" customWidth="1"/>
    <col min="7180" max="7180" width="16.5703125" style="321" bestFit="1" customWidth="1"/>
    <col min="7181" max="7181" width="17.42578125" style="321" bestFit="1" customWidth="1"/>
    <col min="7182" max="7182" width="24.85546875" style="321" customWidth="1"/>
    <col min="7183" max="7184" width="25.5703125" style="321" bestFit="1" customWidth="1"/>
    <col min="7185" max="7185" width="9.140625" style="321"/>
    <col min="7186" max="7186" width="27" style="321" customWidth="1"/>
    <col min="7187" max="7410" width="9.140625" style="321"/>
    <col min="7411" max="7411" width="5.28515625" style="321" customWidth="1"/>
    <col min="7412" max="7412" width="7.85546875" style="321" customWidth="1"/>
    <col min="7413" max="7413" width="25.140625" style="321" customWidth="1"/>
    <col min="7414" max="7414" width="37.42578125" style="321" customWidth="1"/>
    <col min="7415" max="7415" width="17.140625" style="321" bestFit="1" customWidth="1"/>
    <col min="7416" max="7416" width="15.42578125" style="321" bestFit="1" customWidth="1"/>
    <col min="7417" max="7417" width="16.5703125" style="321" customWidth="1"/>
    <col min="7418" max="7418" width="16.28515625" style="321" bestFit="1" customWidth="1"/>
    <col min="7419" max="7419" width="14.28515625" style="321" bestFit="1" customWidth="1"/>
    <col min="7420" max="7420" width="16.5703125" style="321" bestFit="1" customWidth="1"/>
    <col min="7421" max="7421" width="13.140625" style="321" bestFit="1" customWidth="1"/>
    <col min="7422" max="7424" width="14.28515625" style="321" bestFit="1" customWidth="1"/>
    <col min="7425" max="7425" width="15.42578125" style="321" bestFit="1" customWidth="1"/>
    <col min="7426" max="7428" width="0" style="321" hidden="1" customWidth="1"/>
    <col min="7429" max="7429" width="14.140625" style="321" bestFit="1" customWidth="1"/>
    <col min="7430" max="7430" width="14.85546875" style="321" customWidth="1"/>
    <col min="7431" max="7431" width="14.28515625" style="321" customWidth="1"/>
    <col min="7432" max="7432" width="12.140625" style="321" bestFit="1" customWidth="1"/>
    <col min="7433" max="7433" width="14.28515625" style="321" bestFit="1" customWidth="1"/>
    <col min="7434" max="7434" width="14.140625" style="321" bestFit="1" customWidth="1"/>
    <col min="7435" max="7435" width="15.42578125" style="321" bestFit="1" customWidth="1"/>
    <col min="7436" max="7436" width="16.5703125" style="321" bestFit="1" customWidth="1"/>
    <col min="7437" max="7437" width="17.42578125" style="321" bestFit="1" customWidth="1"/>
    <col min="7438" max="7438" width="24.85546875" style="321" customWidth="1"/>
    <col min="7439" max="7440" width="25.5703125" style="321" bestFit="1" customWidth="1"/>
    <col min="7441" max="7441" width="9.140625" style="321"/>
    <col min="7442" max="7442" width="27" style="321" customWidth="1"/>
    <col min="7443" max="7666" width="9.140625" style="321"/>
    <col min="7667" max="7667" width="5.28515625" style="321" customWidth="1"/>
    <col min="7668" max="7668" width="7.85546875" style="321" customWidth="1"/>
    <col min="7669" max="7669" width="25.140625" style="321" customWidth="1"/>
    <col min="7670" max="7670" width="37.42578125" style="321" customWidth="1"/>
    <col min="7671" max="7671" width="17.140625" style="321" bestFit="1" customWidth="1"/>
    <col min="7672" max="7672" width="15.42578125" style="321" bestFit="1" customWidth="1"/>
    <col min="7673" max="7673" width="16.5703125" style="321" customWidth="1"/>
    <col min="7674" max="7674" width="16.28515625" style="321" bestFit="1" customWidth="1"/>
    <col min="7675" max="7675" width="14.28515625" style="321" bestFit="1" customWidth="1"/>
    <col min="7676" max="7676" width="16.5703125" style="321" bestFit="1" customWidth="1"/>
    <col min="7677" max="7677" width="13.140625" style="321" bestFit="1" customWidth="1"/>
    <col min="7678" max="7680" width="14.28515625" style="321" bestFit="1" customWidth="1"/>
    <col min="7681" max="7681" width="15.42578125" style="321" bestFit="1" customWidth="1"/>
    <col min="7682" max="7684" width="0" style="321" hidden="1" customWidth="1"/>
    <col min="7685" max="7685" width="14.140625" style="321" bestFit="1" customWidth="1"/>
    <col min="7686" max="7686" width="14.85546875" style="321" customWidth="1"/>
    <col min="7687" max="7687" width="14.28515625" style="321" customWidth="1"/>
    <col min="7688" max="7688" width="12.140625" style="321" bestFit="1" customWidth="1"/>
    <col min="7689" max="7689" width="14.28515625" style="321" bestFit="1" customWidth="1"/>
    <col min="7690" max="7690" width="14.140625" style="321" bestFit="1" customWidth="1"/>
    <col min="7691" max="7691" width="15.42578125" style="321" bestFit="1" customWidth="1"/>
    <col min="7692" max="7692" width="16.5703125" style="321" bestFit="1" customWidth="1"/>
    <col min="7693" max="7693" width="17.42578125" style="321" bestFit="1" customWidth="1"/>
    <col min="7694" max="7694" width="24.85546875" style="321" customWidth="1"/>
    <col min="7695" max="7696" width="25.5703125" style="321" bestFit="1" customWidth="1"/>
    <col min="7697" max="7697" width="9.140625" style="321"/>
    <col min="7698" max="7698" width="27" style="321" customWidth="1"/>
    <col min="7699" max="7922" width="9.140625" style="321"/>
    <col min="7923" max="7923" width="5.28515625" style="321" customWidth="1"/>
    <col min="7924" max="7924" width="7.85546875" style="321" customWidth="1"/>
    <col min="7925" max="7925" width="25.140625" style="321" customWidth="1"/>
    <col min="7926" max="7926" width="37.42578125" style="321" customWidth="1"/>
    <col min="7927" max="7927" width="17.140625" style="321" bestFit="1" customWidth="1"/>
    <col min="7928" max="7928" width="15.42578125" style="321" bestFit="1" customWidth="1"/>
    <col min="7929" max="7929" width="16.5703125" style="321" customWidth="1"/>
    <col min="7930" max="7930" width="16.28515625" style="321" bestFit="1" customWidth="1"/>
    <col min="7931" max="7931" width="14.28515625" style="321" bestFit="1" customWidth="1"/>
    <col min="7932" max="7932" width="16.5703125" style="321" bestFit="1" customWidth="1"/>
    <col min="7933" max="7933" width="13.140625" style="321" bestFit="1" customWidth="1"/>
    <col min="7934" max="7936" width="14.28515625" style="321" bestFit="1" customWidth="1"/>
    <col min="7937" max="7937" width="15.42578125" style="321" bestFit="1" customWidth="1"/>
    <col min="7938" max="7940" width="0" style="321" hidden="1" customWidth="1"/>
    <col min="7941" max="7941" width="14.140625" style="321" bestFit="1" customWidth="1"/>
    <col min="7942" max="7942" width="14.85546875" style="321" customWidth="1"/>
    <col min="7943" max="7943" width="14.28515625" style="321" customWidth="1"/>
    <col min="7944" max="7944" width="12.140625" style="321" bestFit="1" customWidth="1"/>
    <col min="7945" max="7945" width="14.28515625" style="321" bestFit="1" customWidth="1"/>
    <col min="7946" max="7946" width="14.140625" style="321" bestFit="1" customWidth="1"/>
    <col min="7947" max="7947" width="15.42578125" style="321" bestFit="1" customWidth="1"/>
    <col min="7948" max="7948" width="16.5703125" style="321" bestFit="1" customWidth="1"/>
    <col min="7949" max="7949" width="17.42578125" style="321" bestFit="1" customWidth="1"/>
    <col min="7950" max="7950" width="24.85546875" style="321" customWidth="1"/>
    <col min="7951" max="7952" width="25.5703125" style="321" bestFit="1" customWidth="1"/>
    <col min="7953" max="7953" width="9.140625" style="321"/>
    <col min="7954" max="7954" width="27" style="321" customWidth="1"/>
    <col min="7955" max="8178" width="9.140625" style="321"/>
    <col min="8179" max="8179" width="5.28515625" style="321" customWidth="1"/>
    <col min="8180" max="8180" width="7.85546875" style="321" customWidth="1"/>
    <col min="8181" max="8181" width="25.140625" style="321" customWidth="1"/>
    <col min="8182" max="8182" width="37.42578125" style="321" customWidth="1"/>
    <col min="8183" max="8183" width="17.140625" style="321" bestFit="1" customWidth="1"/>
    <col min="8184" max="8184" width="15.42578125" style="321" bestFit="1" customWidth="1"/>
    <col min="8185" max="8185" width="16.5703125" style="321" customWidth="1"/>
    <col min="8186" max="8186" width="16.28515625" style="321" bestFit="1" customWidth="1"/>
    <col min="8187" max="8187" width="14.28515625" style="321" bestFit="1" customWidth="1"/>
    <col min="8188" max="8188" width="16.5703125" style="321" bestFit="1" customWidth="1"/>
    <col min="8189" max="8189" width="13.140625" style="321" bestFit="1" customWidth="1"/>
    <col min="8190" max="8192" width="14.28515625" style="321" bestFit="1" customWidth="1"/>
    <col min="8193" max="8193" width="15.42578125" style="321" bestFit="1" customWidth="1"/>
    <col min="8194" max="8196" width="0" style="321" hidden="1" customWidth="1"/>
    <col min="8197" max="8197" width="14.140625" style="321" bestFit="1" customWidth="1"/>
    <col min="8198" max="8198" width="14.85546875" style="321" customWidth="1"/>
    <col min="8199" max="8199" width="14.28515625" style="321" customWidth="1"/>
    <col min="8200" max="8200" width="12.140625" style="321" bestFit="1" customWidth="1"/>
    <col min="8201" max="8201" width="14.28515625" style="321" bestFit="1" customWidth="1"/>
    <col min="8202" max="8202" width="14.140625" style="321" bestFit="1" customWidth="1"/>
    <col min="8203" max="8203" width="15.42578125" style="321" bestFit="1" customWidth="1"/>
    <col min="8204" max="8204" width="16.5703125" style="321" bestFit="1" customWidth="1"/>
    <col min="8205" max="8205" width="17.42578125" style="321" bestFit="1" customWidth="1"/>
    <col min="8206" max="8206" width="24.85546875" style="321" customWidth="1"/>
    <col min="8207" max="8208" width="25.5703125" style="321" bestFit="1" customWidth="1"/>
    <col min="8209" max="8209" width="9.140625" style="321"/>
    <col min="8210" max="8210" width="27" style="321" customWidth="1"/>
    <col min="8211" max="8434" width="9.140625" style="321"/>
    <col min="8435" max="8435" width="5.28515625" style="321" customWidth="1"/>
    <col min="8436" max="8436" width="7.85546875" style="321" customWidth="1"/>
    <col min="8437" max="8437" width="25.140625" style="321" customWidth="1"/>
    <col min="8438" max="8438" width="37.42578125" style="321" customWidth="1"/>
    <col min="8439" max="8439" width="17.140625" style="321" bestFit="1" customWidth="1"/>
    <col min="8440" max="8440" width="15.42578125" style="321" bestFit="1" customWidth="1"/>
    <col min="8441" max="8441" width="16.5703125" style="321" customWidth="1"/>
    <col min="8442" max="8442" width="16.28515625" style="321" bestFit="1" customWidth="1"/>
    <col min="8443" max="8443" width="14.28515625" style="321" bestFit="1" customWidth="1"/>
    <col min="8444" max="8444" width="16.5703125" style="321" bestFit="1" customWidth="1"/>
    <col min="8445" max="8445" width="13.140625" style="321" bestFit="1" customWidth="1"/>
    <col min="8446" max="8448" width="14.28515625" style="321" bestFit="1" customWidth="1"/>
    <col min="8449" max="8449" width="15.42578125" style="321" bestFit="1" customWidth="1"/>
    <col min="8450" max="8452" width="0" style="321" hidden="1" customWidth="1"/>
    <col min="8453" max="8453" width="14.140625" style="321" bestFit="1" customWidth="1"/>
    <col min="8454" max="8454" width="14.85546875" style="321" customWidth="1"/>
    <col min="8455" max="8455" width="14.28515625" style="321" customWidth="1"/>
    <col min="8456" max="8456" width="12.140625" style="321" bestFit="1" customWidth="1"/>
    <col min="8457" max="8457" width="14.28515625" style="321" bestFit="1" customWidth="1"/>
    <col min="8458" max="8458" width="14.140625" style="321" bestFit="1" customWidth="1"/>
    <col min="8459" max="8459" width="15.42578125" style="321" bestFit="1" customWidth="1"/>
    <col min="8460" max="8460" width="16.5703125" style="321" bestFit="1" customWidth="1"/>
    <col min="8461" max="8461" width="17.42578125" style="321" bestFit="1" customWidth="1"/>
    <col min="8462" max="8462" width="24.85546875" style="321" customWidth="1"/>
    <col min="8463" max="8464" width="25.5703125" style="321" bestFit="1" customWidth="1"/>
    <col min="8465" max="8465" width="9.140625" style="321"/>
    <col min="8466" max="8466" width="27" style="321" customWidth="1"/>
    <col min="8467" max="8690" width="9.140625" style="321"/>
    <col min="8691" max="8691" width="5.28515625" style="321" customWidth="1"/>
    <col min="8692" max="8692" width="7.85546875" style="321" customWidth="1"/>
    <col min="8693" max="8693" width="25.140625" style="321" customWidth="1"/>
    <col min="8694" max="8694" width="37.42578125" style="321" customWidth="1"/>
    <col min="8695" max="8695" width="17.140625" style="321" bestFit="1" customWidth="1"/>
    <col min="8696" max="8696" width="15.42578125" style="321" bestFit="1" customWidth="1"/>
    <col min="8697" max="8697" width="16.5703125" style="321" customWidth="1"/>
    <col min="8698" max="8698" width="16.28515625" style="321" bestFit="1" customWidth="1"/>
    <col min="8699" max="8699" width="14.28515625" style="321" bestFit="1" customWidth="1"/>
    <col min="8700" max="8700" width="16.5703125" style="321" bestFit="1" customWidth="1"/>
    <col min="8701" max="8701" width="13.140625" style="321" bestFit="1" customWidth="1"/>
    <col min="8702" max="8704" width="14.28515625" style="321" bestFit="1" customWidth="1"/>
    <col min="8705" max="8705" width="15.42578125" style="321" bestFit="1" customWidth="1"/>
    <col min="8706" max="8708" width="0" style="321" hidden="1" customWidth="1"/>
    <col min="8709" max="8709" width="14.140625" style="321" bestFit="1" customWidth="1"/>
    <col min="8710" max="8710" width="14.85546875" style="321" customWidth="1"/>
    <col min="8711" max="8711" width="14.28515625" style="321" customWidth="1"/>
    <col min="8712" max="8712" width="12.140625" style="321" bestFit="1" customWidth="1"/>
    <col min="8713" max="8713" width="14.28515625" style="321" bestFit="1" customWidth="1"/>
    <col min="8714" max="8714" width="14.140625" style="321" bestFit="1" customWidth="1"/>
    <col min="8715" max="8715" width="15.42578125" style="321" bestFit="1" customWidth="1"/>
    <col min="8716" max="8716" width="16.5703125" style="321" bestFit="1" customWidth="1"/>
    <col min="8717" max="8717" width="17.42578125" style="321" bestFit="1" customWidth="1"/>
    <col min="8718" max="8718" width="24.85546875" style="321" customWidth="1"/>
    <col min="8719" max="8720" width="25.5703125" style="321" bestFit="1" customWidth="1"/>
    <col min="8721" max="8721" width="9.140625" style="321"/>
    <col min="8722" max="8722" width="27" style="321" customWidth="1"/>
    <col min="8723" max="8946" width="9.140625" style="321"/>
    <col min="8947" max="8947" width="5.28515625" style="321" customWidth="1"/>
    <col min="8948" max="8948" width="7.85546875" style="321" customWidth="1"/>
    <col min="8949" max="8949" width="25.140625" style="321" customWidth="1"/>
    <col min="8950" max="8950" width="37.42578125" style="321" customWidth="1"/>
    <col min="8951" max="8951" width="17.140625" style="321" bestFit="1" customWidth="1"/>
    <col min="8952" max="8952" width="15.42578125" style="321" bestFit="1" customWidth="1"/>
    <col min="8953" max="8953" width="16.5703125" style="321" customWidth="1"/>
    <col min="8954" max="8954" width="16.28515625" style="321" bestFit="1" customWidth="1"/>
    <col min="8955" max="8955" width="14.28515625" style="321" bestFit="1" customWidth="1"/>
    <col min="8956" max="8956" width="16.5703125" style="321" bestFit="1" customWidth="1"/>
    <col min="8957" max="8957" width="13.140625" style="321" bestFit="1" customWidth="1"/>
    <col min="8958" max="8960" width="14.28515625" style="321" bestFit="1" customWidth="1"/>
    <col min="8961" max="8961" width="15.42578125" style="321" bestFit="1" customWidth="1"/>
    <col min="8962" max="8964" width="0" style="321" hidden="1" customWidth="1"/>
    <col min="8965" max="8965" width="14.140625" style="321" bestFit="1" customWidth="1"/>
    <col min="8966" max="8966" width="14.85546875" style="321" customWidth="1"/>
    <col min="8967" max="8967" width="14.28515625" style="321" customWidth="1"/>
    <col min="8968" max="8968" width="12.140625" style="321" bestFit="1" customWidth="1"/>
    <col min="8969" max="8969" width="14.28515625" style="321" bestFit="1" customWidth="1"/>
    <col min="8970" max="8970" width="14.140625" style="321" bestFit="1" customWidth="1"/>
    <col min="8971" max="8971" width="15.42578125" style="321" bestFit="1" customWidth="1"/>
    <col min="8972" max="8972" width="16.5703125" style="321" bestFit="1" customWidth="1"/>
    <col min="8973" max="8973" width="17.42578125" style="321" bestFit="1" customWidth="1"/>
    <col min="8974" max="8974" width="24.85546875" style="321" customWidth="1"/>
    <col min="8975" max="8976" width="25.5703125" style="321" bestFit="1" customWidth="1"/>
    <col min="8977" max="8977" width="9.140625" style="321"/>
    <col min="8978" max="8978" width="27" style="321" customWidth="1"/>
    <col min="8979" max="9202" width="9.140625" style="321"/>
    <col min="9203" max="9203" width="5.28515625" style="321" customWidth="1"/>
    <col min="9204" max="9204" width="7.85546875" style="321" customWidth="1"/>
    <col min="9205" max="9205" width="25.140625" style="321" customWidth="1"/>
    <col min="9206" max="9206" width="37.42578125" style="321" customWidth="1"/>
    <col min="9207" max="9207" width="17.140625" style="321" bestFit="1" customWidth="1"/>
    <col min="9208" max="9208" width="15.42578125" style="321" bestFit="1" customWidth="1"/>
    <col min="9209" max="9209" width="16.5703125" style="321" customWidth="1"/>
    <col min="9210" max="9210" width="16.28515625" style="321" bestFit="1" customWidth="1"/>
    <col min="9211" max="9211" width="14.28515625" style="321" bestFit="1" customWidth="1"/>
    <col min="9212" max="9212" width="16.5703125" style="321" bestFit="1" customWidth="1"/>
    <col min="9213" max="9213" width="13.140625" style="321" bestFit="1" customWidth="1"/>
    <col min="9214" max="9216" width="14.28515625" style="321" bestFit="1" customWidth="1"/>
    <col min="9217" max="9217" width="15.42578125" style="321" bestFit="1" customWidth="1"/>
    <col min="9218" max="9220" width="0" style="321" hidden="1" customWidth="1"/>
    <col min="9221" max="9221" width="14.140625" style="321" bestFit="1" customWidth="1"/>
    <col min="9222" max="9222" width="14.85546875" style="321" customWidth="1"/>
    <col min="9223" max="9223" width="14.28515625" style="321" customWidth="1"/>
    <col min="9224" max="9224" width="12.140625" style="321" bestFit="1" customWidth="1"/>
    <col min="9225" max="9225" width="14.28515625" style="321" bestFit="1" customWidth="1"/>
    <col min="9226" max="9226" width="14.140625" style="321" bestFit="1" customWidth="1"/>
    <col min="9227" max="9227" width="15.42578125" style="321" bestFit="1" customWidth="1"/>
    <col min="9228" max="9228" width="16.5703125" style="321" bestFit="1" customWidth="1"/>
    <col min="9229" max="9229" width="17.42578125" style="321" bestFit="1" customWidth="1"/>
    <col min="9230" max="9230" width="24.85546875" style="321" customWidth="1"/>
    <col min="9231" max="9232" width="25.5703125" style="321" bestFit="1" customWidth="1"/>
    <col min="9233" max="9233" width="9.140625" style="321"/>
    <col min="9234" max="9234" width="27" style="321" customWidth="1"/>
    <col min="9235" max="9458" width="9.140625" style="321"/>
    <col min="9459" max="9459" width="5.28515625" style="321" customWidth="1"/>
    <col min="9460" max="9460" width="7.85546875" style="321" customWidth="1"/>
    <col min="9461" max="9461" width="25.140625" style="321" customWidth="1"/>
    <col min="9462" max="9462" width="37.42578125" style="321" customWidth="1"/>
    <col min="9463" max="9463" width="17.140625" style="321" bestFit="1" customWidth="1"/>
    <col min="9464" max="9464" width="15.42578125" style="321" bestFit="1" customWidth="1"/>
    <col min="9465" max="9465" width="16.5703125" style="321" customWidth="1"/>
    <col min="9466" max="9466" width="16.28515625" style="321" bestFit="1" customWidth="1"/>
    <col min="9467" max="9467" width="14.28515625" style="321" bestFit="1" customWidth="1"/>
    <col min="9468" max="9468" width="16.5703125" style="321" bestFit="1" customWidth="1"/>
    <col min="9469" max="9469" width="13.140625" style="321" bestFit="1" customWidth="1"/>
    <col min="9470" max="9472" width="14.28515625" style="321" bestFit="1" customWidth="1"/>
    <col min="9473" max="9473" width="15.42578125" style="321" bestFit="1" customWidth="1"/>
    <col min="9474" max="9476" width="0" style="321" hidden="1" customWidth="1"/>
    <col min="9477" max="9477" width="14.140625" style="321" bestFit="1" customWidth="1"/>
    <col min="9478" max="9478" width="14.85546875" style="321" customWidth="1"/>
    <col min="9479" max="9479" width="14.28515625" style="321" customWidth="1"/>
    <col min="9480" max="9480" width="12.140625" style="321" bestFit="1" customWidth="1"/>
    <col min="9481" max="9481" width="14.28515625" style="321" bestFit="1" customWidth="1"/>
    <col min="9482" max="9482" width="14.140625" style="321" bestFit="1" customWidth="1"/>
    <col min="9483" max="9483" width="15.42578125" style="321" bestFit="1" customWidth="1"/>
    <col min="9484" max="9484" width="16.5703125" style="321" bestFit="1" customWidth="1"/>
    <col min="9485" max="9485" width="17.42578125" style="321" bestFit="1" customWidth="1"/>
    <col min="9486" max="9486" width="24.85546875" style="321" customWidth="1"/>
    <col min="9487" max="9488" width="25.5703125" style="321" bestFit="1" customWidth="1"/>
    <col min="9489" max="9489" width="9.140625" style="321"/>
    <col min="9490" max="9490" width="27" style="321" customWidth="1"/>
    <col min="9491" max="9714" width="9.140625" style="321"/>
    <col min="9715" max="9715" width="5.28515625" style="321" customWidth="1"/>
    <col min="9716" max="9716" width="7.85546875" style="321" customWidth="1"/>
    <col min="9717" max="9717" width="25.140625" style="321" customWidth="1"/>
    <col min="9718" max="9718" width="37.42578125" style="321" customWidth="1"/>
    <col min="9719" max="9719" width="17.140625" style="321" bestFit="1" customWidth="1"/>
    <col min="9720" max="9720" width="15.42578125" style="321" bestFit="1" customWidth="1"/>
    <col min="9721" max="9721" width="16.5703125" style="321" customWidth="1"/>
    <col min="9722" max="9722" width="16.28515625" style="321" bestFit="1" customWidth="1"/>
    <col min="9723" max="9723" width="14.28515625" style="321" bestFit="1" customWidth="1"/>
    <col min="9724" max="9724" width="16.5703125" style="321" bestFit="1" customWidth="1"/>
    <col min="9725" max="9725" width="13.140625" style="321" bestFit="1" customWidth="1"/>
    <col min="9726" max="9728" width="14.28515625" style="321" bestFit="1" customWidth="1"/>
    <col min="9729" max="9729" width="15.42578125" style="321" bestFit="1" customWidth="1"/>
    <col min="9730" max="9732" width="0" style="321" hidden="1" customWidth="1"/>
    <col min="9733" max="9733" width="14.140625" style="321" bestFit="1" customWidth="1"/>
    <col min="9734" max="9734" width="14.85546875" style="321" customWidth="1"/>
    <col min="9735" max="9735" width="14.28515625" style="321" customWidth="1"/>
    <col min="9736" max="9736" width="12.140625" style="321" bestFit="1" customWidth="1"/>
    <col min="9737" max="9737" width="14.28515625" style="321" bestFit="1" customWidth="1"/>
    <col min="9738" max="9738" width="14.140625" style="321" bestFit="1" customWidth="1"/>
    <col min="9739" max="9739" width="15.42578125" style="321" bestFit="1" customWidth="1"/>
    <col min="9740" max="9740" width="16.5703125" style="321" bestFit="1" customWidth="1"/>
    <col min="9741" max="9741" width="17.42578125" style="321" bestFit="1" customWidth="1"/>
    <col min="9742" max="9742" width="24.85546875" style="321" customWidth="1"/>
    <col min="9743" max="9744" width="25.5703125" style="321" bestFit="1" customWidth="1"/>
    <col min="9745" max="9745" width="9.140625" style="321"/>
    <col min="9746" max="9746" width="27" style="321" customWidth="1"/>
    <col min="9747" max="9970" width="9.140625" style="321"/>
    <col min="9971" max="9971" width="5.28515625" style="321" customWidth="1"/>
    <col min="9972" max="9972" width="7.85546875" style="321" customWidth="1"/>
    <col min="9973" max="9973" width="25.140625" style="321" customWidth="1"/>
    <col min="9974" max="9974" width="37.42578125" style="321" customWidth="1"/>
    <col min="9975" max="9975" width="17.140625" style="321" bestFit="1" customWidth="1"/>
    <col min="9976" max="9976" width="15.42578125" style="321" bestFit="1" customWidth="1"/>
    <col min="9977" max="9977" width="16.5703125" style="321" customWidth="1"/>
    <col min="9978" max="9978" width="16.28515625" style="321" bestFit="1" customWidth="1"/>
    <col min="9979" max="9979" width="14.28515625" style="321" bestFit="1" customWidth="1"/>
    <col min="9980" max="9980" width="16.5703125" style="321" bestFit="1" customWidth="1"/>
    <col min="9981" max="9981" width="13.140625" style="321" bestFit="1" customWidth="1"/>
    <col min="9982" max="9984" width="14.28515625" style="321" bestFit="1" customWidth="1"/>
    <col min="9985" max="9985" width="15.42578125" style="321" bestFit="1" customWidth="1"/>
    <col min="9986" max="9988" width="0" style="321" hidden="1" customWidth="1"/>
    <col min="9989" max="9989" width="14.140625" style="321" bestFit="1" customWidth="1"/>
    <col min="9990" max="9990" width="14.85546875" style="321" customWidth="1"/>
    <col min="9991" max="9991" width="14.28515625" style="321" customWidth="1"/>
    <col min="9992" max="9992" width="12.140625" style="321" bestFit="1" customWidth="1"/>
    <col min="9993" max="9993" width="14.28515625" style="321" bestFit="1" customWidth="1"/>
    <col min="9994" max="9994" width="14.140625" style="321" bestFit="1" customWidth="1"/>
    <col min="9995" max="9995" width="15.42578125" style="321" bestFit="1" customWidth="1"/>
    <col min="9996" max="9996" width="16.5703125" style="321" bestFit="1" customWidth="1"/>
    <col min="9997" max="9997" width="17.42578125" style="321" bestFit="1" customWidth="1"/>
    <col min="9998" max="9998" width="24.85546875" style="321" customWidth="1"/>
    <col min="9999" max="10000" width="25.5703125" style="321" bestFit="1" customWidth="1"/>
    <col min="10001" max="10001" width="9.140625" style="321"/>
    <col min="10002" max="10002" width="27" style="321" customWidth="1"/>
    <col min="10003" max="10226" width="9.140625" style="321"/>
    <col min="10227" max="10227" width="5.28515625" style="321" customWidth="1"/>
    <col min="10228" max="10228" width="7.85546875" style="321" customWidth="1"/>
    <col min="10229" max="10229" width="25.140625" style="321" customWidth="1"/>
    <col min="10230" max="10230" width="37.42578125" style="321" customWidth="1"/>
    <col min="10231" max="10231" width="17.140625" style="321" bestFit="1" customWidth="1"/>
    <col min="10232" max="10232" width="15.42578125" style="321" bestFit="1" customWidth="1"/>
    <col min="10233" max="10233" width="16.5703125" style="321" customWidth="1"/>
    <col min="10234" max="10234" width="16.28515625" style="321" bestFit="1" customWidth="1"/>
    <col min="10235" max="10235" width="14.28515625" style="321" bestFit="1" customWidth="1"/>
    <col min="10236" max="10236" width="16.5703125" style="321" bestFit="1" customWidth="1"/>
    <col min="10237" max="10237" width="13.140625" style="321" bestFit="1" customWidth="1"/>
    <col min="10238" max="10240" width="14.28515625" style="321" bestFit="1" customWidth="1"/>
    <col min="10241" max="10241" width="15.42578125" style="321" bestFit="1" customWidth="1"/>
    <col min="10242" max="10244" width="0" style="321" hidden="1" customWidth="1"/>
    <col min="10245" max="10245" width="14.140625" style="321" bestFit="1" customWidth="1"/>
    <col min="10246" max="10246" width="14.85546875" style="321" customWidth="1"/>
    <col min="10247" max="10247" width="14.28515625" style="321" customWidth="1"/>
    <col min="10248" max="10248" width="12.140625" style="321" bestFit="1" customWidth="1"/>
    <col min="10249" max="10249" width="14.28515625" style="321" bestFit="1" customWidth="1"/>
    <col min="10250" max="10250" width="14.140625" style="321" bestFit="1" customWidth="1"/>
    <col min="10251" max="10251" width="15.42578125" style="321" bestFit="1" customWidth="1"/>
    <col min="10252" max="10252" width="16.5703125" style="321" bestFit="1" customWidth="1"/>
    <col min="10253" max="10253" width="17.42578125" style="321" bestFit="1" customWidth="1"/>
    <col min="10254" max="10254" width="24.85546875" style="321" customWidth="1"/>
    <col min="10255" max="10256" width="25.5703125" style="321" bestFit="1" customWidth="1"/>
    <col min="10257" max="10257" width="9.140625" style="321"/>
    <col min="10258" max="10258" width="27" style="321" customWidth="1"/>
    <col min="10259" max="10482" width="9.140625" style="321"/>
    <col min="10483" max="10483" width="5.28515625" style="321" customWidth="1"/>
    <col min="10484" max="10484" width="7.85546875" style="321" customWidth="1"/>
    <col min="10485" max="10485" width="25.140625" style="321" customWidth="1"/>
    <col min="10486" max="10486" width="37.42578125" style="321" customWidth="1"/>
    <col min="10487" max="10487" width="17.140625" style="321" bestFit="1" customWidth="1"/>
    <col min="10488" max="10488" width="15.42578125" style="321" bestFit="1" customWidth="1"/>
    <col min="10489" max="10489" width="16.5703125" style="321" customWidth="1"/>
    <col min="10490" max="10490" width="16.28515625" style="321" bestFit="1" customWidth="1"/>
    <col min="10491" max="10491" width="14.28515625" style="321" bestFit="1" customWidth="1"/>
    <col min="10492" max="10492" width="16.5703125" style="321" bestFit="1" customWidth="1"/>
    <col min="10493" max="10493" width="13.140625" style="321" bestFit="1" customWidth="1"/>
    <col min="10494" max="10496" width="14.28515625" style="321" bestFit="1" customWidth="1"/>
    <col min="10497" max="10497" width="15.42578125" style="321" bestFit="1" customWidth="1"/>
    <col min="10498" max="10500" width="0" style="321" hidden="1" customWidth="1"/>
    <col min="10501" max="10501" width="14.140625" style="321" bestFit="1" customWidth="1"/>
    <col min="10502" max="10502" width="14.85546875" style="321" customWidth="1"/>
    <col min="10503" max="10503" width="14.28515625" style="321" customWidth="1"/>
    <col min="10504" max="10504" width="12.140625" style="321" bestFit="1" customWidth="1"/>
    <col min="10505" max="10505" width="14.28515625" style="321" bestFit="1" customWidth="1"/>
    <col min="10506" max="10506" width="14.140625" style="321" bestFit="1" customWidth="1"/>
    <col min="10507" max="10507" width="15.42578125" style="321" bestFit="1" customWidth="1"/>
    <col min="10508" max="10508" width="16.5703125" style="321" bestFit="1" customWidth="1"/>
    <col min="10509" max="10509" width="17.42578125" style="321" bestFit="1" customWidth="1"/>
    <col min="10510" max="10510" width="24.85546875" style="321" customWidth="1"/>
    <col min="10511" max="10512" width="25.5703125" style="321" bestFit="1" customWidth="1"/>
    <col min="10513" max="10513" width="9.140625" style="321"/>
    <col min="10514" max="10514" width="27" style="321" customWidth="1"/>
    <col min="10515" max="10738" width="9.140625" style="321"/>
    <col min="10739" max="10739" width="5.28515625" style="321" customWidth="1"/>
    <col min="10740" max="10740" width="7.85546875" style="321" customWidth="1"/>
    <col min="10741" max="10741" width="25.140625" style="321" customWidth="1"/>
    <col min="10742" max="10742" width="37.42578125" style="321" customWidth="1"/>
    <col min="10743" max="10743" width="17.140625" style="321" bestFit="1" customWidth="1"/>
    <col min="10744" max="10744" width="15.42578125" style="321" bestFit="1" customWidth="1"/>
    <col min="10745" max="10745" width="16.5703125" style="321" customWidth="1"/>
    <col min="10746" max="10746" width="16.28515625" style="321" bestFit="1" customWidth="1"/>
    <col min="10747" max="10747" width="14.28515625" style="321" bestFit="1" customWidth="1"/>
    <col min="10748" max="10748" width="16.5703125" style="321" bestFit="1" customWidth="1"/>
    <col min="10749" max="10749" width="13.140625" style="321" bestFit="1" customWidth="1"/>
    <col min="10750" max="10752" width="14.28515625" style="321" bestFit="1" customWidth="1"/>
    <col min="10753" max="10753" width="15.42578125" style="321" bestFit="1" customWidth="1"/>
    <col min="10754" max="10756" width="0" style="321" hidden="1" customWidth="1"/>
    <col min="10757" max="10757" width="14.140625" style="321" bestFit="1" customWidth="1"/>
    <col min="10758" max="10758" width="14.85546875" style="321" customWidth="1"/>
    <col min="10759" max="10759" width="14.28515625" style="321" customWidth="1"/>
    <col min="10760" max="10760" width="12.140625" style="321" bestFit="1" customWidth="1"/>
    <col min="10761" max="10761" width="14.28515625" style="321" bestFit="1" customWidth="1"/>
    <col min="10762" max="10762" width="14.140625" style="321" bestFit="1" customWidth="1"/>
    <col min="10763" max="10763" width="15.42578125" style="321" bestFit="1" customWidth="1"/>
    <col min="10764" max="10764" width="16.5703125" style="321" bestFit="1" customWidth="1"/>
    <col min="10765" max="10765" width="17.42578125" style="321" bestFit="1" customWidth="1"/>
    <col min="10766" max="10766" width="24.85546875" style="321" customWidth="1"/>
    <col min="10767" max="10768" width="25.5703125" style="321" bestFit="1" customWidth="1"/>
    <col min="10769" max="10769" width="9.140625" style="321"/>
    <col min="10770" max="10770" width="27" style="321" customWidth="1"/>
    <col min="10771" max="10994" width="9.140625" style="321"/>
    <col min="10995" max="10995" width="5.28515625" style="321" customWidth="1"/>
    <col min="10996" max="10996" width="7.85546875" style="321" customWidth="1"/>
    <col min="10997" max="10997" width="25.140625" style="321" customWidth="1"/>
    <col min="10998" max="10998" width="37.42578125" style="321" customWidth="1"/>
    <col min="10999" max="10999" width="17.140625" style="321" bestFit="1" customWidth="1"/>
    <col min="11000" max="11000" width="15.42578125" style="321" bestFit="1" customWidth="1"/>
    <col min="11001" max="11001" width="16.5703125" style="321" customWidth="1"/>
    <col min="11002" max="11002" width="16.28515625" style="321" bestFit="1" customWidth="1"/>
    <col min="11003" max="11003" width="14.28515625" style="321" bestFit="1" customWidth="1"/>
    <col min="11004" max="11004" width="16.5703125" style="321" bestFit="1" customWidth="1"/>
    <col min="11005" max="11005" width="13.140625" style="321" bestFit="1" customWidth="1"/>
    <col min="11006" max="11008" width="14.28515625" style="321" bestFit="1" customWidth="1"/>
    <col min="11009" max="11009" width="15.42578125" style="321" bestFit="1" customWidth="1"/>
    <col min="11010" max="11012" width="0" style="321" hidden="1" customWidth="1"/>
    <col min="11013" max="11013" width="14.140625" style="321" bestFit="1" customWidth="1"/>
    <col min="11014" max="11014" width="14.85546875" style="321" customWidth="1"/>
    <col min="11015" max="11015" width="14.28515625" style="321" customWidth="1"/>
    <col min="11016" max="11016" width="12.140625" style="321" bestFit="1" customWidth="1"/>
    <col min="11017" max="11017" width="14.28515625" style="321" bestFit="1" customWidth="1"/>
    <col min="11018" max="11018" width="14.140625" style="321" bestFit="1" customWidth="1"/>
    <col min="11019" max="11019" width="15.42578125" style="321" bestFit="1" customWidth="1"/>
    <col min="11020" max="11020" width="16.5703125" style="321" bestFit="1" customWidth="1"/>
    <col min="11021" max="11021" width="17.42578125" style="321" bestFit="1" customWidth="1"/>
    <col min="11022" max="11022" width="24.85546875" style="321" customWidth="1"/>
    <col min="11023" max="11024" width="25.5703125" style="321" bestFit="1" customWidth="1"/>
    <col min="11025" max="11025" width="9.140625" style="321"/>
    <col min="11026" max="11026" width="27" style="321" customWidth="1"/>
    <col min="11027" max="11250" width="9.140625" style="321"/>
    <col min="11251" max="11251" width="5.28515625" style="321" customWidth="1"/>
    <col min="11252" max="11252" width="7.85546875" style="321" customWidth="1"/>
    <col min="11253" max="11253" width="25.140625" style="321" customWidth="1"/>
    <col min="11254" max="11254" width="37.42578125" style="321" customWidth="1"/>
    <col min="11255" max="11255" width="17.140625" style="321" bestFit="1" customWidth="1"/>
    <col min="11256" max="11256" width="15.42578125" style="321" bestFit="1" customWidth="1"/>
    <col min="11257" max="11257" width="16.5703125" style="321" customWidth="1"/>
    <col min="11258" max="11258" width="16.28515625" style="321" bestFit="1" customWidth="1"/>
    <col min="11259" max="11259" width="14.28515625" style="321" bestFit="1" customWidth="1"/>
    <col min="11260" max="11260" width="16.5703125" style="321" bestFit="1" customWidth="1"/>
    <col min="11261" max="11261" width="13.140625" style="321" bestFit="1" customWidth="1"/>
    <col min="11262" max="11264" width="14.28515625" style="321" bestFit="1" customWidth="1"/>
    <col min="11265" max="11265" width="15.42578125" style="321" bestFit="1" customWidth="1"/>
    <col min="11266" max="11268" width="0" style="321" hidden="1" customWidth="1"/>
    <col min="11269" max="11269" width="14.140625" style="321" bestFit="1" customWidth="1"/>
    <col min="11270" max="11270" width="14.85546875" style="321" customWidth="1"/>
    <col min="11271" max="11271" width="14.28515625" style="321" customWidth="1"/>
    <col min="11272" max="11272" width="12.140625" style="321" bestFit="1" customWidth="1"/>
    <col min="11273" max="11273" width="14.28515625" style="321" bestFit="1" customWidth="1"/>
    <col min="11274" max="11274" width="14.140625" style="321" bestFit="1" customWidth="1"/>
    <col min="11275" max="11275" width="15.42578125" style="321" bestFit="1" customWidth="1"/>
    <col min="11276" max="11276" width="16.5703125" style="321" bestFit="1" customWidth="1"/>
    <col min="11277" max="11277" width="17.42578125" style="321" bestFit="1" customWidth="1"/>
    <col min="11278" max="11278" width="24.85546875" style="321" customWidth="1"/>
    <col min="11279" max="11280" width="25.5703125" style="321" bestFit="1" customWidth="1"/>
    <col min="11281" max="11281" width="9.140625" style="321"/>
    <col min="11282" max="11282" width="27" style="321" customWidth="1"/>
    <col min="11283" max="11506" width="9.140625" style="321"/>
    <col min="11507" max="11507" width="5.28515625" style="321" customWidth="1"/>
    <col min="11508" max="11508" width="7.85546875" style="321" customWidth="1"/>
    <col min="11509" max="11509" width="25.140625" style="321" customWidth="1"/>
    <col min="11510" max="11510" width="37.42578125" style="321" customWidth="1"/>
    <col min="11511" max="11511" width="17.140625" style="321" bestFit="1" customWidth="1"/>
    <col min="11512" max="11512" width="15.42578125" style="321" bestFit="1" customWidth="1"/>
    <col min="11513" max="11513" width="16.5703125" style="321" customWidth="1"/>
    <col min="11514" max="11514" width="16.28515625" style="321" bestFit="1" customWidth="1"/>
    <col min="11515" max="11515" width="14.28515625" style="321" bestFit="1" customWidth="1"/>
    <col min="11516" max="11516" width="16.5703125" style="321" bestFit="1" customWidth="1"/>
    <col min="11517" max="11517" width="13.140625" style="321" bestFit="1" customWidth="1"/>
    <col min="11518" max="11520" width="14.28515625" style="321" bestFit="1" customWidth="1"/>
    <col min="11521" max="11521" width="15.42578125" style="321" bestFit="1" customWidth="1"/>
    <col min="11522" max="11524" width="0" style="321" hidden="1" customWidth="1"/>
    <col min="11525" max="11525" width="14.140625" style="321" bestFit="1" customWidth="1"/>
    <col min="11526" max="11526" width="14.85546875" style="321" customWidth="1"/>
    <col min="11527" max="11527" width="14.28515625" style="321" customWidth="1"/>
    <col min="11528" max="11528" width="12.140625" style="321" bestFit="1" customWidth="1"/>
    <col min="11529" max="11529" width="14.28515625" style="321" bestFit="1" customWidth="1"/>
    <col min="11530" max="11530" width="14.140625" style="321" bestFit="1" customWidth="1"/>
    <col min="11531" max="11531" width="15.42578125" style="321" bestFit="1" customWidth="1"/>
    <col min="11532" max="11532" width="16.5703125" style="321" bestFit="1" customWidth="1"/>
    <col min="11533" max="11533" width="17.42578125" style="321" bestFit="1" customWidth="1"/>
    <col min="11534" max="11534" width="24.85546875" style="321" customWidth="1"/>
    <col min="11535" max="11536" width="25.5703125" style="321" bestFit="1" customWidth="1"/>
    <col min="11537" max="11537" width="9.140625" style="321"/>
    <col min="11538" max="11538" width="27" style="321" customWidth="1"/>
    <col min="11539" max="11762" width="9.140625" style="321"/>
    <col min="11763" max="11763" width="5.28515625" style="321" customWidth="1"/>
    <col min="11764" max="11764" width="7.85546875" style="321" customWidth="1"/>
    <col min="11765" max="11765" width="25.140625" style="321" customWidth="1"/>
    <col min="11766" max="11766" width="37.42578125" style="321" customWidth="1"/>
    <col min="11767" max="11767" width="17.140625" style="321" bestFit="1" customWidth="1"/>
    <col min="11768" max="11768" width="15.42578125" style="321" bestFit="1" customWidth="1"/>
    <col min="11769" max="11769" width="16.5703125" style="321" customWidth="1"/>
    <col min="11770" max="11770" width="16.28515625" style="321" bestFit="1" customWidth="1"/>
    <col min="11771" max="11771" width="14.28515625" style="321" bestFit="1" customWidth="1"/>
    <col min="11772" max="11772" width="16.5703125" style="321" bestFit="1" customWidth="1"/>
    <col min="11773" max="11773" width="13.140625" style="321" bestFit="1" customWidth="1"/>
    <col min="11774" max="11776" width="14.28515625" style="321" bestFit="1" customWidth="1"/>
    <col min="11777" max="11777" width="15.42578125" style="321" bestFit="1" customWidth="1"/>
    <col min="11778" max="11780" width="0" style="321" hidden="1" customWidth="1"/>
    <col min="11781" max="11781" width="14.140625" style="321" bestFit="1" customWidth="1"/>
    <col min="11782" max="11782" width="14.85546875" style="321" customWidth="1"/>
    <col min="11783" max="11783" width="14.28515625" style="321" customWidth="1"/>
    <col min="11784" max="11784" width="12.140625" style="321" bestFit="1" customWidth="1"/>
    <col min="11785" max="11785" width="14.28515625" style="321" bestFit="1" customWidth="1"/>
    <col min="11786" max="11786" width="14.140625" style="321" bestFit="1" customWidth="1"/>
    <col min="11787" max="11787" width="15.42578125" style="321" bestFit="1" customWidth="1"/>
    <col min="11788" max="11788" width="16.5703125" style="321" bestFit="1" customWidth="1"/>
    <col min="11789" max="11789" width="17.42578125" style="321" bestFit="1" customWidth="1"/>
    <col min="11790" max="11790" width="24.85546875" style="321" customWidth="1"/>
    <col min="11791" max="11792" width="25.5703125" style="321" bestFit="1" customWidth="1"/>
    <col min="11793" max="11793" width="9.140625" style="321"/>
    <col min="11794" max="11794" width="27" style="321" customWidth="1"/>
    <col min="11795" max="12018" width="9.140625" style="321"/>
    <col min="12019" max="12019" width="5.28515625" style="321" customWidth="1"/>
    <col min="12020" max="12020" width="7.85546875" style="321" customWidth="1"/>
    <col min="12021" max="12021" width="25.140625" style="321" customWidth="1"/>
    <col min="12022" max="12022" width="37.42578125" style="321" customWidth="1"/>
    <col min="12023" max="12023" width="17.140625" style="321" bestFit="1" customWidth="1"/>
    <col min="12024" max="12024" width="15.42578125" style="321" bestFit="1" customWidth="1"/>
    <col min="12025" max="12025" width="16.5703125" style="321" customWidth="1"/>
    <col min="12026" max="12026" width="16.28515625" style="321" bestFit="1" customWidth="1"/>
    <col min="12027" max="12027" width="14.28515625" style="321" bestFit="1" customWidth="1"/>
    <col min="12028" max="12028" width="16.5703125" style="321" bestFit="1" customWidth="1"/>
    <col min="12029" max="12029" width="13.140625" style="321" bestFit="1" customWidth="1"/>
    <col min="12030" max="12032" width="14.28515625" style="321" bestFit="1" customWidth="1"/>
    <col min="12033" max="12033" width="15.42578125" style="321" bestFit="1" customWidth="1"/>
    <col min="12034" max="12036" width="0" style="321" hidden="1" customWidth="1"/>
    <col min="12037" max="12037" width="14.140625" style="321" bestFit="1" customWidth="1"/>
    <col min="12038" max="12038" width="14.85546875" style="321" customWidth="1"/>
    <col min="12039" max="12039" width="14.28515625" style="321" customWidth="1"/>
    <col min="12040" max="12040" width="12.140625" style="321" bestFit="1" customWidth="1"/>
    <col min="12041" max="12041" width="14.28515625" style="321" bestFit="1" customWidth="1"/>
    <col min="12042" max="12042" width="14.140625" style="321" bestFit="1" customWidth="1"/>
    <col min="12043" max="12043" width="15.42578125" style="321" bestFit="1" customWidth="1"/>
    <col min="12044" max="12044" width="16.5703125" style="321" bestFit="1" customWidth="1"/>
    <col min="12045" max="12045" width="17.42578125" style="321" bestFit="1" customWidth="1"/>
    <col min="12046" max="12046" width="24.85546875" style="321" customWidth="1"/>
    <col min="12047" max="12048" width="25.5703125" style="321" bestFit="1" customWidth="1"/>
    <col min="12049" max="12049" width="9.140625" style="321"/>
    <col min="12050" max="12050" width="27" style="321" customWidth="1"/>
    <col min="12051" max="12274" width="9.140625" style="321"/>
    <col min="12275" max="12275" width="5.28515625" style="321" customWidth="1"/>
    <col min="12276" max="12276" width="7.85546875" style="321" customWidth="1"/>
    <col min="12277" max="12277" width="25.140625" style="321" customWidth="1"/>
    <col min="12278" max="12278" width="37.42578125" style="321" customWidth="1"/>
    <col min="12279" max="12279" width="17.140625" style="321" bestFit="1" customWidth="1"/>
    <col min="12280" max="12280" width="15.42578125" style="321" bestFit="1" customWidth="1"/>
    <col min="12281" max="12281" width="16.5703125" style="321" customWidth="1"/>
    <col min="12282" max="12282" width="16.28515625" style="321" bestFit="1" customWidth="1"/>
    <col min="12283" max="12283" width="14.28515625" style="321" bestFit="1" customWidth="1"/>
    <col min="12284" max="12284" width="16.5703125" style="321" bestFit="1" customWidth="1"/>
    <col min="12285" max="12285" width="13.140625" style="321" bestFit="1" customWidth="1"/>
    <col min="12286" max="12288" width="14.28515625" style="321" bestFit="1" customWidth="1"/>
    <col min="12289" max="12289" width="15.42578125" style="321" bestFit="1" customWidth="1"/>
    <col min="12290" max="12292" width="0" style="321" hidden="1" customWidth="1"/>
    <col min="12293" max="12293" width="14.140625" style="321" bestFit="1" customWidth="1"/>
    <col min="12294" max="12294" width="14.85546875" style="321" customWidth="1"/>
    <col min="12295" max="12295" width="14.28515625" style="321" customWidth="1"/>
    <col min="12296" max="12296" width="12.140625" style="321" bestFit="1" customWidth="1"/>
    <col min="12297" max="12297" width="14.28515625" style="321" bestFit="1" customWidth="1"/>
    <col min="12298" max="12298" width="14.140625" style="321" bestFit="1" customWidth="1"/>
    <col min="12299" max="12299" width="15.42578125" style="321" bestFit="1" customWidth="1"/>
    <col min="12300" max="12300" width="16.5703125" style="321" bestFit="1" customWidth="1"/>
    <col min="12301" max="12301" width="17.42578125" style="321" bestFit="1" customWidth="1"/>
    <col min="12302" max="12302" width="24.85546875" style="321" customWidth="1"/>
    <col min="12303" max="12304" width="25.5703125" style="321" bestFit="1" customWidth="1"/>
    <col min="12305" max="12305" width="9.140625" style="321"/>
    <col min="12306" max="12306" width="27" style="321" customWidth="1"/>
    <col min="12307" max="12530" width="9.140625" style="321"/>
    <col min="12531" max="12531" width="5.28515625" style="321" customWidth="1"/>
    <col min="12532" max="12532" width="7.85546875" style="321" customWidth="1"/>
    <col min="12533" max="12533" width="25.140625" style="321" customWidth="1"/>
    <col min="12534" max="12534" width="37.42578125" style="321" customWidth="1"/>
    <col min="12535" max="12535" width="17.140625" style="321" bestFit="1" customWidth="1"/>
    <col min="12536" max="12536" width="15.42578125" style="321" bestFit="1" customWidth="1"/>
    <col min="12537" max="12537" width="16.5703125" style="321" customWidth="1"/>
    <col min="12538" max="12538" width="16.28515625" style="321" bestFit="1" customWidth="1"/>
    <col min="12539" max="12539" width="14.28515625" style="321" bestFit="1" customWidth="1"/>
    <col min="12540" max="12540" width="16.5703125" style="321" bestFit="1" customWidth="1"/>
    <col min="12541" max="12541" width="13.140625" style="321" bestFit="1" customWidth="1"/>
    <col min="12542" max="12544" width="14.28515625" style="321" bestFit="1" customWidth="1"/>
    <col min="12545" max="12545" width="15.42578125" style="321" bestFit="1" customWidth="1"/>
    <col min="12546" max="12548" width="0" style="321" hidden="1" customWidth="1"/>
    <col min="12549" max="12549" width="14.140625" style="321" bestFit="1" customWidth="1"/>
    <col min="12550" max="12550" width="14.85546875" style="321" customWidth="1"/>
    <col min="12551" max="12551" width="14.28515625" style="321" customWidth="1"/>
    <col min="12552" max="12552" width="12.140625" style="321" bestFit="1" customWidth="1"/>
    <col min="12553" max="12553" width="14.28515625" style="321" bestFit="1" customWidth="1"/>
    <col min="12554" max="12554" width="14.140625" style="321" bestFit="1" customWidth="1"/>
    <col min="12555" max="12555" width="15.42578125" style="321" bestFit="1" customWidth="1"/>
    <col min="12556" max="12556" width="16.5703125" style="321" bestFit="1" customWidth="1"/>
    <col min="12557" max="12557" width="17.42578125" style="321" bestFit="1" customWidth="1"/>
    <col min="12558" max="12558" width="24.85546875" style="321" customWidth="1"/>
    <col min="12559" max="12560" width="25.5703125" style="321" bestFit="1" customWidth="1"/>
    <col min="12561" max="12561" width="9.140625" style="321"/>
    <col min="12562" max="12562" width="27" style="321" customWidth="1"/>
    <col min="12563" max="12786" width="9.140625" style="321"/>
    <col min="12787" max="12787" width="5.28515625" style="321" customWidth="1"/>
    <col min="12788" max="12788" width="7.85546875" style="321" customWidth="1"/>
    <col min="12789" max="12789" width="25.140625" style="321" customWidth="1"/>
    <col min="12790" max="12790" width="37.42578125" style="321" customWidth="1"/>
    <col min="12791" max="12791" width="17.140625" style="321" bestFit="1" customWidth="1"/>
    <col min="12792" max="12792" width="15.42578125" style="321" bestFit="1" customWidth="1"/>
    <col min="12793" max="12793" width="16.5703125" style="321" customWidth="1"/>
    <col min="12794" max="12794" width="16.28515625" style="321" bestFit="1" customWidth="1"/>
    <col min="12795" max="12795" width="14.28515625" style="321" bestFit="1" customWidth="1"/>
    <col min="12796" max="12796" width="16.5703125" style="321" bestFit="1" customWidth="1"/>
    <col min="12797" max="12797" width="13.140625" style="321" bestFit="1" customWidth="1"/>
    <col min="12798" max="12800" width="14.28515625" style="321" bestFit="1" customWidth="1"/>
    <col min="12801" max="12801" width="15.42578125" style="321" bestFit="1" customWidth="1"/>
    <col min="12802" max="12804" width="0" style="321" hidden="1" customWidth="1"/>
    <col min="12805" max="12805" width="14.140625" style="321" bestFit="1" customWidth="1"/>
    <col min="12806" max="12806" width="14.85546875" style="321" customWidth="1"/>
    <col min="12807" max="12807" width="14.28515625" style="321" customWidth="1"/>
    <col min="12808" max="12808" width="12.140625" style="321" bestFit="1" customWidth="1"/>
    <col min="12809" max="12809" width="14.28515625" style="321" bestFit="1" customWidth="1"/>
    <col min="12810" max="12810" width="14.140625" style="321" bestFit="1" customWidth="1"/>
    <col min="12811" max="12811" width="15.42578125" style="321" bestFit="1" customWidth="1"/>
    <col min="12812" max="12812" width="16.5703125" style="321" bestFit="1" customWidth="1"/>
    <col min="12813" max="12813" width="17.42578125" style="321" bestFit="1" customWidth="1"/>
    <col min="12814" max="12814" width="24.85546875" style="321" customWidth="1"/>
    <col min="12815" max="12816" width="25.5703125" style="321" bestFit="1" customWidth="1"/>
    <col min="12817" max="12817" width="9.140625" style="321"/>
    <col min="12818" max="12818" width="27" style="321" customWidth="1"/>
    <col min="12819" max="13042" width="9.140625" style="321"/>
    <col min="13043" max="13043" width="5.28515625" style="321" customWidth="1"/>
    <col min="13044" max="13044" width="7.85546875" style="321" customWidth="1"/>
    <col min="13045" max="13045" width="25.140625" style="321" customWidth="1"/>
    <col min="13046" max="13046" width="37.42578125" style="321" customWidth="1"/>
    <col min="13047" max="13047" width="17.140625" style="321" bestFit="1" customWidth="1"/>
    <col min="13048" max="13048" width="15.42578125" style="321" bestFit="1" customWidth="1"/>
    <col min="13049" max="13049" width="16.5703125" style="321" customWidth="1"/>
    <col min="13050" max="13050" width="16.28515625" style="321" bestFit="1" customWidth="1"/>
    <col min="13051" max="13051" width="14.28515625" style="321" bestFit="1" customWidth="1"/>
    <col min="13052" max="13052" width="16.5703125" style="321" bestFit="1" customWidth="1"/>
    <col min="13053" max="13053" width="13.140625" style="321" bestFit="1" customWidth="1"/>
    <col min="13054" max="13056" width="14.28515625" style="321" bestFit="1" customWidth="1"/>
    <col min="13057" max="13057" width="15.42578125" style="321" bestFit="1" customWidth="1"/>
    <col min="13058" max="13060" width="0" style="321" hidden="1" customWidth="1"/>
    <col min="13061" max="13061" width="14.140625" style="321" bestFit="1" customWidth="1"/>
    <col min="13062" max="13062" width="14.85546875" style="321" customWidth="1"/>
    <col min="13063" max="13063" width="14.28515625" style="321" customWidth="1"/>
    <col min="13064" max="13064" width="12.140625" style="321" bestFit="1" customWidth="1"/>
    <col min="13065" max="13065" width="14.28515625" style="321" bestFit="1" customWidth="1"/>
    <col min="13066" max="13066" width="14.140625" style="321" bestFit="1" customWidth="1"/>
    <col min="13067" max="13067" width="15.42578125" style="321" bestFit="1" customWidth="1"/>
    <col min="13068" max="13068" width="16.5703125" style="321" bestFit="1" customWidth="1"/>
    <col min="13069" max="13069" width="17.42578125" style="321" bestFit="1" customWidth="1"/>
    <col min="13070" max="13070" width="24.85546875" style="321" customWidth="1"/>
    <col min="13071" max="13072" width="25.5703125" style="321" bestFit="1" customWidth="1"/>
    <col min="13073" max="13073" width="9.140625" style="321"/>
    <col min="13074" max="13074" width="27" style="321" customWidth="1"/>
    <col min="13075" max="13298" width="9.140625" style="321"/>
    <col min="13299" max="13299" width="5.28515625" style="321" customWidth="1"/>
    <col min="13300" max="13300" width="7.85546875" style="321" customWidth="1"/>
    <col min="13301" max="13301" width="25.140625" style="321" customWidth="1"/>
    <col min="13302" max="13302" width="37.42578125" style="321" customWidth="1"/>
    <col min="13303" max="13303" width="17.140625" style="321" bestFit="1" customWidth="1"/>
    <col min="13304" max="13304" width="15.42578125" style="321" bestFit="1" customWidth="1"/>
    <col min="13305" max="13305" width="16.5703125" style="321" customWidth="1"/>
    <col min="13306" max="13306" width="16.28515625" style="321" bestFit="1" customWidth="1"/>
    <col min="13307" max="13307" width="14.28515625" style="321" bestFit="1" customWidth="1"/>
    <col min="13308" max="13308" width="16.5703125" style="321" bestFit="1" customWidth="1"/>
    <col min="13309" max="13309" width="13.140625" style="321" bestFit="1" customWidth="1"/>
    <col min="13310" max="13312" width="14.28515625" style="321" bestFit="1" customWidth="1"/>
    <col min="13313" max="13313" width="15.42578125" style="321" bestFit="1" customWidth="1"/>
    <col min="13314" max="13316" width="0" style="321" hidden="1" customWidth="1"/>
    <col min="13317" max="13317" width="14.140625" style="321" bestFit="1" customWidth="1"/>
    <col min="13318" max="13318" width="14.85546875" style="321" customWidth="1"/>
    <col min="13319" max="13319" width="14.28515625" style="321" customWidth="1"/>
    <col min="13320" max="13320" width="12.140625" style="321" bestFit="1" customWidth="1"/>
    <col min="13321" max="13321" width="14.28515625" style="321" bestFit="1" customWidth="1"/>
    <col min="13322" max="13322" width="14.140625" style="321" bestFit="1" customWidth="1"/>
    <col min="13323" max="13323" width="15.42578125" style="321" bestFit="1" customWidth="1"/>
    <col min="13324" max="13324" width="16.5703125" style="321" bestFit="1" customWidth="1"/>
    <col min="13325" max="13325" width="17.42578125" style="321" bestFit="1" customWidth="1"/>
    <col min="13326" max="13326" width="24.85546875" style="321" customWidth="1"/>
    <col min="13327" max="13328" width="25.5703125" style="321" bestFit="1" customWidth="1"/>
    <col min="13329" max="13329" width="9.140625" style="321"/>
    <col min="13330" max="13330" width="27" style="321" customWidth="1"/>
    <col min="13331" max="13554" width="9.140625" style="321"/>
    <col min="13555" max="13555" width="5.28515625" style="321" customWidth="1"/>
    <col min="13556" max="13556" width="7.85546875" style="321" customWidth="1"/>
    <col min="13557" max="13557" width="25.140625" style="321" customWidth="1"/>
    <col min="13558" max="13558" width="37.42578125" style="321" customWidth="1"/>
    <col min="13559" max="13559" width="17.140625" style="321" bestFit="1" customWidth="1"/>
    <col min="13560" max="13560" width="15.42578125" style="321" bestFit="1" customWidth="1"/>
    <col min="13561" max="13561" width="16.5703125" style="321" customWidth="1"/>
    <col min="13562" max="13562" width="16.28515625" style="321" bestFit="1" customWidth="1"/>
    <col min="13563" max="13563" width="14.28515625" style="321" bestFit="1" customWidth="1"/>
    <col min="13564" max="13564" width="16.5703125" style="321" bestFit="1" customWidth="1"/>
    <col min="13565" max="13565" width="13.140625" style="321" bestFit="1" customWidth="1"/>
    <col min="13566" max="13568" width="14.28515625" style="321" bestFit="1" customWidth="1"/>
    <col min="13569" max="13569" width="15.42578125" style="321" bestFit="1" customWidth="1"/>
    <col min="13570" max="13572" width="0" style="321" hidden="1" customWidth="1"/>
    <col min="13573" max="13573" width="14.140625" style="321" bestFit="1" customWidth="1"/>
    <col min="13574" max="13574" width="14.85546875" style="321" customWidth="1"/>
    <col min="13575" max="13575" width="14.28515625" style="321" customWidth="1"/>
    <col min="13576" max="13576" width="12.140625" style="321" bestFit="1" customWidth="1"/>
    <col min="13577" max="13577" width="14.28515625" style="321" bestFit="1" customWidth="1"/>
    <col min="13578" max="13578" width="14.140625" style="321" bestFit="1" customWidth="1"/>
    <col min="13579" max="13579" width="15.42578125" style="321" bestFit="1" customWidth="1"/>
    <col min="13580" max="13580" width="16.5703125" style="321" bestFit="1" customWidth="1"/>
    <col min="13581" max="13581" width="17.42578125" style="321" bestFit="1" customWidth="1"/>
    <col min="13582" max="13582" width="24.85546875" style="321" customWidth="1"/>
    <col min="13583" max="13584" width="25.5703125" style="321" bestFit="1" customWidth="1"/>
    <col min="13585" max="13585" width="9.140625" style="321"/>
    <col min="13586" max="13586" width="27" style="321" customWidth="1"/>
    <col min="13587" max="13810" width="9.140625" style="321"/>
    <col min="13811" max="13811" width="5.28515625" style="321" customWidth="1"/>
    <col min="13812" max="13812" width="7.85546875" style="321" customWidth="1"/>
    <col min="13813" max="13813" width="25.140625" style="321" customWidth="1"/>
    <col min="13814" max="13814" width="37.42578125" style="321" customWidth="1"/>
    <col min="13815" max="13815" width="17.140625" style="321" bestFit="1" customWidth="1"/>
    <col min="13816" max="13816" width="15.42578125" style="321" bestFit="1" customWidth="1"/>
    <col min="13817" max="13817" width="16.5703125" style="321" customWidth="1"/>
    <col min="13818" max="13818" width="16.28515625" style="321" bestFit="1" customWidth="1"/>
    <col min="13819" max="13819" width="14.28515625" style="321" bestFit="1" customWidth="1"/>
    <col min="13820" max="13820" width="16.5703125" style="321" bestFit="1" customWidth="1"/>
    <col min="13821" max="13821" width="13.140625" style="321" bestFit="1" customWidth="1"/>
    <col min="13822" max="13824" width="14.28515625" style="321" bestFit="1" customWidth="1"/>
    <col min="13825" max="13825" width="15.42578125" style="321" bestFit="1" customWidth="1"/>
    <col min="13826" max="13828" width="0" style="321" hidden="1" customWidth="1"/>
    <col min="13829" max="13829" width="14.140625" style="321" bestFit="1" customWidth="1"/>
    <col min="13830" max="13830" width="14.85546875" style="321" customWidth="1"/>
    <col min="13831" max="13831" width="14.28515625" style="321" customWidth="1"/>
    <col min="13832" max="13832" width="12.140625" style="321" bestFit="1" customWidth="1"/>
    <col min="13833" max="13833" width="14.28515625" style="321" bestFit="1" customWidth="1"/>
    <col min="13834" max="13834" width="14.140625" style="321" bestFit="1" customWidth="1"/>
    <col min="13835" max="13835" width="15.42578125" style="321" bestFit="1" customWidth="1"/>
    <col min="13836" max="13836" width="16.5703125" style="321" bestFit="1" customWidth="1"/>
    <col min="13837" max="13837" width="17.42578125" style="321" bestFit="1" customWidth="1"/>
    <col min="13838" max="13838" width="24.85546875" style="321" customWidth="1"/>
    <col min="13839" max="13840" width="25.5703125" style="321" bestFit="1" customWidth="1"/>
    <col min="13841" max="13841" width="9.140625" style="321"/>
    <col min="13842" max="13842" width="27" style="321" customWidth="1"/>
    <col min="13843" max="14066" width="9.140625" style="321"/>
    <col min="14067" max="14067" width="5.28515625" style="321" customWidth="1"/>
    <col min="14068" max="14068" width="7.85546875" style="321" customWidth="1"/>
    <col min="14069" max="14069" width="25.140625" style="321" customWidth="1"/>
    <col min="14070" max="14070" width="37.42578125" style="321" customWidth="1"/>
    <col min="14071" max="14071" width="17.140625" style="321" bestFit="1" customWidth="1"/>
    <col min="14072" max="14072" width="15.42578125" style="321" bestFit="1" customWidth="1"/>
    <col min="14073" max="14073" width="16.5703125" style="321" customWidth="1"/>
    <col min="14074" max="14074" width="16.28515625" style="321" bestFit="1" customWidth="1"/>
    <col min="14075" max="14075" width="14.28515625" style="321" bestFit="1" customWidth="1"/>
    <col min="14076" max="14076" width="16.5703125" style="321" bestFit="1" customWidth="1"/>
    <col min="14077" max="14077" width="13.140625" style="321" bestFit="1" customWidth="1"/>
    <col min="14078" max="14080" width="14.28515625" style="321" bestFit="1" customWidth="1"/>
    <col min="14081" max="14081" width="15.42578125" style="321" bestFit="1" customWidth="1"/>
    <col min="14082" max="14084" width="0" style="321" hidden="1" customWidth="1"/>
    <col min="14085" max="14085" width="14.140625" style="321" bestFit="1" customWidth="1"/>
    <col min="14086" max="14086" width="14.85546875" style="321" customWidth="1"/>
    <col min="14087" max="14087" width="14.28515625" style="321" customWidth="1"/>
    <col min="14088" max="14088" width="12.140625" style="321" bestFit="1" customWidth="1"/>
    <col min="14089" max="14089" width="14.28515625" style="321" bestFit="1" customWidth="1"/>
    <col min="14090" max="14090" width="14.140625" style="321" bestFit="1" customWidth="1"/>
    <col min="14091" max="14091" width="15.42578125" style="321" bestFit="1" customWidth="1"/>
    <col min="14092" max="14092" width="16.5703125" style="321" bestFit="1" customWidth="1"/>
    <col min="14093" max="14093" width="17.42578125" style="321" bestFit="1" customWidth="1"/>
    <col min="14094" max="14094" width="24.85546875" style="321" customWidth="1"/>
    <col min="14095" max="14096" width="25.5703125" style="321" bestFit="1" customWidth="1"/>
    <col min="14097" max="14097" width="9.140625" style="321"/>
    <col min="14098" max="14098" width="27" style="321" customWidth="1"/>
    <col min="14099" max="14322" width="9.140625" style="321"/>
    <col min="14323" max="14323" width="5.28515625" style="321" customWidth="1"/>
    <col min="14324" max="14324" width="7.85546875" style="321" customWidth="1"/>
    <col min="14325" max="14325" width="25.140625" style="321" customWidth="1"/>
    <col min="14326" max="14326" width="37.42578125" style="321" customWidth="1"/>
    <col min="14327" max="14327" width="17.140625" style="321" bestFit="1" customWidth="1"/>
    <col min="14328" max="14328" width="15.42578125" style="321" bestFit="1" customWidth="1"/>
    <col min="14329" max="14329" width="16.5703125" style="321" customWidth="1"/>
    <col min="14330" max="14330" width="16.28515625" style="321" bestFit="1" customWidth="1"/>
    <col min="14331" max="14331" width="14.28515625" style="321" bestFit="1" customWidth="1"/>
    <col min="14332" max="14332" width="16.5703125" style="321" bestFit="1" customWidth="1"/>
    <col min="14333" max="14333" width="13.140625" style="321" bestFit="1" customWidth="1"/>
    <col min="14334" max="14336" width="14.28515625" style="321" bestFit="1" customWidth="1"/>
    <col min="14337" max="14337" width="15.42578125" style="321" bestFit="1" customWidth="1"/>
    <col min="14338" max="14340" width="0" style="321" hidden="1" customWidth="1"/>
    <col min="14341" max="14341" width="14.140625" style="321" bestFit="1" customWidth="1"/>
    <col min="14342" max="14342" width="14.85546875" style="321" customWidth="1"/>
    <col min="14343" max="14343" width="14.28515625" style="321" customWidth="1"/>
    <col min="14344" max="14344" width="12.140625" style="321" bestFit="1" customWidth="1"/>
    <col min="14345" max="14345" width="14.28515625" style="321" bestFit="1" customWidth="1"/>
    <col min="14346" max="14346" width="14.140625" style="321" bestFit="1" customWidth="1"/>
    <col min="14347" max="14347" width="15.42578125" style="321" bestFit="1" customWidth="1"/>
    <col min="14348" max="14348" width="16.5703125" style="321" bestFit="1" customWidth="1"/>
    <col min="14349" max="14349" width="17.42578125" style="321" bestFit="1" customWidth="1"/>
    <col min="14350" max="14350" width="24.85546875" style="321" customWidth="1"/>
    <col min="14351" max="14352" width="25.5703125" style="321" bestFit="1" customWidth="1"/>
    <col min="14353" max="14353" width="9.140625" style="321"/>
    <col min="14354" max="14354" width="27" style="321" customWidth="1"/>
    <col min="14355" max="14578" width="9.140625" style="321"/>
    <col min="14579" max="14579" width="5.28515625" style="321" customWidth="1"/>
    <col min="14580" max="14580" width="7.85546875" style="321" customWidth="1"/>
    <col min="14581" max="14581" width="25.140625" style="321" customWidth="1"/>
    <col min="14582" max="14582" width="37.42578125" style="321" customWidth="1"/>
    <col min="14583" max="14583" width="17.140625" style="321" bestFit="1" customWidth="1"/>
    <col min="14584" max="14584" width="15.42578125" style="321" bestFit="1" customWidth="1"/>
    <col min="14585" max="14585" width="16.5703125" style="321" customWidth="1"/>
    <col min="14586" max="14586" width="16.28515625" style="321" bestFit="1" customWidth="1"/>
    <col min="14587" max="14587" width="14.28515625" style="321" bestFit="1" customWidth="1"/>
    <col min="14588" max="14588" width="16.5703125" style="321" bestFit="1" customWidth="1"/>
    <col min="14589" max="14589" width="13.140625" style="321" bestFit="1" customWidth="1"/>
    <col min="14590" max="14592" width="14.28515625" style="321" bestFit="1" customWidth="1"/>
    <col min="14593" max="14593" width="15.42578125" style="321" bestFit="1" customWidth="1"/>
    <col min="14594" max="14596" width="0" style="321" hidden="1" customWidth="1"/>
    <col min="14597" max="14597" width="14.140625" style="321" bestFit="1" customWidth="1"/>
    <col min="14598" max="14598" width="14.85546875" style="321" customWidth="1"/>
    <col min="14599" max="14599" width="14.28515625" style="321" customWidth="1"/>
    <col min="14600" max="14600" width="12.140625" style="321" bestFit="1" customWidth="1"/>
    <col min="14601" max="14601" width="14.28515625" style="321" bestFit="1" customWidth="1"/>
    <col min="14602" max="14602" width="14.140625" style="321" bestFit="1" customWidth="1"/>
    <col min="14603" max="14603" width="15.42578125" style="321" bestFit="1" customWidth="1"/>
    <col min="14604" max="14604" width="16.5703125" style="321" bestFit="1" customWidth="1"/>
    <col min="14605" max="14605" width="17.42578125" style="321" bestFit="1" customWidth="1"/>
    <col min="14606" max="14606" width="24.85546875" style="321" customWidth="1"/>
    <col min="14607" max="14608" width="25.5703125" style="321" bestFit="1" customWidth="1"/>
    <col min="14609" max="14609" width="9.140625" style="321"/>
    <col min="14610" max="14610" width="27" style="321" customWidth="1"/>
    <col min="14611" max="14834" width="9.140625" style="321"/>
    <col min="14835" max="14835" width="5.28515625" style="321" customWidth="1"/>
    <col min="14836" max="14836" width="7.85546875" style="321" customWidth="1"/>
    <col min="14837" max="14837" width="25.140625" style="321" customWidth="1"/>
    <col min="14838" max="14838" width="37.42578125" style="321" customWidth="1"/>
    <col min="14839" max="14839" width="17.140625" style="321" bestFit="1" customWidth="1"/>
    <col min="14840" max="14840" width="15.42578125" style="321" bestFit="1" customWidth="1"/>
    <col min="14841" max="14841" width="16.5703125" style="321" customWidth="1"/>
    <col min="14842" max="14842" width="16.28515625" style="321" bestFit="1" customWidth="1"/>
    <col min="14843" max="14843" width="14.28515625" style="321" bestFit="1" customWidth="1"/>
    <col min="14844" max="14844" width="16.5703125" style="321" bestFit="1" customWidth="1"/>
    <col min="14845" max="14845" width="13.140625" style="321" bestFit="1" customWidth="1"/>
    <col min="14846" max="14848" width="14.28515625" style="321" bestFit="1" customWidth="1"/>
    <col min="14849" max="14849" width="15.42578125" style="321" bestFit="1" customWidth="1"/>
    <col min="14850" max="14852" width="0" style="321" hidden="1" customWidth="1"/>
    <col min="14853" max="14853" width="14.140625" style="321" bestFit="1" customWidth="1"/>
    <col min="14854" max="14854" width="14.85546875" style="321" customWidth="1"/>
    <col min="14855" max="14855" width="14.28515625" style="321" customWidth="1"/>
    <col min="14856" max="14856" width="12.140625" style="321" bestFit="1" customWidth="1"/>
    <col min="14857" max="14857" width="14.28515625" style="321" bestFit="1" customWidth="1"/>
    <col min="14858" max="14858" width="14.140625" style="321" bestFit="1" customWidth="1"/>
    <col min="14859" max="14859" width="15.42578125" style="321" bestFit="1" customWidth="1"/>
    <col min="14860" max="14860" width="16.5703125" style="321" bestFit="1" customWidth="1"/>
    <col min="14861" max="14861" width="17.42578125" style="321" bestFit="1" customWidth="1"/>
    <col min="14862" max="14862" width="24.85546875" style="321" customWidth="1"/>
    <col min="14863" max="14864" width="25.5703125" style="321" bestFit="1" customWidth="1"/>
    <col min="14865" max="14865" width="9.140625" style="321"/>
    <col min="14866" max="14866" width="27" style="321" customWidth="1"/>
    <col min="14867" max="15090" width="9.140625" style="321"/>
    <col min="15091" max="15091" width="5.28515625" style="321" customWidth="1"/>
    <col min="15092" max="15092" width="7.85546875" style="321" customWidth="1"/>
    <col min="15093" max="15093" width="25.140625" style="321" customWidth="1"/>
    <col min="15094" max="15094" width="37.42578125" style="321" customWidth="1"/>
    <col min="15095" max="15095" width="17.140625" style="321" bestFit="1" customWidth="1"/>
    <col min="15096" max="15096" width="15.42578125" style="321" bestFit="1" customWidth="1"/>
    <col min="15097" max="15097" width="16.5703125" style="321" customWidth="1"/>
    <col min="15098" max="15098" width="16.28515625" style="321" bestFit="1" customWidth="1"/>
    <col min="15099" max="15099" width="14.28515625" style="321" bestFit="1" customWidth="1"/>
    <col min="15100" max="15100" width="16.5703125" style="321" bestFit="1" customWidth="1"/>
    <col min="15101" max="15101" width="13.140625" style="321" bestFit="1" customWidth="1"/>
    <col min="15102" max="15104" width="14.28515625" style="321" bestFit="1" customWidth="1"/>
    <col min="15105" max="15105" width="15.42578125" style="321" bestFit="1" customWidth="1"/>
    <col min="15106" max="15108" width="0" style="321" hidden="1" customWidth="1"/>
    <col min="15109" max="15109" width="14.140625" style="321" bestFit="1" customWidth="1"/>
    <col min="15110" max="15110" width="14.85546875" style="321" customWidth="1"/>
    <col min="15111" max="15111" width="14.28515625" style="321" customWidth="1"/>
    <col min="15112" max="15112" width="12.140625" style="321" bestFit="1" customWidth="1"/>
    <col min="15113" max="15113" width="14.28515625" style="321" bestFit="1" customWidth="1"/>
    <col min="15114" max="15114" width="14.140625" style="321" bestFit="1" customWidth="1"/>
    <col min="15115" max="15115" width="15.42578125" style="321" bestFit="1" customWidth="1"/>
    <col min="15116" max="15116" width="16.5703125" style="321" bestFit="1" customWidth="1"/>
    <col min="15117" max="15117" width="17.42578125" style="321" bestFit="1" customWidth="1"/>
    <col min="15118" max="15118" width="24.85546875" style="321" customWidth="1"/>
    <col min="15119" max="15120" width="25.5703125" style="321" bestFit="1" customWidth="1"/>
    <col min="15121" max="15121" width="9.140625" style="321"/>
    <col min="15122" max="15122" width="27" style="321" customWidth="1"/>
    <col min="15123" max="15346" width="9.140625" style="321"/>
    <col min="15347" max="15347" width="5.28515625" style="321" customWidth="1"/>
    <col min="15348" max="15348" width="7.85546875" style="321" customWidth="1"/>
    <col min="15349" max="15349" width="25.140625" style="321" customWidth="1"/>
    <col min="15350" max="15350" width="37.42578125" style="321" customWidth="1"/>
    <col min="15351" max="15351" width="17.140625" style="321" bestFit="1" customWidth="1"/>
    <col min="15352" max="15352" width="15.42578125" style="321" bestFit="1" customWidth="1"/>
    <col min="15353" max="15353" width="16.5703125" style="321" customWidth="1"/>
    <col min="15354" max="15354" width="16.28515625" style="321" bestFit="1" customWidth="1"/>
    <col min="15355" max="15355" width="14.28515625" style="321" bestFit="1" customWidth="1"/>
    <col min="15356" max="15356" width="16.5703125" style="321" bestFit="1" customWidth="1"/>
    <col min="15357" max="15357" width="13.140625" style="321" bestFit="1" customWidth="1"/>
    <col min="15358" max="15360" width="14.28515625" style="321" bestFit="1" customWidth="1"/>
    <col min="15361" max="15361" width="15.42578125" style="321" bestFit="1" customWidth="1"/>
    <col min="15362" max="15364" width="0" style="321" hidden="1" customWidth="1"/>
    <col min="15365" max="15365" width="14.140625" style="321" bestFit="1" customWidth="1"/>
    <col min="15366" max="15366" width="14.85546875" style="321" customWidth="1"/>
    <col min="15367" max="15367" width="14.28515625" style="321" customWidth="1"/>
    <col min="15368" max="15368" width="12.140625" style="321" bestFit="1" customWidth="1"/>
    <col min="15369" max="15369" width="14.28515625" style="321" bestFit="1" customWidth="1"/>
    <col min="15370" max="15370" width="14.140625" style="321" bestFit="1" customWidth="1"/>
    <col min="15371" max="15371" width="15.42578125" style="321" bestFit="1" customWidth="1"/>
    <col min="15372" max="15372" width="16.5703125" style="321" bestFit="1" customWidth="1"/>
    <col min="15373" max="15373" width="17.42578125" style="321" bestFit="1" customWidth="1"/>
    <col min="15374" max="15374" width="24.85546875" style="321" customWidth="1"/>
    <col min="15375" max="15376" width="25.5703125" style="321" bestFit="1" customWidth="1"/>
    <col min="15377" max="15377" width="9.140625" style="321"/>
    <col min="15378" max="15378" width="27" style="321" customWidth="1"/>
    <col min="15379" max="15602" width="9.140625" style="321"/>
    <col min="15603" max="15603" width="5.28515625" style="321" customWidth="1"/>
    <col min="15604" max="15604" width="7.85546875" style="321" customWidth="1"/>
    <col min="15605" max="15605" width="25.140625" style="321" customWidth="1"/>
    <col min="15606" max="15606" width="37.42578125" style="321" customWidth="1"/>
    <col min="15607" max="15607" width="17.140625" style="321" bestFit="1" customWidth="1"/>
    <col min="15608" max="15608" width="15.42578125" style="321" bestFit="1" customWidth="1"/>
    <col min="15609" max="15609" width="16.5703125" style="321" customWidth="1"/>
    <col min="15610" max="15610" width="16.28515625" style="321" bestFit="1" customWidth="1"/>
    <col min="15611" max="15611" width="14.28515625" style="321" bestFit="1" customWidth="1"/>
    <col min="15612" max="15612" width="16.5703125" style="321" bestFit="1" customWidth="1"/>
    <col min="15613" max="15613" width="13.140625" style="321" bestFit="1" customWidth="1"/>
    <col min="15614" max="15616" width="14.28515625" style="321" bestFit="1" customWidth="1"/>
    <col min="15617" max="15617" width="15.42578125" style="321" bestFit="1" customWidth="1"/>
    <col min="15618" max="15620" width="0" style="321" hidden="1" customWidth="1"/>
    <col min="15621" max="15621" width="14.140625" style="321" bestFit="1" customWidth="1"/>
    <col min="15622" max="15622" width="14.85546875" style="321" customWidth="1"/>
    <col min="15623" max="15623" width="14.28515625" style="321" customWidth="1"/>
    <col min="15624" max="15624" width="12.140625" style="321" bestFit="1" customWidth="1"/>
    <col min="15625" max="15625" width="14.28515625" style="321" bestFit="1" customWidth="1"/>
    <col min="15626" max="15626" width="14.140625" style="321" bestFit="1" customWidth="1"/>
    <col min="15627" max="15627" width="15.42578125" style="321" bestFit="1" customWidth="1"/>
    <col min="15628" max="15628" width="16.5703125" style="321" bestFit="1" customWidth="1"/>
    <col min="15629" max="15629" width="17.42578125" style="321" bestFit="1" customWidth="1"/>
    <col min="15630" max="15630" width="24.85546875" style="321" customWidth="1"/>
    <col min="15631" max="15632" width="25.5703125" style="321" bestFit="1" customWidth="1"/>
    <col min="15633" max="15633" width="9.140625" style="321"/>
    <col min="15634" max="15634" width="27" style="321" customWidth="1"/>
    <col min="15635" max="15858" width="9.140625" style="321"/>
    <col min="15859" max="15859" width="5.28515625" style="321" customWidth="1"/>
    <col min="15860" max="15860" width="7.85546875" style="321" customWidth="1"/>
    <col min="15861" max="15861" width="25.140625" style="321" customWidth="1"/>
    <col min="15862" max="15862" width="37.42578125" style="321" customWidth="1"/>
    <col min="15863" max="15863" width="17.140625" style="321" bestFit="1" customWidth="1"/>
    <col min="15864" max="15864" width="15.42578125" style="321" bestFit="1" customWidth="1"/>
    <col min="15865" max="15865" width="16.5703125" style="321" customWidth="1"/>
    <col min="15866" max="15866" width="16.28515625" style="321" bestFit="1" customWidth="1"/>
    <col min="15867" max="15867" width="14.28515625" style="321" bestFit="1" customWidth="1"/>
    <col min="15868" max="15868" width="16.5703125" style="321" bestFit="1" customWidth="1"/>
    <col min="15869" max="15869" width="13.140625" style="321" bestFit="1" customWidth="1"/>
    <col min="15870" max="15872" width="14.28515625" style="321" bestFit="1" customWidth="1"/>
    <col min="15873" max="15873" width="15.42578125" style="321" bestFit="1" customWidth="1"/>
    <col min="15874" max="15876" width="0" style="321" hidden="1" customWidth="1"/>
    <col min="15877" max="15877" width="14.140625" style="321" bestFit="1" customWidth="1"/>
    <col min="15878" max="15878" width="14.85546875" style="321" customWidth="1"/>
    <col min="15879" max="15879" width="14.28515625" style="321" customWidth="1"/>
    <col min="15880" max="15880" width="12.140625" style="321" bestFit="1" customWidth="1"/>
    <col min="15881" max="15881" width="14.28515625" style="321" bestFit="1" customWidth="1"/>
    <col min="15882" max="15882" width="14.140625" style="321" bestFit="1" customWidth="1"/>
    <col min="15883" max="15883" width="15.42578125" style="321" bestFit="1" customWidth="1"/>
    <col min="15884" max="15884" width="16.5703125" style="321" bestFit="1" customWidth="1"/>
    <col min="15885" max="15885" width="17.42578125" style="321" bestFit="1" customWidth="1"/>
    <col min="15886" max="15886" width="24.85546875" style="321" customWidth="1"/>
    <col min="15887" max="15888" width="25.5703125" style="321" bestFit="1" customWidth="1"/>
    <col min="15889" max="15889" width="9.140625" style="321"/>
    <col min="15890" max="15890" width="27" style="321" customWidth="1"/>
    <col min="15891" max="16114" width="9.140625" style="321"/>
    <col min="16115" max="16115" width="5.28515625" style="321" customWidth="1"/>
    <col min="16116" max="16116" width="7.85546875" style="321" customWidth="1"/>
    <col min="16117" max="16117" width="25.140625" style="321" customWidth="1"/>
    <col min="16118" max="16118" width="37.42578125" style="321" customWidth="1"/>
    <col min="16119" max="16119" width="17.140625" style="321" bestFit="1" customWidth="1"/>
    <col min="16120" max="16120" width="15.42578125" style="321" bestFit="1" customWidth="1"/>
    <col min="16121" max="16121" width="16.5703125" style="321" customWidth="1"/>
    <col min="16122" max="16122" width="16.28515625" style="321" bestFit="1" customWidth="1"/>
    <col min="16123" max="16123" width="14.28515625" style="321" bestFit="1" customWidth="1"/>
    <col min="16124" max="16124" width="16.5703125" style="321" bestFit="1" customWidth="1"/>
    <col min="16125" max="16125" width="13.140625" style="321" bestFit="1" customWidth="1"/>
    <col min="16126" max="16128" width="14.28515625" style="321" bestFit="1" customWidth="1"/>
    <col min="16129" max="16129" width="15.42578125" style="321" bestFit="1" customWidth="1"/>
    <col min="16130" max="16132" width="0" style="321" hidden="1" customWidth="1"/>
    <col min="16133" max="16133" width="14.140625" style="321" bestFit="1" customWidth="1"/>
    <col min="16134" max="16134" width="14.85546875" style="321" customWidth="1"/>
    <col min="16135" max="16135" width="14.28515625" style="321" customWidth="1"/>
    <col min="16136" max="16136" width="12.140625" style="321" bestFit="1" customWidth="1"/>
    <col min="16137" max="16137" width="14.28515625" style="321" bestFit="1" customWidth="1"/>
    <col min="16138" max="16138" width="14.140625" style="321" bestFit="1" customWidth="1"/>
    <col min="16139" max="16139" width="15.42578125" style="321" bestFit="1" customWidth="1"/>
    <col min="16140" max="16140" width="16.5703125" style="321" bestFit="1" customWidth="1"/>
    <col min="16141" max="16141" width="17.42578125" style="321" bestFit="1" customWidth="1"/>
    <col min="16142" max="16142" width="24.85546875" style="321" customWidth="1"/>
    <col min="16143" max="16144" width="25.5703125" style="321" bestFit="1" customWidth="1"/>
    <col min="16145" max="16145" width="9.140625" style="321"/>
    <col min="16146" max="16146" width="27" style="321" customWidth="1"/>
    <col min="16147" max="16384" width="9.140625" style="321"/>
  </cols>
  <sheetData>
    <row r="1" spans="1:30" s="314" customFormat="1" x14ac:dyDescent="0.2">
      <c r="A1" s="312" t="s">
        <v>329</v>
      </c>
      <c r="B1" s="347"/>
      <c r="C1" s="348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13"/>
      <c r="U1" s="313"/>
      <c r="V1" s="313"/>
      <c r="W1" s="313"/>
    </row>
    <row r="2" spans="1:30" s="314" customFormat="1" x14ac:dyDescent="0.2">
      <c r="A2" s="350" t="s">
        <v>330</v>
      </c>
      <c r="B2" s="351"/>
      <c r="C2" s="352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13"/>
      <c r="U2" s="313"/>
      <c r="V2" s="313"/>
      <c r="W2" s="313"/>
    </row>
    <row r="3" spans="1:30" s="314" customFormat="1" x14ac:dyDescent="0.2">
      <c r="A3" s="312" t="s">
        <v>233</v>
      </c>
      <c r="B3" s="312"/>
      <c r="C3" s="352" t="s">
        <v>280</v>
      </c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13"/>
      <c r="U3" s="313"/>
      <c r="V3" s="313"/>
      <c r="W3" s="313"/>
    </row>
    <row r="4" spans="1:30" s="314" customFormat="1" x14ac:dyDescent="0.2">
      <c r="A4" s="350" t="s">
        <v>356</v>
      </c>
      <c r="B4" s="347"/>
      <c r="C4" s="348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13"/>
      <c r="U4" s="313"/>
      <c r="V4" s="313"/>
      <c r="W4" s="313"/>
    </row>
    <row r="5" spans="1:30" s="314" customFormat="1" ht="24" customHeight="1" x14ac:dyDescent="0.2">
      <c r="A5" s="312" t="s">
        <v>357</v>
      </c>
      <c r="B5" s="347"/>
      <c r="C5" s="348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13"/>
      <c r="U5" s="313"/>
      <c r="V5" s="313"/>
      <c r="W5" s="313"/>
    </row>
    <row r="6" spans="1:30" s="315" customFormat="1" ht="45.75" customHeight="1" x14ac:dyDescent="0.35">
      <c r="A6" s="421" t="s">
        <v>372</v>
      </c>
      <c r="B6" s="421"/>
      <c r="C6" s="421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Q6" s="421"/>
      <c r="R6" s="421"/>
      <c r="S6" s="421"/>
      <c r="T6" s="421"/>
      <c r="U6" s="421"/>
      <c r="V6" s="353"/>
      <c r="W6" s="353"/>
    </row>
    <row r="7" spans="1:30" s="315" customFormat="1" ht="21.75" customHeight="1" x14ac:dyDescent="0.35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</row>
    <row r="8" spans="1:30" s="315" customFormat="1" ht="24.75" customHeight="1" x14ac:dyDescent="0.35">
      <c r="A8" s="421" t="s">
        <v>358</v>
      </c>
      <c r="B8" s="42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353"/>
      <c r="W8" s="353"/>
    </row>
    <row r="9" spans="1:30" s="315" customFormat="1" ht="24.75" customHeight="1" x14ac:dyDescent="0.35">
      <c r="A9" s="354"/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</row>
    <row r="10" spans="1:30" s="316" customFormat="1" ht="52.5" customHeight="1" x14ac:dyDescent="0.2">
      <c r="A10" s="422" t="s">
        <v>239</v>
      </c>
      <c r="B10" s="418" t="s">
        <v>331</v>
      </c>
      <c r="C10" s="424" t="s">
        <v>332</v>
      </c>
      <c r="D10" s="418" t="s">
        <v>333</v>
      </c>
      <c r="E10" s="426" t="s">
        <v>211</v>
      </c>
      <c r="F10" s="427"/>
      <c r="G10" s="428"/>
      <c r="H10" s="426" t="s">
        <v>334</v>
      </c>
      <c r="I10" s="427"/>
      <c r="J10" s="428"/>
      <c r="K10" s="426" t="s">
        <v>335</v>
      </c>
      <c r="L10" s="427"/>
      <c r="M10" s="428"/>
      <c r="N10" s="426" t="s">
        <v>336</v>
      </c>
      <c r="O10" s="428"/>
      <c r="P10" s="426" t="s">
        <v>337</v>
      </c>
      <c r="Q10" s="427"/>
      <c r="R10" s="428"/>
      <c r="S10" s="426" t="s">
        <v>338</v>
      </c>
      <c r="T10" s="427"/>
      <c r="U10" s="428"/>
      <c r="V10" s="418" t="s">
        <v>374</v>
      </c>
      <c r="W10" s="418" t="s">
        <v>375</v>
      </c>
      <c r="X10" s="414" t="s">
        <v>339</v>
      </c>
    </row>
    <row r="11" spans="1:30" s="315" customFormat="1" ht="84" customHeight="1" x14ac:dyDescent="0.2">
      <c r="A11" s="423"/>
      <c r="B11" s="419"/>
      <c r="C11" s="425"/>
      <c r="D11" s="419"/>
      <c r="E11" s="345" t="s">
        <v>340</v>
      </c>
      <c r="F11" s="346" t="s">
        <v>341</v>
      </c>
      <c r="G11" s="346" t="s">
        <v>342</v>
      </c>
      <c r="H11" s="345" t="s">
        <v>343</v>
      </c>
      <c r="I11" s="345" t="s">
        <v>344</v>
      </c>
      <c r="J11" s="346" t="s">
        <v>345</v>
      </c>
      <c r="K11" s="345" t="s">
        <v>343</v>
      </c>
      <c r="L11" s="345" t="s">
        <v>344</v>
      </c>
      <c r="M11" s="346" t="s">
        <v>342</v>
      </c>
      <c r="N11" s="345" t="s">
        <v>346</v>
      </c>
      <c r="O11" s="345" t="s">
        <v>347</v>
      </c>
      <c r="P11" s="345" t="s">
        <v>343</v>
      </c>
      <c r="Q11" s="345" t="s">
        <v>344</v>
      </c>
      <c r="R11" s="346" t="s">
        <v>342</v>
      </c>
      <c r="S11" s="345" t="s">
        <v>348</v>
      </c>
      <c r="T11" s="345" t="s">
        <v>344</v>
      </c>
      <c r="U11" s="346" t="s">
        <v>342</v>
      </c>
      <c r="V11" s="419"/>
      <c r="W11" s="419"/>
      <c r="X11" s="415"/>
    </row>
    <row r="12" spans="1:30" s="315" customFormat="1" ht="55.5" customHeight="1" x14ac:dyDescent="0.2">
      <c r="A12" s="317">
        <v>1</v>
      </c>
      <c r="B12" s="317">
        <v>2</v>
      </c>
      <c r="C12" s="317">
        <v>3</v>
      </c>
      <c r="D12" s="317">
        <v>4</v>
      </c>
      <c r="E12" s="317">
        <v>5</v>
      </c>
      <c r="F12" s="317">
        <v>6</v>
      </c>
      <c r="G12" s="317">
        <v>7</v>
      </c>
      <c r="H12" s="317">
        <v>8</v>
      </c>
      <c r="I12" s="317">
        <v>9</v>
      </c>
      <c r="J12" s="317">
        <v>10</v>
      </c>
      <c r="K12" s="317">
        <v>8</v>
      </c>
      <c r="L12" s="317">
        <v>9</v>
      </c>
      <c r="M12" s="317">
        <v>10</v>
      </c>
      <c r="N12" s="317">
        <v>11</v>
      </c>
      <c r="O12" s="317">
        <v>12</v>
      </c>
      <c r="P12" s="317">
        <v>13</v>
      </c>
      <c r="Q12" s="317">
        <v>14</v>
      </c>
      <c r="R12" s="317">
        <v>15</v>
      </c>
      <c r="S12" s="317">
        <v>16</v>
      </c>
      <c r="T12" s="317">
        <v>17</v>
      </c>
      <c r="U12" s="317">
        <v>18</v>
      </c>
      <c r="V12" s="317"/>
      <c r="W12" s="317"/>
      <c r="X12" s="317">
        <v>19</v>
      </c>
    </row>
    <row r="13" spans="1:30" s="315" customFormat="1" ht="101.25" customHeight="1" x14ac:dyDescent="0.2">
      <c r="A13" s="355" t="s">
        <v>234</v>
      </c>
      <c r="B13" s="356" t="s">
        <v>261</v>
      </c>
      <c r="C13" s="573" t="s">
        <v>376</v>
      </c>
      <c r="D13" s="358" t="s">
        <v>106</v>
      </c>
      <c r="E13" s="319">
        <f>'1_6.1'!J172</f>
        <v>42187.98</v>
      </c>
      <c r="F13" s="319">
        <f>'1_6.1'!L172</f>
        <v>247417.79</v>
      </c>
      <c r="G13" s="318">
        <f>F13*0.925</f>
        <v>228861.46</v>
      </c>
      <c r="H13" s="359"/>
      <c r="I13" s="359"/>
      <c r="J13" s="318"/>
      <c r="K13" s="318">
        <v>0</v>
      </c>
      <c r="L13" s="318">
        <v>0</v>
      </c>
      <c r="M13" s="318">
        <f>L13</f>
        <v>0</v>
      </c>
      <c r="N13" s="319">
        <f>'1_6.1'!J175</f>
        <v>34099.199999999997</v>
      </c>
      <c r="O13" s="319">
        <f>'1_6.1'!L175</f>
        <v>99725.64</v>
      </c>
      <c r="P13" s="318">
        <f>'1_6.1'!J177</f>
        <v>375.83</v>
      </c>
      <c r="Q13" s="318">
        <f>'1_6.1'!L177</f>
        <v>8997.2900000000009</v>
      </c>
      <c r="R13" s="319">
        <f>Q13*0.925</f>
        <v>8322.49</v>
      </c>
      <c r="S13" s="360">
        <f>E13+H13+K13+P13</f>
        <v>42563.81</v>
      </c>
      <c r="T13" s="318">
        <f>F13+I13+L13+Q13</f>
        <v>256415.08</v>
      </c>
      <c r="U13" s="360">
        <f>R13+G13</f>
        <v>237183.95</v>
      </c>
      <c r="V13" s="360"/>
      <c r="W13" s="360"/>
      <c r="X13" s="361" t="s">
        <v>349</v>
      </c>
      <c r="Y13" s="362">
        <v>771214.65</v>
      </c>
    </row>
    <row r="14" spans="1:30" s="315" customFormat="1" ht="101.25" customHeight="1" x14ac:dyDescent="0.2">
      <c r="A14" s="355" t="s">
        <v>295</v>
      </c>
      <c r="B14" s="356" t="s">
        <v>262</v>
      </c>
      <c r="C14" s="357" t="s">
        <v>377</v>
      </c>
      <c r="D14" s="358" t="s">
        <v>53</v>
      </c>
      <c r="E14" s="319">
        <f>'2_6.2'!J155</f>
        <v>67445.06</v>
      </c>
      <c r="F14" s="319">
        <f>'2_6.2'!L155</f>
        <v>486713.54</v>
      </c>
      <c r="G14" s="318">
        <f t="shared" ref="G14:G20" si="0">F14*0.925</f>
        <v>450210.02</v>
      </c>
      <c r="H14" s="359"/>
      <c r="I14" s="359"/>
      <c r="J14" s="318"/>
      <c r="K14" s="318"/>
      <c r="L14" s="318"/>
      <c r="M14" s="318"/>
      <c r="N14" s="319">
        <f>'2_6.2'!J158</f>
        <v>56065.08</v>
      </c>
      <c r="O14" s="319">
        <f>'2_6.2'!L158</f>
        <v>293078.65000000002</v>
      </c>
      <c r="P14" s="318">
        <f>'2_6.2'!J160</f>
        <v>481.84</v>
      </c>
      <c r="Q14" s="318">
        <f>'2_6.2'!L160</f>
        <v>11535.26</v>
      </c>
      <c r="R14" s="319">
        <f t="shared" ref="R14:R20" si="1">Q14*0.925</f>
        <v>10670.12</v>
      </c>
      <c r="S14" s="360">
        <f t="shared" ref="S14:T20" si="2">E14+H14+K14+P14</f>
        <v>67926.899999999994</v>
      </c>
      <c r="T14" s="318">
        <f t="shared" si="2"/>
        <v>498248.8</v>
      </c>
      <c r="U14" s="360">
        <f t="shared" ref="U14:U20" si="3">R14+G14</f>
        <v>460880.14</v>
      </c>
      <c r="V14" s="360"/>
      <c r="W14" s="360"/>
      <c r="X14" s="361" t="s">
        <v>349</v>
      </c>
      <c r="Y14" s="362">
        <v>243235.15</v>
      </c>
      <c r="AD14" s="362">
        <f>U15+U17+U18+U19</f>
        <v>15821383.140000001</v>
      </c>
    </row>
    <row r="15" spans="1:30" s="315" customFormat="1" ht="101.25" customHeight="1" x14ac:dyDescent="0.2">
      <c r="A15" s="355" t="s">
        <v>298</v>
      </c>
      <c r="B15" s="356" t="s">
        <v>385</v>
      </c>
      <c r="C15" s="574" t="s">
        <v>378</v>
      </c>
      <c r="D15" s="358" t="s">
        <v>122</v>
      </c>
      <c r="E15" s="319">
        <f>'3_6.4'!J139</f>
        <v>204725.95</v>
      </c>
      <c r="F15" s="319">
        <f>'3_6.4'!L139</f>
        <v>933026.9</v>
      </c>
      <c r="G15" s="318">
        <f t="shared" si="0"/>
        <v>863049.88</v>
      </c>
      <c r="H15" s="359"/>
      <c r="I15" s="359"/>
      <c r="J15" s="318"/>
      <c r="K15" s="318"/>
      <c r="L15" s="318"/>
      <c r="M15" s="318"/>
      <c r="N15" s="319">
        <f>'3_6.4'!J142</f>
        <v>191319.84</v>
      </c>
      <c r="O15" s="319">
        <f>'3_6.4'!L142</f>
        <v>691386.3</v>
      </c>
      <c r="P15" s="318">
        <f>'3_6.4'!J144</f>
        <v>641.80999999999995</v>
      </c>
      <c r="Q15" s="318">
        <f>'3_6.4'!L144</f>
        <v>15364.86</v>
      </c>
      <c r="R15" s="319">
        <f t="shared" si="1"/>
        <v>14212.5</v>
      </c>
      <c r="S15" s="360">
        <f t="shared" si="2"/>
        <v>205367.76</v>
      </c>
      <c r="T15" s="318">
        <f t="shared" si="2"/>
        <v>948391.76</v>
      </c>
      <c r="U15" s="360">
        <f t="shared" si="3"/>
        <v>877262.38</v>
      </c>
      <c r="V15" s="360"/>
      <c r="W15" s="360"/>
      <c r="X15" s="361" t="s">
        <v>349</v>
      </c>
      <c r="Y15" s="362">
        <v>557725.54</v>
      </c>
      <c r="AD15" s="362">
        <f>U13+U16+U20</f>
        <v>852644.12</v>
      </c>
    </row>
    <row r="16" spans="1:30" s="315" customFormat="1" ht="101.25" customHeight="1" x14ac:dyDescent="0.2">
      <c r="A16" s="355" t="s">
        <v>300</v>
      </c>
      <c r="B16" s="356" t="s">
        <v>386</v>
      </c>
      <c r="C16" s="573" t="s">
        <v>379</v>
      </c>
      <c r="D16" s="358" t="s">
        <v>276</v>
      </c>
      <c r="E16" s="319">
        <f>'4_6.5'!J56</f>
        <v>11172.44</v>
      </c>
      <c r="F16" s="319">
        <f>'4_6.5'!L56</f>
        <v>157162.60999999999</v>
      </c>
      <c r="G16" s="318">
        <f t="shared" si="0"/>
        <v>145375.41</v>
      </c>
      <c r="H16" s="359"/>
      <c r="I16" s="359"/>
      <c r="J16" s="318"/>
      <c r="K16" s="318"/>
      <c r="L16" s="318"/>
      <c r="M16" s="318"/>
      <c r="N16" s="319">
        <f>'4_6.5'!J59</f>
        <v>4125.04</v>
      </c>
      <c r="O16" s="319">
        <f>'4_6.5'!L59</f>
        <v>22852.720000000001</v>
      </c>
      <c r="P16" s="318">
        <f>'4_6.5'!J61</f>
        <v>386.35</v>
      </c>
      <c r="Q16" s="318">
        <f>'4_6.5'!L61</f>
        <v>9249.16</v>
      </c>
      <c r="R16" s="319">
        <f t="shared" si="1"/>
        <v>8555.4699999999993</v>
      </c>
      <c r="S16" s="360">
        <f t="shared" si="2"/>
        <v>11558.79</v>
      </c>
      <c r="T16" s="318">
        <f t="shared" si="2"/>
        <v>166411.76999999999</v>
      </c>
      <c r="U16" s="360">
        <f t="shared" si="3"/>
        <v>153930.88</v>
      </c>
      <c r="V16" s="360"/>
      <c r="W16" s="360">
        <f>'4_6.5'!L37</f>
        <v>2380413.42</v>
      </c>
      <c r="X16" s="361" t="s">
        <v>349</v>
      </c>
      <c r="Y16" s="362">
        <v>2667486.7200000002</v>
      </c>
    </row>
    <row r="17" spans="1:25" s="315" customFormat="1" ht="101.25" customHeight="1" x14ac:dyDescent="0.2">
      <c r="A17" s="355" t="s">
        <v>302</v>
      </c>
      <c r="B17" s="356" t="s">
        <v>387</v>
      </c>
      <c r="C17" s="574" t="s">
        <v>380</v>
      </c>
      <c r="D17" s="358" t="s">
        <v>166</v>
      </c>
      <c r="E17" s="319">
        <f>'5_6.6'!J65</f>
        <v>71186.33</v>
      </c>
      <c r="F17" s="319">
        <f>'5_6.6'!L65</f>
        <v>407964.04</v>
      </c>
      <c r="G17" s="318">
        <f t="shared" si="0"/>
        <v>377366.74</v>
      </c>
      <c r="H17" s="359"/>
      <c r="I17" s="359"/>
      <c r="J17" s="318"/>
      <c r="K17" s="318"/>
      <c r="L17" s="318"/>
      <c r="M17" s="318"/>
      <c r="N17" s="319">
        <f>'5_6.6'!J68</f>
        <v>69232.69</v>
      </c>
      <c r="O17" s="319">
        <f>'5_6.6'!L68</f>
        <v>372769.57</v>
      </c>
      <c r="P17" s="318">
        <f>'5_6.6'!J70</f>
        <v>88.74</v>
      </c>
      <c r="Q17" s="318">
        <f>'5_6.6'!L70</f>
        <v>2124.4</v>
      </c>
      <c r="R17" s="319">
        <f t="shared" si="1"/>
        <v>1965.07</v>
      </c>
      <c r="S17" s="360">
        <f t="shared" si="2"/>
        <v>71275.070000000007</v>
      </c>
      <c r="T17" s="318">
        <f t="shared" si="2"/>
        <v>410088.44</v>
      </c>
      <c r="U17" s="360">
        <f t="shared" si="3"/>
        <v>379331.81</v>
      </c>
      <c r="V17" s="360"/>
      <c r="W17" s="360"/>
      <c r="X17" s="361" t="s">
        <v>349</v>
      </c>
      <c r="Y17" s="362">
        <v>548731.14</v>
      </c>
    </row>
    <row r="18" spans="1:25" s="315" customFormat="1" ht="101.25" customHeight="1" x14ac:dyDescent="0.2">
      <c r="A18" s="355" t="s">
        <v>304</v>
      </c>
      <c r="B18" s="356" t="s">
        <v>388</v>
      </c>
      <c r="C18" s="574" t="s">
        <v>380</v>
      </c>
      <c r="D18" s="358" t="s">
        <v>166</v>
      </c>
      <c r="E18" s="319">
        <f>'6_6.7'!J163</f>
        <v>2930394.56</v>
      </c>
      <c r="F18" s="319">
        <f>'6_6.7'!L163</f>
        <v>14378961.85</v>
      </c>
      <c r="G18" s="318">
        <f t="shared" si="0"/>
        <v>13300539.710000001</v>
      </c>
      <c r="H18" s="359"/>
      <c r="I18" s="359"/>
      <c r="J18" s="318"/>
      <c r="K18" s="318"/>
      <c r="L18" s="318"/>
      <c r="M18" s="318"/>
      <c r="N18" s="319">
        <f>'6_6.7'!J166</f>
        <v>2690178.26</v>
      </c>
      <c r="O18" s="319">
        <f>'6_6.7'!L166</f>
        <v>10041543.68</v>
      </c>
      <c r="P18" s="318">
        <f>'6_6.7'!J168</f>
        <v>10966.44</v>
      </c>
      <c r="Q18" s="318">
        <f>'6_6.7'!L168</f>
        <v>262536.46999999997</v>
      </c>
      <c r="R18" s="319">
        <f t="shared" si="1"/>
        <v>242846.23</v>
      </c>
      <c r="S18" s="360">
        <f t="shared" si="2"/>
        <v>2941361</v>
      </c>
      <c r="T18" s="318">
        <f t="shared" si="2"/>
        <v>14641498.32</v>
      </c>
      <c r="U18" s="360">
        <f t="shared" si="3"/>
        <v>13543385.939999999</v>
      </c>
      <c r="V18" s="360"/>
      <c r="W18" s="360"/>
      <c r="X18" s="361" t="s">
        <v>349</v>
      </c>
      <c r="Y18" s="362">
        <v>1957311.8</v>
      </c>
    </row>
    <row r="19" spans="1:25" s="315" customFormat="1" ht="101.25" customHeight="1" x14ac:dyDescent="0.2">
      <c r="A19" s="355" t="s">
        <v>305</v>
      </c>
      <c r="B19" s="356" t="s">
        <v>389</v>
      </c>
      <c r="C19" s="574" t="s">
        <v>381</v>
      </c>
      <c r="D19" s="363" t="s">
        <v>184</v>
      </c>
      <c r="E19" s="319">
        <f>'7_6.8'!J492</f>
        <v>186101.67</v>
      </c>
      <c r="F19" s="319">
        <f>'7_6.8'!L492</f>
        <v>1088939.22</v>
      </c>
      <c r="G19" s="318">
        <f t="shared" si="0"/>
        <v>1007268.78</v>
      </c>
      <c r="H19" s="359"/>
      <c r="I19" s="359"/>
      <c r="J19" s="318"/>
      <c r="K19" s="318"/>
      <c r="L19" s="318"/>
      <c r="M19" s="318"/>
      <c r="N19" s="319">
        <f>'7_6.8'!J495</f>
        <v>172192.61</v>
      </c>
      <c r="O19" s="319">
        <f>'7_6.8'!L495</f>
        <v>836778.29</v>
      </c>
      <c r="P19" s="318">
        <f>'7_6.8'!J497</f>
        <v>638.27</v>
      </c>
      <c r="Q19" s="318">
        <f>'7_6.8'!L497</f>
        <v>15280.25</v>
      </c>
      <c r="R19" s="319">
        <f t="shared" si="1"/>
        <v>14134.23</v>
      </c>
      <c r="S19" s="360">
        <f t="shared" si="2"/>
        <v>186739.94</v>
      </c>
      <c r="T19" s="318">
        <f t="shared" si="2"/>
        <v>1104219.47</v>
      </c>
      <c r="U19" s="360">
        <f t="shared" si="3"/>
        <v>1021403.01</v>
      </c>
      <c r="V19" s="360"/>
      <c r="W19" s="360"/>
      <c r="X19" s="361" t="s">
        <v>349</v>
      </c>
      <c r="Y19" s="362">
        <f>'[78]Акт КС-2 по ТСН-2001'!L246*0.925</f>
        <v>541575.13</v>
      </c>
    </row>
    <row r="20" spans="1:25" s="315" customFormat="1" ht="101.25" customHeight="1" x14ac:dyDescent="0.2">
      <c r="A20" s="355" t="s">
        <v>307</v>
      </c>
      <c r="B20" s="356" t="s">
        <v>390</v>
      </c>
      <c r="C20" s="573" t="s">
        <v>382</v>
      </c>
      <c r="D20" s="363" t="s">
        <v>198</v>
      </c>
      <c r="E20" s="319">
        <f>'8_6.9'!J178</f>
        <v>68067.839999999997</v>
      </c>
      <c r="F20" s="319">
        <f>'8_6.9'!L178</f>
        <v>480947.18</v>
      </c>
      <c r="G20" s="318">
        <f t="shared" si="0"/>
        <v>444876.14</v>
      </c>
      <c r="H20" s="359"/>
      <c r="I20" s="359"/>
      <c r="J20" s="318"/>
      <c r="K20" s="318"/>
      <c r="L20" s="318"/>
      <c r="M20" s="318"/>
      <c r="N20" s="319">
        <f>'8_6.9'!J181</f>
        <v>51884.1</v>
      </c>
      <c r="O20" s="319">
        <f>'8_6.9'!L181</f>
        <v>185426.15</v>
      </c>
      <c r="P20" s="318">
        <f>'8_6.9'!J183</f>
        <v>752.02</v>
      </c>
      <c r="Q20" s="318">
        <f>'8_6.9'!L183</f>
        <v>18003.41</v>
      </c>
      <c r="R20" s="319">
        <f t="shared" si="1"/>
        <v>16653.150000000001</v>
      </c>
      <c r="S20" s="360">
        <f t="shared" si="2"/>
        <v>68819.86</v>
      </c>
      <c r="T20" s="318">
        <f t="shared" si="2"/>
        <v>498950.59</v>
      </c>
      <c r="U20" s="360">
        <f t="shared" si="3"/>
        <v>461529.29</v>
      </c>
      <c r="V20" s="360"/>
      <c r="W20" s="360"/>
      <c r="X20" s="361" t="s">
        <v>349</v>
      </c>
      <c r="Y20" s="362">
        <v>628441.79</v>
      </c>
    </row>
    <row r="21" spans="1:25" s="315" customFormat="1" ht="87.75" customHeight="1" x14ac:dyDescent="0.2">
      <c r="A21" s="364"/>
      <c r="B21" s="365"/>
      <c r="C21" s="365"/>
      <c r="D21" s="366" t="s">
        <v>359</v>
      </c>
      <c r="E21" s="360">
        <f t="shared" ref="E21:W21" si="4">SUM(E13:E20)</f>
        <v>3581281.83</v>
      </c>
      <c r="F21" s="360">
        <f t="shared" si="4"/>
        <v>18181133.129999999</v>
      </c>
      <c r="G21" s="360">
        <f t="shared" si="4"/>
        <v>16817548.140000001</v>
      </c>
      <c r="H21" s="360">
        <f t="shared" si="4"/>
        <v>0</v>
      </c>
      <c r="I21" s="360">
        <f t="shared" si="4"/>
        <v>0</v>
      </c>
      <c r="J21" s="360">
        <f t="shared" si="4"/>
        <v>0</v>
      </c>
      <c r="K21" s="360">
        <f t="shared" si="4"/>
        <v>0</v>
      </c>
      <c r="L21" s="360">
        <f t="shared" si="4"/>
        <v>0</v>
      </c>
      <c r="M21" s="360">
        <f t="shared" si="4"/>
        <v>0</v>
      </c>
      <c r="N21" s="360">
        <f t="shared" si="4"/>
        <v>3269096.82</v>
      </c>
      <c r="O21" s="360">
        <f t="shared" si="4"/>
        <v>12543561</v>
      </c>
      <c r="P21" s="360">
        <f t="shared" si="4"/>
        <v>14331.3</v>
      </c>
      <c r="Q21" s="360">
        <f t="shared" si="4"/>
        <v>343091.1</v>
      </c>
      <c r="R21" s="360">
        <f t="shared" si="4"/>
        <v>317359.26</v>
      </c>
      <c r="S21" s="360">
        <f t="shared" si="4"/>
        <v>3595613.13</v>
      </c>
      <c r="T21" s="360">
        <f t="shared" si="4"/>
        <v>18524224.23</v>
      </c>
      <c r="U21" s="360">
        <f t="shared" si="4"/>
        <v>17134907.399999999</v>
      </c>
      <c r="V21" s="360">
        <f t="shared" si="4"/>
        <v>0</v>
      </c>
      <c r="W21" s="360">
        <f t="shared" si="4"/>
        <v>2380413.42</v>
      </c>
      <c r="X21" s="367"/>
    </row>
    <row r="22" spans="1:25" s="373" customFormat="1" ht="43.5" customHeight="1" x14ac:dyDescent="0.2">
      <c r="A22" s="368"/>
      <c r="B22" s="369"/>
      <c r="C22" s="370"/>
      <c r="D22" s="371" t="s">
        <v>211</v>
      </c>
      <c r="E22" s="319">
        <f t="shared" ref="E22:M22" si="5">E26</f>
        <v>3581281.83</v>
      </c>
      <c r="F22" s="319">
        <f t="shared" si="5"/>
        <v>18181133.129999999</v>
      </c>
      <c r="G22" s="319">
        <f t="shared" si="5"/>
        <v>16817548.140000001</v>
      </c>
      <c r="H22" s="319">
        <f t="shared" si="5"/>
        <v>0</v>
      </c>
      <c r="I22" s="319">
        <f t="shared" si="5"/>
        <v>0</v>
      </c>
      <c r="J22" s="319">
        <f t="shared" si="5"/>
        <v>0</v>
      </c>
      <c r="K22" s="319">
        <f t="shared" si="5"/>
        <v>0</v>
      </c>
      <c r="L22" s="319">
        <f t="shared" si="5"/>
        <v>0</v>
      </c>
      <c r="M22" s="319">
        <f t="shared" si="5"/>
        <v>0</v>
      </c>
      <c r="N22" s="319"/>
      <c r="O22" s="319"/>
      <c r="P22" s="319"/>
      <c r="Q22" s="319"/>
      <c r="R22" s="319"/>
      <c r="S22" s="319">
        <f>E22+H22+K22</f>
        <v>3581281.83</v>
      </c>
      <c r="T22" s="319">
        <f>F22+I22+L22</f>
        <v>18181133.129999999</v>
      </c>
      <c r="U22" s="319">
        <f>G22+J22+M22</f>
        <v>16817548.140000001</v>
      </c>
      <c r="V22" s="319">
        <f t="shared" ref="V22:W22" si="6">V26</f>
        <v>0</v>
      </c>
      <c r="W22" s="319">
        <f t="shared" si="6"/>
        <v>2380413.42</v>
      </c>
      <c r="X22" s="372"/>
    </row>
    <row r="23" spans="1:25" s="315" customFormat="1" ht="23.25" x14ac:dyDescent="0.2">
      <c r="A23" s="368"/>
      <c r="B23" s="369"/>
      <c r="C23" s="370"/>
      <c r="D23" s="371" t="s">
        <v>336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>
        <f>N26</f>
        <v>3269096.82</v>
      </c>
      <c r="O23" s="319">
        <f>O26</f>
        <v>12543561</v>
      </c>
      <c r="P23" s="319"/>
      <c r="Q23" s="319"/>
      <c r="R23" s="319"/>
      <c r="S23" s="319"/>
      <c r="T23" s="319"/>
      <c r="U23" s="319"/>
      <c r="V23" s="319"/>
      <c r="W23" s="319"/>
      <c r="X23" s="372"/>
    </row>
    <row r="24" spans="1:25" s="315" customFormat="1" ht="23.25" x14ac:dyDescent="0.2">
      <c r="A24" s="368"/>
      <c r="B24" s="369"/>
      <c r="C24" s="370"/>
      <c r="D24" s="371" t="s">
        <v>301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>
        <f t="shared" ref="S24:U25" si="7">P24</f>
        <v>0</v>
      </c>
      <c r="T24" s="319">
        <f t="shared" si="7"/>
        <v>0</v>
      </c>
      <c r="U24" s="319">
        <f t="shared" si="7"/>
        <v>0</v>
      </c>
      <c r="V24" s="319"/>
      <c r="W24" s="319"/>
      <c r="X24" s="372"/>
    </row>
    <row r="25" spans="1:25" s="315" customFormat="1" ht="23.25" x14ac:dyDescent="0.2">
      <c r="A25" s="368"/>
      <c r="B25" s="369"/>
      <c r="C25" s="374"/>
      <c r="D25" s="371" t="s">
        <v>350</v>
      </c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19">
        <f>P26</f>
        <v>14331.3</v>
      </c>
      <c r="Q25" s="319">
        <f>Q26</f>
        <v>343091.1</v>
      </c>
      <c r="R25" s="319">
        <f>R26</f>
        <v>317359.26</v>
      </c>
      <c r="S25" s="319">
        <f>P25</f>
        <v>14331.3</v>
      </c>
      <c r="T25" s="319">
        <f t="shared" si="7"/>
        <v>343091.1</v>
      </c>
      <c r="U25" s="319">
        <f t="shared" si="7"/>
        <v>317359.26</v>
      </c>
      <c r="V25" s="360"/>
      <c r="W25" s="360"/>
      <c r="X25" s="372"/>
    </row>
    <row r="26" spans="1:25" s="315" customFormat="1" ht="23.25" x14ac:dyDescent="0.2">
      <c r="A26" s="368"/>
      <c r="B26" s="375"/>
      <c r="C26" s="375"/>
      <c r="D26" s="376" t="s">
        <v>402</v>
      </c>
      <c r="E26" s="360">
        <f t="shared" ref="E26:U26" si="8">E21</f>
        <v>3581281.83</v>
      </c>
      <c r="F26" s="360">
        <f t="shared" si="8"/>
        <v>18181133.129999999</v>
      </c>
      <c r="G26" s="360">
        <f t="shared" si="8"/>
        <v>16817548.140000001</v>
      </c>
      <c r="H26" s="360">
        <f t="shared" si="8"/>
        <v>0</v>
      </c>
      <c r="I26" s="360">
        <f t="shared" si="8"/>
        <v>0</v>
      </c>
      <c r="J26" s="360">
        <f t="shared" si="8"/>
        <v>0</v>
      </c>
      <c r="K26" s="360">
        <f t="shared" si="8"/>
        <v>0</v>
      </c>
      <c r="L26" s="360">
        <f t="shared" si="8"/>
        <v>0</v>
      </c>
      <c r="M26" s="360">
        <f t="shared" si="8"/>
        <v>0</v>
      </c>
      <c r="N26" s="360">
        <f t="shared" si="8"/>
        <v>3269096.82</v>
      </c>
      <c r="O26" s="360">
        <f t="shared" si="8"/>
        <v>12543561</v>
      </c>
      <c r="P26" s="360">
        <f>P21</f>
        <v>14331.3</v>
      </c>
      <c r="Q26" s="360">
        <f t="shared" si="8"/>
        <v>343091.1</v>
      </c>
      <c r="R26" s="360">
        <f t="shared" si="8"/>
        <v>317359.26</v>
      </c>
      <c r="S26" s="360">
        <f t="shared" si="8"/>
        <v>3595613.13</v>
      </c>
      <c r="T26" s="360">
        <f t="shared" si="8"/>
        <v>18524224.23</v>
      </c>
      <c r="U26" s="360">
        <f t="shared" si="8"/>
        <v>17134907.399999999</v>
      </c>
      <c r="V26" s="360">
        <f t="shared" ref="V26:W26" si="9">V21</f>
        <v>0</v>
      </c>
      <c r="W26" s="360">
        <f t="shared" si="9"/>
        <v>2380413.42</v>
      </c>
      <c r="X26" s="367"/>
    </row>
    <row r="27" spans="1:25" s="381" customFormat="1" ht="60" customHeight="1" x14ac:dyDescent="0.3">
      <c r="A27" s="377"/>
      <c r="B27" s="378"/>
      <c r="C27" s="379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</row>
    <row r="28" spans="1:25" s="315" customFormat="1" ht="23.25" x14ac:dyDescent="0.35">
      <c r="A28" s="382"/>
      <c r="B28" s="383" t="s">
        <v>351</v>
      </c>
      <c r="C28" s="383"/>
      <c r="D28" s="416" t="s">
        <v>352</v>
      </c>
      <c r="E28" s="417"/>
      <c r="F28" s="417"/>
      <c r="G28" s="417"/>
      <c r="H28" s="384"/>
      <c r="I28" s="385"/>
      <c r="J28" s="386"/>
      <c r="K28" s="386"/>
      <c r="L28" s="386"/>
      <c r="M28" s="386"/>
      <c r="N28" s="386"/>
      <c r="O28" s="387"/>
      <c r="P28" s="388" t="s">
        <v>353</v>
      </c>
      <c r="Q28" s="388"/>
      <c r="R28" s="380"/>
      <c r="S28" s="380"/>
      <c r="T28" s="380"/>
      <c r="U28" s="380"/>
      <c r="V28" s="380"/>
      <c r="W28" s="380"/>
    </row>
    <row r="29" spans="1:25" s="315" customFormat="1" ht="23.25" x14ac:dyDescent="0.35">
      <c r="A29" s="389"/>
      <c r="B29" s="390"/>
      <c r="C29" s="391"/>
      <c r="D29" s="392"/>
      <c r="E29" s="393"/>
      <c r="F29" s="394"/>
      <c r="G29" s="395"/>
      <c r="H29" s="395"/>
      <c r="I29" s="395"/>
      <c r="J29" s="395"/>
      <c r="K29" s="395"/>
      <c r="L29" s="395"/>
      <c r="M29" s="395"/>
      <c r="N29" s="395"/>
      <c r="O29" s="395"/>
      <c r="P29" s="388"/>
      <c r="Q29" s="388"/>
      <c r="R29" s="380"/>
      <c r="S29" s="380"/>
      <c r="T29" s="380"/>
      <c r="U29" s="380"/>
      <c r="V29" s="380"/>
      <c r="W29" s="380"/>
    </row>
    <row r="30" spans="1:25" s="315" customFormat="1" ht="39" customHeight="1" x14ac:dyDescent="0.35">
      <c r="A30" s="373"/>
      <c r="B30" s="396"/>
      <c r="C30" s="397"/>
      <c r="D30" s="398"/>
      <c r="E30" s="399"/>
      <c r="F30" s="400"/>
      <c r="G30" s="401"/>
      <c r="H30" s="401"/>
      <c r="I30" s="401"/>
      <c r="J30" s="401"/>
      <c r="K30" s="401"/>
      <c r="L30" s="401"/>
      <c r="M30" s="401"/>
      <c r="N30" s="401"/>
      <c r="O30" s="401"/>
      <c r="P30" s="388"/>
      <c r="Q30" s="402"/>
      <c r="R30" s="403"/>
      <c r="S30" s="403"/>
      <c r="T30" s="403"/>
      <c r="U30" s="403"/>
      <c r="V30" s="403"/>
      <c r="W30" s="403"/>
      <c r="X30" s="314"/>
      <c r="Y30" s="314"/>
    </row>
    <row r="31" spans="1:25" s="315" customFormat="1" ht="23.25" customHeight="1" x14ac:dyDescent="0.35">
      <c r="A31" s="320"/>
      <c r="B31" s="383" t="s">
        <v>354</v>
      </c>
      <c r="C31" s="383"/>
      <c r="D31" s="416" t="s">
        <v>355</v>
      </c>
      <c r="E31" s="420"/>
      <c r="F31" s="420"/>
      <c r="G31" s="420"/>
      <c r="H31" s="384"/>
      <c r="I31" s="385"/>
      <c r="J31" s="386"/>
      <c r="K31" s="386"/>
      <c r="L31" s="386"/>
      <c r="M31" s="386"/>
      <c r="N31" s="386"/>
      <c r="O31" s="387"/>
      <c r="P31" s="388" t="s">
        <v>360</v>
      </c>
      <c r="Q31" s="404"/>
      <c r="R31" s="322"/>
      <c r="S31" s="322"/>
      <c r="T31" s="322"/>
      <c r="U31" s="322"/>
      <c r="V31" s="322"/>
      <c r="W31" s="322"/>
      <c r="X31" s="321"/>
      <c r="Y31" s="321"/>
    </row>
    <row r="32" spans="1:25" s="315" customFormat="1" x14ac:dyDescent="0.3">
      <c r="A32" s="320"/>
      <c r="B32" s="352"/>
      <c r="C32" s="405"/>
      <c r="D32" s="406"/>
      <c r="E32" s="407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322"/>
      <c r="R32" s="322"/>
      <c r="S32" s="322"/>
      <c r="T32" s="322"/>
      <c r="U32" s="322"/>
      <c r="V32" s="322"/>
      <c r="W32" s="322"/>
      <c r="X32" s="321"/>
      <c r="Y32" s="321"/>
    </row>
    <row r="33" spans="1:25" s="314" customFormat="1" ht="25.5" customHeight="1" x14ac:dyDescent="0.2">
      <c r="A33" s="320"/>
      <c r="B33" s="408"/>
      <c r="C33" s="409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1"/>
      <c r="Y33" s="321"/>
    </row>
    <row r="34" spans="1:25" s="315" customFormat="1" ht="70.5" customHeight="1" x14ac:dyDescent="0.2">
      <c r="A34" s="320"/>
      <c r="B34" s="408"/>
      <c r="C34" s="409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1"/>
      <c r="Y34" s="321"/>
    </row>
    <row r="35" spans="1:25" s="315" customFormat="1" x14ac:dyDescent="0.2">
      <c r="A35" s="320"/>
      <c r="B35" s="408"/>
      <c r="C35" s="409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1"/>
      <c r="Y35" s="321"/>
    </row>
  </sheetData>
  <mergeCells count="17">
    <mergeCell ref="A6:U6"/>
    <mergeCell ref="A8:U8"/>
    <mergeCell ref="A10:A11"/>
    <mergeCell ref="B10:B11"/>
    <mergeCell ref="C10:C11"/>
    <mergeCell ref="D10:D11"/>
    <mergeCell ref="E10:G10"/>
    <mergeCell ref="H10:J10"/>
    <mergeCell ref="K10:M10"/>
    <mergeCell ref="N10:O10"/>
    <mergeCell ref="P10:R10"/>
    <mergeCell ref="S10:U10"/>
    <mergeCell ref="X10:X11"/>
    <mergeCell ref="D28:G28"/>
    <mergeCell ref="V10:V11"/>
    <mergeCell ref="W10:W11"/>
    <mergeCell ref="D31:G31"/>
  </mergeCells>
  <pageMargins left="0.25" right="0.25" top="0.75" bottom="0.75" header="0.3" footer="0.3"/>
  <pageSetup paperSize="9" scale="30" orientation="landscape" r:id="rId1"/>
  <colBreaks count="1" manualBreakCount="1">
    <brk id="2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22"/>
  <sheetViews>
    <sheetView view="pageBreakPreview" topLeftCell="A477" zoomScale="66" zoomScaleNormal="100" zoomScaleSheetLayoutView="66" workbookViewId="0">
      <selection activeCell="A367" sqref="A367:XFD367"/>
    </sheetView>
  </sheetViews>
  <sheetFormatPr defaultRowHeight="12.75" x14ac:dyDescent="0.2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9" max="9" width="10.7109375" customWidth="1"/>
    <col min="10" max="11" width="12.7109375" customWidth="1"/>
    <col min="12" max="12" width="14.85546875" customWidth="1"/>
    <col min="15" max="29" width="0" hidden="1" customWidth="1"/>
    <col min="30" max="30" width="99.7109375" hidden="1" customWidth="1"/>
    <col min="31" max="31" width="0" hidden="1" customWidth="1"/>
    <col min="32" max="32" width="109.7109375" hidden="1" customWidth="1"/>
    <col min="33" max="36" width="0" hidden="1" customWidth="1"/>
  </cols>
  <sheetData>
    <row r="1" spans="1:12" s="32" customFormat="1" ht="14.25" customHeight="1" x14ac:dyDescent="0.25">
      <c r="A1" s="533" t="s">
        <v>395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1:12" s="32" customFormat="1" ht="37.5" customHeight="1" x14ac:dyDescent="0.2">
      <c r="A2" s="534" t="s">
        <v>184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25" x14ac:dyDescent="0.2">
      <c r="A4" s="519" t="s">
        <v>107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ht="14.25" x14ac:dyDescent="0.2">
      <c r="A5" s="520" t="s">
        <v>7</v>
      </c>
      <c r="B5" s="520"/>
      <c r="C5" s="520" t="s">
        <v>8</v>
      </c>
      <c r="D5" s="520" t="s">
        <v>9</v>
      </c>
      <c r="E5" s="520" t="s">
        <v>10</v>
      </c>
      <c r="F5" s="520" t="s">
        <v>11</v>
      </c>
      <c r="G5" s="520" t="s">
        <v>12</v>
      </c>
      <c r="H5" s="521" t="s">
        <v>13</v>
      </c>
      <c r="I5" s="521" t="s">
        <v>14</v>
      </c>
      <c r="J5" s="520" t="s">
        <v>15</v>
      </c>
      <c r="K5" s="520" t="s">
        <v>16</v>
      </c>
      <c r="L5" s="520" t="s">
        <v>17</v>
      </c>
    </row>
    <row r="6" spans="1:12" x14ac:dyDescent="0.2">
      <c r="A6" s="521" t="s">
        <v>18</v>
      </c>
      <c r="B6" s="521" t="s">
        <v>19</v>
      </c>
      <c r="C6" s="520"/>
      <c r="D6" s="520"/>
      <c r="E6" s="520"/>
      <c r="F6" s="520"/>
      <c r="G6" s="520"/>
      <c r="H6" s="522"/>
      <c r="I6" s="522"/>
      <c r="J6" s="520"/>
      <c r="K6" s="520"/>
      <c r="L6" s="520"/>
    </row>
    <row r="7" spans="1:12" x14ac:dyDescent="0.2">
      <c r="A7" s="522"/>
      <c r="B7" s="522"/>
      <c r="C7" s="520"/>
      <c r="D7" s="520"/>
      <c r="E7" s="520"/>
      <c r="F7" s="520"/>
      <c r="G7" s="520"/>
      <c r="H7" s="522"/>
      <c r="I7" s="522"/>
      <c r="J7" s="520"/>
      <c r="K7" s="520"/>
      <c r="L7" s="520"/>
    </row>
    <row r="8" spans="1:12" ht="20.100000000000001" customHeight="1" x14ac:dyDescent="0.2">
      <c r="A8" s="522"/>
      <c r="B8" s="522"/>
      <c r="C8" s="520"/>
      <c r="D8" s="520"/>
      <c r="E8" s="520"/>
      <c r="F8" s="520"/>
      <c r="G8" s="520"/>
      <c r="H8" s="522"/>
      <c r="I8" s="522"/>
      <c r="J8" s="520"/>
      <c r="K8" s="520"/>
      <c r="L8" s="520"/>
    </row>
    <row r="9" spans="1:12" ht="20.100000000000001" customHeight="1" x14ac:dyDescent="0.2">
      <c r="A9" s="523"/>
      <c r="B9" s="523"/>
      <c r="C9" s="520"/>
      <c r="D9" s="520"/>
      <c r="E9" s="520"/>
      <c r="F9" s="520"/>
      <c r="G9" s="520"/>
      <c r="H9" s="523"/>
      <c r="I9" s="523"/>
      <c r="J9" s="520"/>
      <c r="K9" s="520"/>
      <c r="L9" s="520"/>
    </row>
    <row r="10" spans="1:12" ht="14.25" x14ac:dyDescent="0.2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  <c r="J10" s="28">
        <v>10</v>
      </c>
      <c r="K10" s="28">
        <v>11</v>
      </c>
      <c r="L10" s="28">
        <v>12</v>
      </c>
    </row>
    <row r="12" spans="1:12" s="32" customFormat="1" ht="15.75" x14ac:dyDescent="0.25">
      <c r="A12" s="515" t="s">
        <v>57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1:12" s="32" customFormat="1" ht="15.75" x14ac:dyDescent="0.25">
      <c r="A13" s="515" t="s">
        <v>185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1:12" s="32" customFormat="1" ht="15.75" x14ac:dyDescent="0.25">
      <c r="A14" s="515" t="s">
        <v>186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1:12" s="32" customFormat="1" ht="15.75" hidden="1" x14ac:dyDescent="0.25">
      <c r="A15" s="516" t="s">
        <v>60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</row>
    <row r="16" spans="1:12" s="32" customFormat="1" ht="15.75" hidden="1" x14ac:dyDescent="0.2">
      <c r="A16" s="549" t="s">
        <v>61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49"/>
      <c r="L16" s="549"/>
    </row>
    <row r="17" spans="1:22" s="32" customFormat="1" ht="15.75" hidden="1" x14ac:dyDescent="0.2">
      <c r="A17" s="549" t="s">
        <v>62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</row>
    <row r="18" spans="1:22" s="32" customFormat="1" ht="14.25" x14ac:dyDescent="0.2">
      <c r="A18" s="33" t="s">
        <v>63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22" ht="16.5" x14ac:dyDescent="0.25">
      <c r="A19" s="514" t="str">
        <f>CONCATENATE("Раздел: ",IF([85]Source!G134&lt;&gt;"Новый раздел", [85]Source!G134, ""))</f>
        <v>Раздел: Хозяйственно-питьевой, производственный и противопожарный водопровод (В1)</v>
      </c>
      <c r="B19" s="514"/>
      <c r="C19" s="514"/>
      <c r="D19" s="514"/>
      <c r="E19" s="514"/>
      <c r="F19" s="514"/>
      <c r="G19" s="514"/>
      <c r="H19" s="514"/>
      <c r="I19" s="514"/>
      <c r="J19" s="514"/>
      <c r="K19" s="514"/>
      <c r="L19" s="514"/>
    </row>
    <row r="20" spans="1:22" ht="42.75" x14ac:dyDescent="0.2">
      <c r="A20" s="4">
        <v>1</v>
      </c>
      <c r="B20" s="4" t="str">
        <f>[85]Source!E236</f>
        <v>72</v>
      </c>
      <c r="C20" s="5" t="str">
        <f>[85]Source!F236</f>
        <v>3.16-9-6</v>
      </c>
      <c r="D20" s="5" t="s">
        <v>126</v>
      </c>
      <c r="E20" s="6" t="str">
        <f>[85]Source!H236</f>
        <v>100 м трубопровода</v>
      </c>
      <c r="F20" s="2">
        <f>[85]Source!I236</f>
        <v>0.66</v>
      </c>
      <c r="G20" s="7"/>
      <c r="H20" s="8"/>
      <c r="I20" s="2"/>
      <c r="J20" s="25"/>
      <c r="K20" s="2"/>
      <c r="L20" s="25"/>
      <c r="Q20">
        <f>[85]Source!X236</f>
        <v>1885.09</v>
      </c>
      <c r="R20">
        <f>[85]Source!X237</f>
        <v>36103.199999999997</v>
      </c>
      <c r="S20">
        <f>[85]Source!Y236</f>
        <v>1417.59</v>
      </c>
      <c r="T20">
        <f>[85]Source!Y237</f>
        <v>16246.44</v>
      </c>
      <c r="U20">
        <f>ROUND((175/100)*ROUND([85]Source!R236, 2), 2)</f>
        <v>111.25</v>
      </c>
      <c r="V20">
        <f>ROUND((157/100)*ROUND([85]Source!R237, 2), 2)</f>
        <v>2389.34</v>
      </c>
    </row>
    <row r="21" spans="1:22" ht="14.25" x14ac:dyDescent="0.2">
      <c r="A21" s="4"/>
      <c r="B21" s="4"/>
      <c r="C21" s="5"/>
      <c r="D21" s="5" t="s">
        <v>20</v>
      </c>
      <c r="E21" s="6"/>
      <c r="F21" s="2"/>
      <c r="G21" s="7">
        <f>[85]Source!AO236</f>
        <v>1282.32</v>
      </c>
      <c r="H21" s="8" t="str">
        <f>[85]Source!DG236</f>
        <v>*1,67</v>
      </c>
      <c r="I21" s="2">
        <f>[85]Source!AV237</f>
        <v>1.0669999999999999</v>
      </c>
      <c r="J21" s="25">
        <f>[85]Source!S236</f>
        <v>1508.07</v>
      </c>
      <c r="K21" s="2">
        <f>IF([85]Source!BA237&lt;&gt; 0, [85]Source!BA237, 1)</f>
        <v>23.94</v>
      </c>
      <c r="L21" s="25">
        <f>[85]Source!S237</f>
        <v>36103.199999999997</v>
      </c>
    </row>
    <row r="22" spans="1:22" ht="14.25" x14ac:dyDescent="0.2">
      <c r="A22" s="4"/>
      <c r="B22" s="4"/>
      <c r="C22" s="5"/>
      <c r="D22" s="5" t="s">
        <v>21</v>
      </c>
      <c r="E22" s="6"/>
      <c r="F22" s="2"/>
      <c r="G22" s="7">
        <f>[85]Source!AM236</f>
        <v>326.27</v>
      </c>
      <c r="H22" s="8" t="str">
        <f>[85]Source!DE236</f>
        <v/>
      </c>
      <c r="I22" s="2">
        <f>[85]Source!AV237</f>
        <v>1.0669999999999999</v>
      </c>
      <c r="J22" s="25">
        <f>[85]Source!Q236-J32</f>
        <v>229.77</v>
      </c>
      <c r="K22" s="2">
        <f>IF([85]Source!BB237&lt;&gt; 0, [85]Source!BB237, 1)</f>
        <v>8.43</v>
      </c>
      <c r="L22" s="25">
        <f>[85]Source!Q237-L32</f>
        <v>1936.91</v>
      </c>
    </row>
    <row r="23" spans="1:22" ht="14.25" x14ac:dyDescent="0.2">
      <c r="A23" s="4"/>
      <c r="B23" s="4"/>
      <c r="C23" s="5"/>
      <c r="D23" s="5" t="s">
        <v>22</v>
      </c>
      <c r="E23" s="6"/>
      <c r="F23" s="2"/>
      <c r="G23" s="7">
        <f>[85]Source!AN236</f>
        <v>54.05</v>
      </c>
      <c r="H23" s="8" t="str">
        <f>[85]Source!DE236</f>
        <v/>
      </c>
      <c r="I23" s="2">
        <f>[85]Source!AV237</f>
        <v>1.0669999999999999</v>
      </c>
      <c r="J23" s="10">
        <f>[85]Source!R236-J33</f>
        <v>38.07</v>
      </c>
      <c r="K23" s="2">
        <f>IF([85]Source!BS237&lt;&gt; 0, [85]Source!BS237, 1)</f>
        <v>23.94</v>
      </c>
      <c r="L23" s="10">
        <f>[85]Source!R237-L33</f>
        <v>911.35</v>
      </c>
    </row>
    <row r="24" spans="1:22" ht="14.25" x14ac:dyDescent="0.2">
      <c r="A24" s="4"/>
      <c r="B24" s="4"/>
      <c r="C24" s="5"/>
      <c r="D24" s="5" t="s">
        <v>23</v>
      </c>
      <c r="E24" s="6"/>
      <c r="F24" s="2"/>
      <c r="G24" s="7">
        <f>[85]Source!AL236</f>
        <v>117.18</v>
      </c>
      <c r="H24" s="8" t="str">
        <f>[85]Source!DD236</f>
        <v/>
      </c>
      <c r="I24" s="2">
        <f>[85]Source!AW237</f>
        <v>1</v>
      </c>
      <c r="J24" s="25">
        <f>[85]Source!P236</f>
        <v>77.34</v>
      </c>
      <c r="K24" s="2">
        <f>IF([85]Source!BC237&lt;&gt; 0, [85]Source!BC237, 1)</f>
        <v>5.54</v>
      </c>
      <c r="L24" s="25">
        <f>[85]Source!P237</f>
        <v>428.46</v>
      </c>
    </row>
    <row r="25" spans="1:22" ht="71.25" x14ac:dyDescent="0.2">
      <c r="A25" s="4">
        <v>2</v>
      </c>
      <c r="B25" s="4" t="str">
        <f>[85]Source!E238</f>
        <v>72,1</v>
      </c>
      <c r="C25" s="5" t="str">
        <f>[85]Source!F238</f>
        <v>1.12-7-154</v>
      </c>
      <c r="D25" s="5" t="s">
        <v>127</v>
      </c>
      <c r="E25" s="6" t="str">
        <f>[85]Source!H238</f>
        <v>м</v>
      </c>
      <c r="F25" s="2">
        <f>[85]Source!I238</f>
        <v>66</v>
      </c>
      <c r="G25" s="7">
        <f>[85]Source!AK238</f>
        <v>1565.36</v>
      </c>
      <c r="H25" s="36" t="s">
        <v>90</v>
      </c>
      <c r="I25" s="2">
        <f>[85]Source!AW239</f>
        <v>1</v>
      </c>
      <c r="J25" s="25">
        <f>[85]Source!O238</f>
        <v>103313.76</v>
      </c>
      <c r="K25" s="2">
        <f>IF([85]Source!BC239&lt;&gt; 0, [85]Source!BC239, 1)</f>
        <v>4.93</v>
      </c>
      <c r="L25" s="25">
        <f>[85]Source!O239</f>
        <v>509336.84</v>
      </c>
      <c r="Q25">
        <f>[85]Source!X238</f>
        <v>0</v>
      </c>
      <c r="R25">
        <f>[85]Source!X239</f>
        <v>0</v>
      </c>
      <c r="S25">
        <f>[85]Source!Y238</f>
        <v>0</v>
      </c>
      <c r="T25">
        <f>[85]Source!Y239</f>
        <v>0</v>
      </c>
      <c r="U25">
        <f>ROUND((175/100)*ROUND([85]Source!R238, 2), 2)</f>
        <v>0</v>
      </c>
      <c r="V25">
        <f>ROUND((157/100)*ROUND([85]Source!R239, 2), 2)</f>
        <v>0</v>
      </c>
    </row>
    <row r="26" spans="1:22" ht="14.25" x14ac:dyDescent="0.2">
      <c r="A26" s="4"/>
      <c r="B26" s="4"/>
      <c r="C26" s="5"/>
      <c r="D26" s="5" t="s">
        <v>24</v>
      </c>
      <c r="E26" s="6" t="s">
        <v>25</v>
      </c>
      <c r="F26" s="2">
        <f>[85]Source!DN237</f>
        <v>125</v>
      </c>
      <c r="G26" s="7"/>
      <c r="H26" s="8"/>
      <c r="I26" s="2"/>
      <c r="J26" s="25">
        <f>SUM(Q20:Q25)</f>
        <v>1885.09</v>
      </c>
      <c r="K26" s="2">
        <f>[85]Source!BZ237</f>
        <v>100</v>
      </c>
      <c r="L26" s="25">
        <f>SUM(R20:R25)</f>
        <v>36103.199999999997</v>
      </c>
    </row>
    <row r="27" spans="1:22" ht="14.25" x14ac:dyDescent="0.2">
      <c r="A27" s="4"/>
      <c r="B27" s="4"/>
      <c r="C27" s="5"/>
      <c r="D27" s="5" t="s">
        <v>26</v>
      </c>
      <c r="E27" s="6" t="s">
        <v>25</v>
      </c>
      <c r="F27" s="2">
        <f>[85]Source!DO237</f>
        <v>94</v>
      </c>
      <c r="G27" s="7"/>
      <c r="H27" s="8"/>
      <c r="I27" s="2"/>
      <c r="J27" s="25">
        <f>SUM(S20:S26)</f>
        <v>1417.59</v>
      </c>
      <c r="K27" s="2">
        <f>[85]Source!CA237</f>
        <v>45</v>
      </c>
      <c r="L27" s="25">
        <f>SUM(T20:T26)</f>
        <v>16246.44</v>
      </c>
    </row>
    <row r="28" spans="1:22" ht="14.25" x14ac:dyDescent="0.2">
      <c r="A28" s="4"/>
      <c r="B28" s="4"/>
      <c r="C28" s="5"/>
      <c r="D28" s="5" t="s">
        <v>27</v>
      </c>
      <c r="E28" s="6" t="s">
        <v>25</v>
      </c>
      <c r="F28" s="2">
        <f>175</f>
        <v>175</v>
      </c>
      <c r="G28" s="7"/>
      <c r="H28" s="8"/>
      <c r="I28" s="2"/>
      <c r="J28" s="25">
        <f>SUM(U20:U27)-J34</f>
        <v>66.62</v>
      </c>
      <c r="K28" s="2">
        <f>157</f>
        <v>157</v>
      </c>
      <c r="L28" s="25">
        <f>SUM(V20:V27)-L34</f>
        <v>1430.82</v>
      </c>
    </row>
    <row r="29" spans="1:22" ht="14.25" x14ac:dyDescent="0.2">
      <c r="A29" s="4"/>
      <c r="B29" s="4"/>
      <c r="C29" s="5"/>
      <c r="D29" s="5" t="s">
        <v>28</v>
      </c>
      <c r="E29" s="6" t="s">
        <v>29</v>
      </c>
      <c r="F29" s="2">
        <f>[85]Source!AQ236</f>
        <v>104</v>
      </c>
      <c r="G29" s="7"/>
      <c r="H29" s="8" t="str">
        <f>[85]Source!DI236</f>
        <v/>
      </c>
      <c r="I29" s="2">
        <f>[85]Source!AV237</f>
        <v>1.0669999999999999</v>
      </c>
      <c r="J29" s="25">
        <f>[85]Source!U236</f>
        <v>73.239999999999995</v>
      </c>
      <c r="K29" s="2"/>
      <c r="L29" s="25"/>
    </row>
    <row r="30" spans="1:22" ht="15" x14ac:dyDescent="0.25">
      <c r="I30" s="525">
        <f>J21+J22+J24+J26+J27+J28+SUM(J25:J25)</f>
        <v>108498.24000000001</v>
      </c>
      <c r="J30" s="525"/>
      <c r="K30" s="525">
        <f>L21+L22+L24+L26+L27+L28+SUM(L25:L25)</f>
        <v>601585.87</v>
      </c>
      <c r="L30" s="525"/>
      <c r="O30" s="11">
        <f>J21+J22+J24+J26+J27+J28+SUM(J25:J25)</f>
        <v>108498.24000000001</v>
      </c>
      <c r="P30" s="11">
        <f>L21+L22+L24+L26+L27+L28+SUM(L25:L25)</f>
        <v>601585.87</v>
      </c>
    </row>
    <row r="31" spans="1:22" ht="28.5" x14ac:dyDescent="0.2">
      <c r="A31" s="12"/>
      <c r="B31" s="12"/>
      <c r="C31" s="13"/>
      <c r="D31" s="13" t="s">
        <v>30</v>
      </c>
      <c r="E31" s="6"/>
      <c r="F31" s="14"/>
      <c r="G31" s="15"/>
      <c r="H31" s="6"/>
      <c r="I31" s="14"/>
      <c r="J31" s="10"/>
      <c r="K31" s="14"/>
      <c r="L31" s="10"/>
    </row>
    <row r="32" spans="1:22" ht="14.25" x14ac:dyDescent="0.2">
      <c r="A32" s="12"/>
      <c r="B32" s="12"/>
      <c r="C32" s="13"/>
      <c r="D32" s="13" t="s">
        <v>21</v>
      </c>
      <c r="E32" s="6"/>
      <c r="F32" s="14"/>
      <c r="G32" s="15">
        <f t="shared" ref="G32:L32" si="0">G33</f>
        <v>54.05</v>
      </c>
      <c r="H32" s="16" t="str">
        <f t="shared" si="0"/>
        <v>)*(1.67-1)</v>
      </c>
      <c r="I32" s="14">
        <f t="shared" si="0"/>
        <v>1.0669999999999999</v>
      </c>
      <c r="J32" s="10">
        <f t="shared" si="0"/>
        <v>25.5</v>
      </c>
      <c r="K32" s="14">
        <f t="shared" si="0"/>
        <v>23.94</v>
      </c>
      <c r="L32" s="10">
        <f t="shared" si="0"/>
        <v>610.52</v>
      </c>
    </row>
    <row r="33" spans="1:22" ht="14.25" x14ac:dyDescent="0.2">
      <c r="A33" s="12"/>
      <c r="B33" s="12"/>
      <c r="C33" s="13"/>
      <c r="D33" s="13" t="s">
        <v>22</v>
      </c>
      <c r="E33" s="6"/>
      <c r="F33" s="14"/>
      <c r="G33" s="15">
        <f>[85]Source!AN236</f>
        <v>54.05</v>
      </c>
      <c r="H33" s="16" t="s">
        <v>31</v>
      </c>
      <c r="I33" s="14">
        <f>[85]Source!AV237</f>
        <v>1.0669999999999999</v>
      </c>
      <c r="J33" s="10">
        <f>ROUND(F20*G33*I33*(1.67-1), 2)</f>
        <v>25.5</v>
      </c>
      <c r="K33" s="14">
        <f>IF([85]Source!BS237&lt;&gt; 0, [85]Source!BS237, 1)</f>
        <v>23.94</v>
      </c>
      <c r="L33" s="10">
        <f>ROUND(F20*G33*I33*(1.67-1)*K33, 2)</f>
        <v>610.52</v>
      </c>
    </row>
    <row r="34" spans="1:22" ht="14.25" x14ac:dyDescent="0.2">
      <c r="A34" s="12"/>
      <c r="B34" s="12"/>
      <c r="C34" s="13"/>
      <c r="D34" s="13" t="s">
        <v>27</v>
      </c>
      <c r="E34" s="6" t="s">
        <v>25</v>
      </c>
      <c r="F34" s="14">
        <f>175</f>
        <v>175</v>
      </c>
      <c r="G34" s="15"/>
      <c r="H34" s="6"/>
      <c r="I34" s="14"/>
      <c r="J34" s="10">
        <f>ROUND(J33*(F34/100), 2)</f>
        <v>44.63</v>
      </c>
      <c r="K34" s="14">
        <f>157</f>
        <v>157</v>
      </c>
      <c r="L34" s="10">
        <f>ROUND(L33*(K34/100), 2)</f>
        <v>958.52</v>
      </c>
    </row>
    <row r="35" spans="1:22" ht="15" x14ac:dyDescent="0.25">
      <c r="I35" s="525">
        <f>J34+J33</f>
        <v>70.13</v>
      </c>
      <c r="J35" s="525"/>
      <c r="K35" s="525">
        <f>L34+L33</f>
        <v>1569.04</v>
      </c>
      <c r="L35" s="525"/>
      <c r="O35" s="11">
        <f>I35</f>
        <v>70.13</v>
      </c>
      <c r="P35" s="11">
        <f>K35</f>
        <v>1569.04</v>
      </c>
    </row>
    <row r="37" spans="1:22" ht="15" x14ac:dyDescent="0.25">
      <c r="A37" s="37"/>
      <c r="B37" s="37"/>
      <c r="C37" s="38"/>
      <c r="D37" s="38" t="s">
        <v>32</v>
      </c>
      <c r="E37" s="39"/>
      <c r="F37" s="40"/>
      <c r="G37" s="41"/>
      <c r="H37" s="42"/>
      <c r="I37" s="524">
        <f>I30+I35</f>
        <v>108568.37</v>
      </c>
      <c r="J37" s="524"/>
      <c r="K37" s="524">
        <f>K30+K35</f>
        <v>603154.91</v>
      </c>
      <c r="L37" s="524"/>
    </row>
    <row r="38" spans="1:22" ht="57" x14ac:dyDescent="0.2">
      <c r="A38" s="4">
        <v>3</v>
      </c>
      <c r="B38" s="4" t="str">
        <f>[85]Source!E364</f>
        <v>126</v>
      </c>
      <c r="C38" s="5" t="str">
        <f>[85]Source!F364</f>
        <v>3.13-11-6</v>
      </c>
      <c r="D38" s="5" t="s">
        <v>128</v>
      </c>
      <c r="E38" s="6" t="str">
        <f>[85]Source!H364</f>
        <v>100 м2</v>
      </c>
      <c r="F38" s="2">
        <f>[85]Source!I364</f>
        <v>0.04</v>
      </c>
      <c r="G38" s="7"/>
      <c r="H38" s="8"/>
      <c r="I38" s="2"/>
      <c r="J38" s="25"/>
      <c r="K38" s="2"/>
      <c r="L38" s="25"/>
      <c r="Q38">
        <f>[85]Source!X364</f>
        <v>4.4400000000000004</v>
      </c>
      <c r="R38">
        <f>[85]Source!X365</f>
        <v>86.08</v>
      </c>
      <c r="S38">
        <f>[85]Source!Y364</f>
        <v>3.26</v>
      </c>
      <c r="T38">
        <f>[85]Source!Y365</f>
        <v>41.52</v>
      </c>
      <c r="U38">
        <f>ROUND((175/100)*ROUND([85]Source!R364, 2), 2)</f>
        <v>0.54</v>
      </c>
      <c r="V38">
        <f>ROUND((157/100)*ROUND([85]Source!R365, 2), 2)</f>
        <v>11.65</v>
      </c>
    </row>
    <row r="39" spans="1:22" ht="14.25" x14ac:dyDescent="0.2">
      <c r="A39" s="4"/>
      <c r="B39" s="4"/>
      <c r="C39" s="5"/>
      <c r="D39" s="5" t="s">
        <v>20</v>
      </c>
      <c r="E39" s="6"/>
      <c r="F39" s="2"/>
      <c r="G39" s="7">
        <f>[85]Source!AO364</f>
        <v>30.23</v>
      </c>
      <c r="H39" s="8" t="str">
        <f>[85]Source!DG364</f>
        <v>)*2)*1,67)</v>
      </c>
      <c r="I39" s="2">
        <f>[85]Source!AV365</f>
        <v>1.0469999999999999</v>
      </c>
      <c r="J39" s="25">
        <f>[85]Source!S364</f>
        <v>4.2300000000000004</v>
      </c>
      <c r="K39" s="2">
        <f>IF([85]Source!BA365&lt;&gt; 0, [85]Source!BA365, 1)</f>
        <v>23.94</v>
      </c>
      <c r="L39" s="25">
        <f>[85]Source!S365</f>
        <v>101.27</v>
      </c>
    </row>
    <row r="40" spans="1:22" ht="14.25" x14ac:dyDescent="0.2">
      <c r="A40" s="4"/>
      <c r="B40" s="4"/>
      <c r="C40" s="5"/>
      <c r="D40" s="5" t="s">
        <v>21</v>
      </c>
      <c r="E40" s="6"/>
      <c r="F40" s="2"/>
      <c r="G40" s="7">
        <f>[85]Source!AM364</f>
        <v>22.38</v>
      </c>
      <c r="H40" s="8" t="str">
        <f>[85]Source!DE364</f>
        <v>)*2</v>
      </c>
      <c r="I40" s="2">
        <f>[85]Source!AV365</f>
        <v>1.0469999999999999</v>
      </c>
      <c r="J40" s="25">
        <f>[85]Source!Q364-J50</f>
        <v>1.87</v>
      </c>
      <c r="K40" s="2">
        <f>IF([85]Source!BB365&lt;&gt; 0, [85]Source!BB365, 1)</f>
        <v>6.27</v>
      </c>
      <c r="L40" s="25">
        <f>[85]Source!Q365-L50</f>
        <v>11.61</v>
      </c>
    </row>
    <row r="41" spans="1:22" ht="14.25" x14ac:dyDescent="0.2">
      <c r="A41" s="4"/>
      <c r="B41" s="4"/>
      <c r="C41" s="5"/>
      <c r="D41" s="5" t="s">
        <v>22</v>
      </c>
      <c r="E41" s="6"/>
      <c r="F41" s="2"/>
      <c r="G41" s="7">
        <f>[85]Source!AN364</f>
        <v>2.2200000000000002</v>
      </c>
      <c r="H41" s="8" t="str">
        <f>[85]Source!DE364</f>
        <v>)*2</v>
      </c>
      <c r="I41" s="2">
        <f>[85]Source!AV365</f>
        <v>1.0469999999999999</v>
      </c>
      <c r="J41" s="10">
        <f>[85]Source!R364-J51</f>
        <v>0.19</v>
      </c>
      <c r="K41" s="2">
        <f>IF([85]Source!BS365&lt;&gt; 0, [85]Source!BS365, 1)</f>
        <v>23.94</v>
      </c>
      <c r="L41" s="10">
        <f>[85]Source!R365-L51</f>
        <v>4.4400000000000004</v>
      </c>
    </row>
    <row r="42" spans="1:22" ht="14.25" x14ac:dyDescent="0.2">
      <c r="A42" s="4"/>
      <c r="B42" s="4"/>
      <c r="C42" s="5"/>
      <c r="D42" s="5" t="s">
        <v>23</v>
      </c>
      <c r="E42" s="6"/>
      <c r="F42" s="2"/>
      <c r="G42" s="7">
        <f>[85]Source!AL364</f>
        <v>20.16</v>
      </c>
      <c r="H42" s="8" t="str">
        <f>[85]Source!DD364</f>
        <v>*2</v>
      </c>
      <c r="I42" s="2">
        <f>[85]Source!AW365</f>
        <v>1</v>
      </c>
      <c r="J42" s="25">
        <f>[85]Source!P364</f>
        <v>1.61</v>
      </c>
      <c r="K42" s="2">
        <f>IF([85]Source!BC365&lt;&gt; 0, [85]Source!BC365, 1)</f>
        <v>8.16</v>
      </c>
      <c r="L42" s="25">
        <f>[85]Source!P365</f>
        <v>13.14</v>
      </c>
    </row>
    <row r="43" spans="1:22" ht="57" x14ac:dyDescent="0.2">
      <c r="A43" s="4">
        <v>4</v>
      </c>
      <c r="B43" s="4" t="str">
        <f>[85]Source!E366</f>
        <v>126,1</v>
      </c>
      <c r="C43" s="5" t="str">
        <f>[85]Source!F366</f>
        <v>1.1-1-413</v>
      </c>
      <c r="D43" s="5" t="s">
        <v>114</v>
      </c>
      <c r="E43" s="6" t="str">
        <f>[85]Source!H366</f>
        <v>кг</v>
      </c>
      <c r="F43" s="2">
        <f>[85]Source!I366</f>
        <v>1.44</v>
      </c>
      <c r="G43" s="7">
        <f>[85]Source!AK366</f>
        <v>47.9</v>
      </c>
      <c r="H43" s="36" t="s">
        <v>129</v>
      </c>
      <c r="I43" s="2">
        <f>[85]Source!AW367</f>
        <v>1</v>
      </c>
      <c r="J43" s="25">
        <f>[85]Source!O366</f>
        <v>68.98</v>
      </c>
      <c r="K43" s="2">
        <f>IF([85]Source!BC367&lt;&gt; 0, [85]Source!BC367, 1)</f>
        <v>2.64</v>
      </c>
      <c r="L43" s="25">
        <f>[85]Source!O367</f>
        <v>182.11</v>
      </c>
      <c r="Q43">
        <f>[85]Source!X366</f>
        <v>0</v>
      </c>
      <c r="R43">
        <f>[85]Source!X367</f>
        <v>0</v>
      </c>
      <c r="S43">
        <f>[85]Source!Y366</f>
        <v>0</v>
      </c>
      <c r="T43">
        <f>[85]Source!Y367</f>
        <v>0</v>
      </c>
      <c r="U43">
        <f>ROUND((175/100)*ROUND([85]Source!R366, 2), 2)</f>
        <v>0</v>
      </c>
      <c r="V43">
        <f>ROUND((157/100)*ROUND([85]Source!R367, 2), 2)</f>
        <v>0</v>
      </c>
    </row>
    <row r="44" spans="1:22" ht="14.25" x14ac:dyDescent="0.2">
      <c r="A44" s="4"/>
      <c r="B44" s="4"/>
      <c r="C44" s="5"/>
      <c r="D44" s="5" t="s">
        <v>24</v>
      </c>
      <c r="E44" s="6" t="s">
        <v>25</v>
      </c>
      <c r="F44" s="2">
        <f>[85]Source!DN365</f>
        <v>105</v>
      </c>
      <c r="G44" s="7"/>
      <c r="H44" s="8"/>
      <c r="I44" s="2"/>
      <c r="J44" s="25">
        <f>SUM(Q38:Q43)</f>
        <v>4.4400000000000004</v>
      </c>
      <c r="K44" s="2">
        <f>[85]Source!BZ365</f>
        <v>85</v>
      </c>
      <c r="L44" s="25">
        <f>SUM(R38:R43)</f>
        <v>86.08</v>
      </c>
    </row>
    <row r="45" spans="1:22" ht="14.25" x14ac:dyDescent="0.2">
      <c r="A45" s="4"/>
      <c r="B45" s="4"/>
      <c r="C45" s="5"/>
      <c r="D45" s="5" t="s">
        <v>26</v>
      </c>
      <c r="E45" s="6" t="s">
        <v>25</v>
      </c>
      <c r="F45" s="2">
        <f>[85]Source!DO365</f>
        <v>77</v>
      </c>
      <c r="G45" s="7"/>
      <c r="H45" s="8"/>
      <c r="I45" s="2"/>
      <c r="J45" s="25">
        <f>SUM(S38:S44)</f>
        <v>3.26</v>
      </c>
      <c r="K45" s="2">
        <f>[85]Source!CA365</f>
        <v>41</v>
      </c>
      <c r="L45" s="25">
        <f>SUM(T38:T44)</f>
        <v>41.52</v>
      </c>
    </row>
    <row r="46" spans="1:22" ht="14.25" x14ac:dyDescent="0.2">
      <c r="A46" s="4"/>
      <c r="B46" s="4"/>
      <c r="C46" s="5"/>
      <c r="D46" s="5" t="s">
        <v>27</v>
      </c>
      <c r="E46" s="6" t="s">
        <v>25</v>
      </c>
      <c r="F46" s="2">
        <f>175</f>
        <v>175</v>
      </c>
      <c r="G46" s="7"/>
      <c r="H46" s="8"/>
      <c r="I46" s="2"/>
      <c r="J46" s="25">
        <f>SUM(U38:U45)-J52</f>
        <v>0.33</v>
      </c>
      <c r="K46" s="2">
        <f>157</f>
        <v>157</v>
      </c>
      <c r="L46" s="25">
        <f>SUM(V38:V45)-L52</f>
        <v>6.97</v>
      </c>
    </row>
    <row r="47" spans="1:22" ht="14.25" x14ac:dyDescent="0.2">
      <c r="A47" s="4"/>
      <c r="B47" s="4"/>
      <c r="C47" s="5"/>
      <c r="D47" s="5" t="s">
        <v>28</v>
      </c>
      <c r="E47" s="6" t="s">
        <v>29</v>
      </c>
      <c r="F47" s="2">
        <f>[85]Source!AQ364</f>
        <v>2.54</v>
      </c>
      <c r="G47" s="7"/>
      <c r="H47" s="8" t="str">
        <f>[85]Source!DI364</f>
        <v>)*2)</v>
      </c>
      <c r="I47" s="2">
        <f>[85]Source!AV365</f>
        <v>1.0469999999999999</v>
      </c>
      <c r="J47" s="25">
        <f>[85]Source!U364</f>
        <v>0.21</v>
      </c>
      <c r="K47" s="2"/>
      <c r="L47" s="25"/>
    </row>
    <row r="48" spans="1:22" ht="15" x14ac:dyDescent="0.25">
      <c r="I48" s="525">
        <f>J39+J40+J42+J44+J45+J46+SUM(J43:J43)</f>
        <v>84.72</v>
      </c>
      <c r="J48" s="525"/>
      <c r="K48" s="525">
        <f>L39+L40+L42+L44+L45+L46+SUM(L43:L43)</f>
        <v>442.7</v>
      </c>
      <c r="L48" s="525"/>
      <c r="O48" s="11">
        <f>J39+J40+J42+J44+J45+J46+SUM(J43:J43)</f>
        <v>84.72</v>
      </c>
      <c r="P48" s="11">
        <f>L39+L40+L42+L44+L45+L46+SUM(L43:L43)</f>
        <v>442.7</v>
      </c>
    </row>
    <row r="49" spans="1:32" ht="28.5" x14ac:dyDescent="0.2">
      <c r="A49" s="12"/>
      <c r="B49" s="12"/>
      <c r="C49" s="13"/>
      <c r="D49" s="13" t="s">
        <v>30</v>
      </c>
      <c r="E49" s="6"/>
      <c r="F49" s="14"/>
      <c r="G49" s="15"/>
      <c r="H49" s="6"/>
      <c r="I49" s="14"/>
      <c r="J49" s="10"/>
      <c r="K49" s="14"/>
      <c r="L49" s="10"/>
    </row>
    <row r="50" spans="1:32" ht="14.25" x14ac:dyDescent="0.2">
      <c r="A50" s="12"/>
      <c r="B50" s="12"/>
      <c r="C50" s="13"/>
      <c r="D50" s="13" t="s">
        <v>21</v>
      </c>
      <c r="E50" s="6"/>
      <c r="F50" s="14"/>
      <c r="G50" s="15">
        <f t="shared" ref="G50:L50" si="1">G51</f>
        <v>2.2200000000000002</v>
      </c>
      <c r="H50" s="16" t="str">
        <f t="shared" si="1"/>
        <v>)*(1.67-1)*2</v>
      </c>
      <c r="I50" s="14">
        <f t="shared" si="1"/>
        <v>1.0469999999999999</v>
      </c>
      <c r="J50" s="10">
        <f t="shared" si="1"/>
        <v>0.12</v>
      </c>
      <c r="K50" s="14">
        <f t="shared" si="1"/>
        <v>23.94</v>
      </c>
      <c r="L50" s="10">
        <f t="shared" si="1"/>
        <v>2.98</v>
      </c>
    </row>
    <row r="51" spans="1:32" ht="14.25" x14ac:dyDescent="0.2">
      <c r="A51" s="12"/>
      <c r="B51" s="12"/>
      <c r="C51" s="13"/>
      <c r="D51" s="13" t="s">
        <v>22</v>
      </c>
      <c r="E51" s="6"/>
      <c r="F51" s="14"/>
      <c r="G51" s="15">
        <f>[85]Source!AN364</f>
        <v>2.2200000000000002</v>
      </c>
      <c r="H51" s="16" t="s">
        <v>115</v>
      </c>
      <c r="I51" s="14">
        <f>[85]Source!AV365</f>
        <v>1.0469999999999999</v>
      </c>
      <c r="J51" s="10">
        <f>ROUND(F38*G51*I51*(1.67-1)*2, 2)</f>
        <v>0.12</v>
      </c>
      <c r="K51" s="14">
        <f>IF([85]Source!BS365&lt;&gt; 0, [85]Source!BS365, 1)</f>
        <v>23.94</v>
      </c>
      <c r="L51" s="10">
        <f>ROUND(F38*G51*I51*(1.67-1)*2*K51, 2)</f>
        <v>2.98</v>
      </c>
    </row>
    <row r="52" spans="1:32" ht="14.25" x14ac:dyDescent="0.2">
      <c r="A52" s="12"/>
      <c r="B52" s="12"/>
      <c r="C52" s="13"/>
      <c r="D52" s="13" t="s">
        <v>27</v>
      </c>
      <c r="E52" s="6" t="s">
        <v>25</v>
      </c>
      <c r="F52" s="14">
        <f>175</f>
        <v>175</v>
      </c>
      <c r="G52" s="15"/>
      <c r="H52" s="6"/>
      <c r="I52" s="14"/>
      <c r="J52" s="10">
        <f>ROUND(J51*(F52/100), 2)</f>
        <v>0.21</v>
      </c>
      <c r="K52" s="14">
        <f>157</f>
        <v>157</v>
      </c>
      <c r="L52" s="10">
        <f>ROUND(L51*(K52/100), 2)</f>
        <v>4.68</v>
      </c>
    </row>
    <row r="53" spans="1:32" ht="15" x14ac:dyDescent="0.25">
      <c r="I53" s="525">
        <f>J52+J51</f>
        <v>0.33</v>
      </c>
      <c r="J53" s="525"/>
      <c r="K53" s="525">
        <f>L52+L51</f>
        <v>7.66</v>
      </c>
      <c r="L53" s="525"/>
      <c r="O53" s="11">
        <f>I53</f>
        <v>0.33</v>
      </c>
      <c r="P53" s="11">
        <f>K53</f>
        <v>7.66</v>
      </c>
    </row>
    <row r="55" spans="1:32" ht="15" x14ac:dyDescent="0.25">
      <c r="A55" s="37"/>
      <c r="B55" s="37"/>
      <c r="C55" s="38"/>
      <c r="D55" s="38" t="s">
        <v>32</v>
      </c>
      <c r="E55" s="39"/>
      <c r="F55" s="40"/>
      <c r="G55" s="41"/>
      <c r="H55" s="42"/>
      <c r="I55" s="524">
        <f>I48+I53</f>
        <v>85.05</v>
      </c>
      <c r="J55" s="524"/>
      <c r="K55" s="524">
        <f>K48+K53</f>
        <v>450.36</v>
      </c>
      <c r="L55" s="524"/>
    </row>
    <row r="56" spans="1:32" ht="99.75" x14ac:dyDescent="0.2">
      <c r="A56" s="4">
        <v>5</v>
      </c>
      <c r="B56" s="4" t="str">
        <f>[85]Source!E368</f>
        <v>127</v>
      </c>
      <c r="C56" s="5" t="str">
        <f>[85]Source!F368</f>
        <v>1.7-5-155</v>
      </c>
      <c r="D56" s="5" t="s">
        <v>130</v>
      </c>
      <c r="E56" s="6" t="str">
        <f>[85]Source!H368</f>
        <v>шт.</v>
      </c>
      <c r="F56" s="2">
        <f>[85]Source!I368</f>
        <v>36</v>
      </c>
      <c r="G56" s="7">
        <f>[85]Source!AL368</f>
        <v>25.33</v>
      </c>
      <c r="H56" s="8" t="str">
        <f>[85]Source!DD368</f>
        <v/>
      </c>
      <c r="I56" s="2">
        <f>[85]Source!AW369</f>
        <v>1</v>
      </c>
      <c r="J56" s="25">
        <f>[85]Source!P368</f>
        <v>911.88</v>
      </c>
      <c r="K56" s="2">
        <f>IF([85]Source!BC369&lt;&gt; 0, [85]Source!BC369, 1)</f>
        <v>5.0999999999999996</v>
      </c>
      <c r="L56" s="25">
        <f>[85]Source!P369</f>
        <v>4650.59</v>
      </c>
      <c r="Q56">
        <f>[85]Source!X368</f>
        <v>0</v>
      </c>
      <c r="R56">
        <f>[85]Source!X369</f>
        <v>0</v>
      </c>
      <c r="S56">
        <f>[85]Source!Y368</f>
        <v>0</v>
      </c>
      <c r="T56">
        <f>[85]Source!Y369</f>
        <v>0</v>
      </c>
      <c r="U56">
        <f>ROUND((175/100)*ROUND([85]Source!R368, 2), 2)</f>
        <v>0</v>
      </c>
      <c r="V56">
        <f>ROUND((157/100)*ROUND([85]Source!R369, 2), 2)</f>
        <v>0</v>
      </c>
    </row>
    <row r="57" spans="1:32" ht="15" x14ac:dyDescent="0.25">
      <c r="A57" s="35"/>
      <c r="B57" s="35"/>
      <c r="C57" s="35"/>
      <c r="D57" s="35"/>
      <c r="E57" s="35"/>
      <c r="F57" s="35"/>
      <c r="G57" s="35"/>
      <c r="H57" s="35"/>
      <c r="I57" s="524">
        <f>J56</f>
        <v>911.88</v>
      </c>
      <c r="J57" s="524"/>
      <c r="K57" s="524">
        <f>L56</f>
        <v>4650.59</v>
      </c>
      <c r="L57" s="524"/>
      <c r="O57" s="11">
        <f>J56</f>
        <v>911.88</v>
      </c>
      <c r="P57" s="11">
        <f>L56</f>
        <v>4650.59</v>
      </c>
    </row>
    <row r="59" spans="1:32" ht="30" x14ac:dyDescent="0.25">
      <c r="A59" s="528" t="str">
        <f>CONCATENATE("Итого по разделу: ",IF([85]Source!G393&lt;&gt;"Новый раздел", [85]Source!G393, ""))</f>
        <v>Итого по разделу: Хозяйственно-питьевой, производственный и противопожарный водопровод (В1)</v>
      </c>
      <c r="B59" s="528"/>
      <c r="C59" s="528"/>
      <c r="D59" s="528"/>
      <c r="E59" s="528"/>
      <c r="F59" s="528"/>
      <c r="G59" s="528"/>
      <c r="H59" s="528"/>
      <c r="I59" s="526">
        <f>SUM(O19:O58)</f>
        <v>109565.3</v>
      </c>
      <c r="J59" s="527"/>
      <c r="K59" s="526">
        <f>SUM(P19:P58)</f>
        <v>608255.86</v>
      </c>
      <c r="L59" s="527"/>
      <c r="AF59" s="26" t="str">
        <f>CONCATENATE("Итого по разделу: ",IF([85]Source!G393&lt;&gt;"Новый раздел", [85]Source!G393, ""))</f>
        <v>Итого по разделу: Хозяйственно-питьевой, производственный и противопожарный водопровод (В1)</v>
      </c>
    </row>
    <row r="60" spans="1:32" hidden="1" x14ac:dyDescent="0.2">
      <c r="A60" t="s">
        <v>48</v>
      </c>
      <c r="J60">
        <f>SUM(W19:W59)</f>
        <v>0</v>
      </c>
      <c r="K60">
        <f>SUM(X19:X59)</f>
        <v>0</v>
      </c>
    </row>
    <row r="61" spans="1:32" hidden="1" x14ac:dyDescent="0.2">
      <c r="A61" t="s">
        <v>49</v>
      </c>
      <c r="J61">
        <f>SUM(Y19:Y60)</f>
        <v>0</v>
      </c>
      <c r="K61">
        <f>SUM(Z19:Z60)</f>
        <v>0</v>
      </c>
    </row>
    <row r="63" spans="1:32" ht="16.5" x14ac:dyDescent="0.25">
      <c r="A63" s="514" t="str">
        <f>CONCATENATE("Раздел: ",IF([85]Source!G550&lt;&gt;"Новый раздел", [85]Source!G550, ""))</f>
        <v>Раздел: Бытовая канализация. Самотечная сеть (К1)</v>
      </c>
      <c r="B63" s="514"/>
      <c r="C63" s="514"/>
      <c r="D63" s="514"/>
      <c r="E63" s="514"/>
      <c r="F63" s="514"/>
      <c r="G63" s="514"/>
      <c r="H63" s="514"/>
      <c r="I63" s="514"/>
      <c r="J63" s="514"/>
      <c r="K63" s="514"/>
      <c r="L63" s="514"/>
    </row>
    <row r="64" spans="1:32" ht="28.5" x14ac:dyDescent="0.2">
      <c r="A64" s="4">
        <v>6</v>
      </c>
      <c r="B64" s="4" t="str">
        <f>[85]Source!E572</f>
        <v>167</v>
      </c>
      <c r="C64" s="5" t="str">
        <f>[85]Source!F572</f>
        <v>1.12-10-16</v>
      </c>
      <c r="D64" s="5" t="s">
        <v>131</v>
      </c>
      <c r="E64" s="6" t="str">
        <f>[85]Source!H572</f>
        <v>шт.</v>
      </c>
      <c r="F64" s="2">
        <f>[85]Source!I572</f>
        <v>1</v>
      </c>
      <c r="G64" s="7">
        <f>[85]Source!AL572</f>
        <v>66.41</v>
      </c>
      <c r="H64" s="8" t="str">
        <f>[85]Source!DD572</f>
        <v/>
      </c>
      <c r="I64" s="2">
        <f>[85]Source!AW573</f>
        <v>1</v>
      </c>
      <c r="J64" s="25">
        <f>[85]Source!P572</f>
        <v>66.41</v>
      </c>
      <c r="K64" s="2">
        <f>IF([85]Source!BC573&lt;&gt; 0, [85]Source!BC573, 1)</f>
        <v>9.42</v>
      </c>
      <c r="L64" s="25">
        <f>[85]Source!P573</f>
        <v>625.58000000000004</v>
      </c>
      <c r="Q64">
        <f>[85]Source!X572</f>
        <v>0</v>
      </c>
      <c r="R64">
        <f>[85]Source!X573</f>
        <v>0</v>
      </c>
      <c r="S64">
        <f>[85]Source!Y572</f>
        <v>0</v>
      </c>
      <c r="T64">
        <f>[85]Source!Y573</f>
        <v>0</v>
      </c>
      <c r="U64">
        <f>ROUND((175/100)*ROUND([85]Source!R572, 2), 2)</f>
        <v>0</v>
      </c>
      <c r="V64">
        <f>ROUND((157/100)*ROUND([85]Source!R573, 2), 2)</f>
        <v>0</v>
      </c>
    </row>
    <row r="65" spans="1:22" ht="15" x14ac:dyDescent="0.25">
      <c r="A65" s="35"/>
      <c r="B65" s="35"/>
      <c r="C65" s="35"/>
      <c r="D65" s="35"/>
      <c r="E65" s="35"/>
      <c r="F65" s="35"/>
      <c r="G65" s="35"/>
      <c r="H65" s="35"/>
      <c r="I65" s="524">
        <f>J64</f>
        <v>66.41</v>
      </c>
      <c r="J65" s="524"/>
      <c r="K65" s="524">
        <f>L64</f>
        <v>625.58000000000004</v>
      </c>
      <c r="L65" s="524"/>
      <c r="O65" s="11">
        <f>J64</f>
        <v>66.41</v>
      </c>
      <c r="P65" s="11">
        <f>L64</f>
        <v>625.58000000000004</v>
      </c>
    </row>
    <row r="66" spans="1:22" ht="57" x14ac:dyDescent="0.2">
      <c r="A66" s="4">
        <v>7</v>
      </c>
      <c r="B66" s="4" t="str">
        <f>[85]Source!E576</f>
        <v>169</v>
      </c>
      <c r="C66" s="5" t="str">
        <f>[85]Source!F576</f>
        <v>3.16-5-2</v>
      </c>
      <c r="D66" s="5" t="s">
        <v>132</v>
      </c>
      <c r="E66" s="6" t="str">
        <f>[85]Source!H576</f>
        <v>100 м трубопровода</v>
      </c>
      <c r="F66" s="2">
        <f>[85]Source!I576</f>
        <v>0.20899999999999999</v>
      </c>
      <c r="G66" s="7"/>
      <c r="H66" s="8"/>
      <c r="I66" s="2"/>
      <c r="J66" s="25"/>
      <c r="K66" s="2"/>
      <c r="L66" s="25"/>
      <c r="Q66">
        <f>[85]Source!X576</f>
        <v>473.15</v>
      </c>
      <c r="R66">
        <f>[85]Source!X577</f>
        <v>9061.77</v>
      </c>
      <c r="S66">
        <f>[85]Source!Y576</f>
        <v>355.81</v>
      </c>
      <c r="T66">
        <f>[85]Source!Y577</f>
        <v>4077.8</v>
      </c>
      <c r="U66">
        <f>ROUND((175/100)*ROUND([85]Source!R576, 2), 2)</f>
        <v>19.5</v>
      </c>
      <c r="V66">
        <f>ROUND((157/100)*ROUND([85]Source!R577, 2), 2)</f>
        <v>418.7</v>
      </c>
    </row>
    <row r="67" spans="1:22" ht="14.25" x14ac:dyDescent="0.2">
      <c r="A67" s="4"/>
      <c r="B67" s="4"/>
      <c r="C67" s="5"/>
      <c r="D67" s="5" t="s">
        <v>20</v>
      </c>
      <c r="E67" s="6"/>
      <c r="F67" s="2"/>
      <c r="G67" s="7">
        <f>[85]Source!AO576</f>
        <v>1016.4</v>
      </c>
      <c r="H67" s="8" t="str">
        <f>[85]Source!DG576</f>
        <v>)*1,67</v>
      </c>
      <c r="I67" s="2">
        <f>[85]Source!AV577</f>
        <v>1.0669999999999999</v>
      </c>
      <c r="J67" s="25">
        <f>[85]Source!S576</f>
        <v>378.52</v>
      </c>
      <c r="K67" s="2">
        <f>IF([85]Source!BA577&lt;&gt; 0, [85]Source!BA577, 1)</f>
        <v>23.94</v>
      </c>
      <c r="L67" s="25">
        <f>[85]Source!S577</f>
        <v>9061.77</v>
      </c>
    </row>
    <row r="68" spans="1:22" ht="14.25" x14ac:dyDescent="0.2">
      <c r="A68" s="4"/>
      <c r="B68" s="4"/>
      <c r="C68" s="5"/>
      <c r="D68" s="5" t="s">
        <v>21</v>
      </c>
      <c r="E68" s="6"/>
      <c r="F68" s="2"/>
      <c r="G68" s="7">
        <f>[85]Source!AM576</f>
        <v>126.55</v>
      </c>
      <c r="H68" s="8" t="str">
        <f>[85]Source!DE576</f>
        <v/>
      </c>
      <c r="I68" s="2">
        <f>[85]Source!AV577</f>
        <v>1.0669999999999999</v>
      </c>
      <c r="J68" s="25">
        <f>[85]Source!Q576-J78</f>
        <v>28.22</v>
      </c>
      <c r="K68" s="2">
        <f>IF([85]Source!BB577&lt;&gt; 0, [85]Source!BB577, 1)</f>
        <v>9.74</v>
      </c>
      <c r="L68" s="25">
        <f>[85]Source!Q577-L78</f>
        <v>274.92</v>
      </c>
    </row>
    <row r="69" spans="1:22" ht="14.25" x14ac:dyDescent="0.2">
      <c r="A69" s="4"/>
      <c r="B69" s="4"/>
      <c r="C69" s="5"/>
      <c r="D69" s="5" t="s">
        <v>22</v>
      </c>
      <c r="E69" s="6"/>
      <c r="F69" s="2"/>
      <c r="G69" s="7">
        <f>[85]Source!AN576</f>
        <v>29.9</v>
      </c>
      <c r="H69" s="8" t="str">
        <f>[85]Source!DE576</f>
        <v/>
      </c>
      <c r="I69" s="2">
        <f>[85]Source!AV577</f>
        <v>1.0669999999999999</v>
      </c>
      <c r="J69" s="10">
        <f>[85]Source!R576-J79</f>
        <v>6.67</v>
      </c>
      <c r="K69" s="2">
        <f>IF([85]Source!BS577&lt;&gt; 0, [85]Source!BS577, 1)</f>
        <v>23.94</v>
      </c>
      <c r="L69" s="10">
        <f>[85]Source!R577-L79</f>
        <v>159.74</v>
      </c>
    </row>
    <row r="70" spans="1:22" ht="14.25" x14ac:dyDescent="0.2">
      <c r="A70" s="4"/>
      <c r="B70" s="4"/>
      <c r="C70" s="5"/>
      <c r="D70" s="5" t="s">
        <v>23</v>
      </c>
      <c r="E70" s="6"/>
      <c r="F70" s="2"/>
      <c r="G70" s="7">
        <f>[85]Source!AL576</f>
        <v>197.05</v>
      </c>
      <c r="H70" s="8" t="str">
        <f>[85]Source!DD576</f>
        <v/>
      </c>
      <c r="I70" s="2">
        <f>[85]Source!AW577</f>
        <v>1</v>
      </c>
      <c r="J70" s="25">
        <f>[85]Source!P576</f>
        <v>41.18</v>
      </c>
      <c r="K70" s="2">
        <f>IF([85]Source!BC577&lt;&gt; 0, [85]Source!BC577, 1)</f>
        <v>5.54</v>
      </c>
      <c r="L70" s="25">
        <f>[85]Source!P577</f>
        <v>228.14</v>
      </c>
    </row>
    <row r="71" spans="1:22" ht="57" x14ac:dyDescent="0.2">
      <c r="A71" s="4">
        <v>8</v>
      </c>
      <c r="B71" s="4" t="str">
        <f>[85]Source!E578</f>
        <v>169,1</v>
      </c>
      <c r="C71" s="5" t="str">
        <f>[85]Source!F578</f>
        <v>1.12-1-69</v>
      </c>
      <c r="D71" s="5" t="s">
        <v>133</v>
      </c>
      <c r="E71" s="6" t="str">
        <f>[85]Source!H578</f>
        <v>м</v>
      </c>
      <c r="F71" s="2">
        <f>[85]Source!I578</f>
        <v>20.8582</v>
      </c>
      <c r="G71" s="7">
        <f>[85]Source!AK578</f>
        <v>129.19</v>
      </c>
      <c r="H71" s="36" t="s">
        <v>90</v>
      </c>
      <c r="I71" s="2">
        <f>[85]Source!AW579</f>
        <v>1</v>
      </c>
      <c r="J71" s="25">
        <f>[85]Source!O578</f>
        <v>2694.67</v>
      </c>
      <c r="K71" s="2">
        <f>IF([85]Source!BC579&lt;&gt; 0, [85]Source!BC579, 1)</f>
        <v>6.89</v>
      </c>
      <c r="L71" s="25">
        <f>[85]Source!O579</f>
        <v>18566.28</v>
      </c>
      <c r="Q71">
        <f>[85]Source!X578</f>
        <v>0</v>
      </c>
      <c r="R71">
        <f>[85]Source!X579</f>
        <v>0</v>
      </c>
      <c r="S71">
        <f>[85]Source!Y578</f>
        <v>0</v>
      </c>
      <c r="T71">
        <f>[85]Source!Y579</f>
        <v>0</v>
      </c>
      <c r="U71">
        <f>ROUND((175/100)*ROUND([85]Source!R578, 2), 2)</f>
        <v>0</v>
      </c>
      <c r="V71">
        <f>ROUND((157/100)*ROUND([85]Source!R579, 2), 2)</f>
        <v>0</v>
      </c>
    </row>
    <row r="72" spans="1:22" ht="14.25" x14ac:dyDescent="0.2">
      <c r="A72" s="4"/>
      <c r="B72" s="4"/>
      <c r="C72" s="5"/>
      <c r="D72" s="5" t="s">
        <v>24</v>
      </c>
      <c r="E72" s="6" t="s">
        <v>25</v>
      </c>
      <c r="F72" s="2">
        <f>[85]Source!DN577</f>
        <v>125</v>
      </c>
      <c r="G72" s="7"/>
      <c r="H72" s="8"/>
      <c r="I72" s="2"/>
      <c r="J72" s="25">
        <f>SUM(Q66:Q71)</f>
        <v>473.15</v>
      </c>
      <c r="K72" s="2">
        <f>[85]Source!BZ577</f>
        <v>100</v>
      </c>
      <c r="L72" s="25">
        <f>SUM(R66:R71)</f>
        <v>9061.77</v>
      </c>
    </row>
    <row r="73" spans="1:22" ht="14.25" x14ac:dyDescent="0.2">
      <c r="A73" s="4"/>
      <c r="B73" s="4"/>
      <c r="C73" s="5"/>
      <c r="D73" s="5" t="s">
        <v>26</v>
      </c>
      <c r="E73" s="6" t="s">
        <v>25</v>
      </c>
      <c r="F73" s="2">
        <f>[85]Source!DO577</f>
        <v>94</v>
      </c>
      <c r="G73" s="7"/>
      <c r="H73" s="8"/>
      <c r="I73" s="2"/>
      <c r="J73" s="25">
        <f>SUM(S66:S72)</f>
        <v>355.81</v>
      </c>
      <c r="K73" s="2">
        <f>[85]Source!CA577</f>
        <v>45</v>
      </c>
      <c r="L73" s="25">
        <f>SUM(T66:T72)</f>
        <v>4077.8</v>
      </c>
    </row>
    <row r="74" spans="1:22" ht="14.25" x14ac:dyDescent="0.2">
      <c r="A74" s="4"/>
      <c r="B74" s="4"/>
      <c r="C74" s="5"/>
      <c r="D74" s="5" t="s">
        <v>27</v>
      </c>
      <c r="E74" s="6" t="s">
        <v>25</v>
      </c>
      <c r="F74" s="2">
        <f>175</f>
        <v>175</v>
      </c>
      <c r="G74" s="7"/>
      <c r="H74" s="8"/>
      <c r="I74" s="2"/>
      <c r="J74" s="25">
        <f>SUM(U66:U73)-J80</f>
        <v>11.68</v>
      </c>
      <c r="K74" s="2">
        <f>157</f>
        <v>157</v>
      </c>
      <c r="L74" s="25">
        <f>SUM(V66:V73)-L80</f>
        <v>250.79</v>
      </c>
    </row>
    <row r="75" spans="1:22" ht="14.25" x14ac:dyDescent="0.2">
      <c r="A75" s="4"/>
      <c r="B75" s="4"/>
      <c r="C75" s="5"/>
      <c r="D75" s="5" t="s">
        <v>28</v>
      </c>
      <c r="E75" s="6" t="s">
        <v>29</v>
      </c>
      <c r="F75" s="2">
        <f>[85]Source!AQ576</f>
        <v>77</v>
      </c>
      <c r="G75" s="7"/>
      <c r="H75" s="8" t="str">
        <f>[85]Source!DI576</f>
        <v/>
      </c>
      <c r="I75" s="2">
        <f>[85]Source!AV577</f>
        <v>1.0669999999999999</v>
      </c>
      <c r="J75" s="25">
        <f>[85]Source!U576</f>
        <v>17.170000000000002</v>
      </c>
      <c r="K75" s="2"/>
      <c r="L75" s="25"/>
    </row>
    <row r="76" spans="1:22" ht="15" x14ac:dyDescent="0.25">
      <c r="I76" s="525">
        <f>J67+J68+J70+J72+J73+J74+SUM(J71:J71)</f>
        <v>3983.23</v>
      </c>
      <c r="J76" s="525"/>
      <c r="K76" s="525">
        <f>L67+L68+L70+L72+L73+L74+SUM(L71:L71)</f>
        <v>41521.47</v>
      </c>
      <c r="L76" s="525"/>
      <c r="O76" s="11">
        <f>J67+J68+J70+J72+J73+J74+SUM(J71:J71)</f>
        <v>3983.23</v>
      </c>
      <c r="P76" s="11">
        <f>L67+L68+L70+L72+L73+L74+SUM(L71:L71)</f>
        <v>41521.47</v>
      </c>
    </row>
    <row r="77" spans="1:22" ht="28.5" x14ac:dyDescent="0.2">
      <c r="A77" s="12"/>
      <c r="B77" s="12"/>
      <c r="C77" s="13"/>
      <c r="D77" s="13" t="s">
        <v>30</v>
      </c>
      <c r="E77" s="6"/>
      <c r="F77" s="14"/>
      <c r="G77" s="15"/>
      <c r="H77" s="6"/>
      <c r="I77" s="14"/>
      <c r="J77" s="10"/>
      <c r="K77" s="14"/>
      <c r="L77" s="10"/>
    </row>
    <row r="78" spans="1:22" ht="14.25" x14ac:dyDescent="0.2">
      <c r="A78" s="12"/>
      <c r="B78" s="12"/>
      <c r="C78" s="13"/>
      <c r="D78" s="13" t="s">
        <v>21</v>
      </c>
      <c r="E78" s="6"/>
      <c r="F78" s="14"/>
      <c r="G78" s="15">
        <f t="shared" ref="G78:L78" si="2">G79</f>
        <v>29.9</v>
      </c>
      <c r="H78" s="16" t="str">
        <f t="shared" si="2"/>
        <v>)*(1.67-1)</v>
      </c>
      <c r="I78" s="14">
        <f t="shared" si="2"/>
        <v>1.0669999999999999</v>
      </c>
      <c r="J78" s="10">
        <f t="shared" si="2"/>
        <v>4.47</v>
      </c>
      <c r="K78" s="14">
        <f t="shared" si="2"/>
        <v>23.94</v>
      </c>
      <c r="L78" s="10">
        <f t="shared" si="2"/>
        <v>106.95</v>
      </c>
    </row>
    <row r="79" spans="1:22" ht="14.25" x14ac:dyDescent="0.2">
      <c r="A79" s="12"/>
      <c r="B79" s="12"/>
      <c r="C79" s="13"/>
      <c r="D79" s="13" t="s">
        <v>22</v>
      </c>
      <c r="E79" s="6"/>
      <c r="F79" s="14"/>
      <c r="G79" s="15">
        <f>[85]Source!AN576</f>
        <v>29.9</v>
      </c>
      <c r="H79" s="16" t="s">
        <v>31</v>
      </c>
      <c r="I79" s="14">
        <f>[85]Source!AV577</f>
        <v>1.0669999999999999</v>
      </c>
      <c r="J79" s="10">
        <f>ROUND(F66*G79*I79*(1.67-1), 2)</f>
        <v>4.47</v>
      </c>
      <c r="K79" s="14">
        <f>IF([85]Source!BS577&lt;&gt; 0, [85]Source!BS577, 1)</f>
        <v>23.94</v>
      </c>
      <c r="L79" s="10">
        <f>ROUND(F66*G79*I79*(1.67-1)*K79, 2)</f>
        <v>106.95</v>
      </c>
    </row>
    <row r="80" spans="1:22" ht="14.25" x14ac:dyDescent="0.2">
      <c r="A80" s="12"/>
      <c r="B80" s="12"/>
      <c r="C80" s="13"/>
      <c r="D80" s="13" t="s">
        <v>27</v>
      </c>
      <c r="E80" s="6" t="s">
        <v>25</v>
      </c>
      <c r="F80" s="14">
        <f>175</f>
        <v>175</v>
      </c>
      <c r="G80" s="15"/>
      <c r="H80" s="6"/>
      <c r="I80" s="14"/>
      <c r="J80" s="10">
        <f>ROUND(J79*(F80/100), 2)</f>
        <v>7.82</v>
      </c>
      <c r="K80" s="14">
        <f>157</f>
        <v>157</v>
      </c>
      <c r="L80" s="10">
        <f>ROUND(L79*(K80/100), 2)</f>
        <v>167.91</v>
      </c>
    </row>
    <row r="81" spans="1:22" ht="15" x14ac:dyDescent="0.25">
      <c r="I81" s="525">
        <f>J80+J79</f>
        <v>12.29</v>
      </c>
      <c r="J81" s="525"/>
      <c r="K81" s="525">
        <f>L80+L79</f>
        <v>274.86</v>
      </c>
      <c r="L81" s="525"/>
      <c r="O81" s="11">
        <f>I81</f>
        <v>12.29</v>
      </c>
      <c r="P81" s="11">
        <f>K81</f>
        <v>274.86</v>
      </c>
    </row>
    <row r="83" spans="1:22" ht="15" x14ac:dyDescent="0.25">
      <c r="A83" s="37"/>
      <c r="B83" s="37"/>
      <c r="C83" s="38"/>
      <c r="D83" s="38" t="s">
        <v>32</v>
      </c>
      <c r="E83" s="39"/>
      <c r="F83" s="40"/>
      <c r="G83" s="41"/>
      <c r="H83" s="42"/>
      <c r="I83" s="524">
        <f>I76+I81</f>
        <v>3995.52</v>
      </c>
      <c r="J83" s="524"/>
      <c r="K83" s="524">
        <f>K76+K81</f>
        <v>41796.33</v>
      </c>
      <c r="L83" s="524"/>
    </row>
    <row r="84" spans="1:22" ht="28.5" x14ac:dyDescent="0.2">
      <c r="A84" s="4">
        <v>9</v>
      </c>
      <c r="B84" s="4" t="str">
        <f>[85]Source!E588</f>
        <v>173</v>
      </c>
      <c r="C84" s="5" t="str">
        <f>[85]Source!F588</f>
        <v>1.12-10-33</v>
      </c>
      <c r="D84" s="5" t="s">
        <v>134</v>
      </c>
      <c r="E84" s="6" t="str">
        <f>[85]Source!H588</f>
        <v>шт.</v>
      </c>
      <c r="F84" s="2">
        <f>[85]Source!I588</f>
        <v>6</v>
      </c>
      <c r="G84" s="7">
        <f>[85]Source!AL588</f>
        <v>31.39</v>
      </c>
      <c r="H84" s="8" t="str">
        <f>[85]Source!DD588</f>
        <v/>
      </c>
      <c r="I84" s="2">
        <f>[85]Source!AW589</f>
        <v>1</v>
      </c>
      <c r="J84" s="25">
        <f>[85]Source!P588</f>
        <v>188.34</v>
      </c>
      <c r="K84" s="2">
        <f>IF([85]Source!BC589&lt;&gt; 0, [85]Source!BC589, 1)</f>
        <v>12.29</v>
      </c>
      <c r="L84" s="25">
        <f>[85]Source!P589</f>
        <v>2314.6999999999998</v>
      </c>
      <c r="Q84">
        <f>[85]Source!X588</f>
        <v>0</v>
      </c>
      <c r="R84">
        <f>[85]Source!X589</f>
        <v>0</v>
      </c>
      <c r="S84">
        <f>[85]Source!Y588</f>
        <v>0</v>
      </c>
      <c r="T84">
        <f>[85]Source!Y589</f>
        <v>0</v>
      </c>
      <c r="U84">
        <f>ROUND((175/100)*ROUND([85]Source!R588, 2), 2)</f>
        <v>0</v>
      </c>
      <c r="V84">
        <f>ROUND((157/100)*ROUND([85]Source!R589, 2), 2)</f>
        <v>0</v>
      </c>
    </row>
    <row r="85" spans="1:22" ht="15" x14ac:dyDescent="0.25">
      <c r="A85" s="35"/>
      <c r="B85" s="35"/>
      <c r="C85" s="35"/>
      <c r="D85" s="35"/>
      <c r="E85" s="35"/>
      <c r="F85" s="35"/>
      <c r="G85" s="35"/>
      <c r="H85" s="35"/>
      <c r="I85" s="524">
        <f>J84</f>
        <v>188.34</v>
      </c>
      <c r="J85" s="524"/>
      <c r="K85" s="524">
        <f>L84</f>
        <v>2314.6999999999998</v>
      </c>
      <c r="L85" s="524"/>
      <c r="O85" s="11">
        <f>J84</f>
        <v>188.34</v>
      </c>
      <c r="P85" s="11">
        <f>L84</f>
        <v>2314.6999999999998</v>
      </c>
    </row>
    <row r="86" spans="1:22" ht="28.5" x14ac:dyDescent="0.2">
      <c r="A86" s="4">
        <v>10</v>
      </c>
      <c r="B86" s="4" t="str">
        <f>[85]Source!E594</f>
        <v>176</v>
      </c>
      <c r="C86" s="5" t="str">
        <f>[85]Source!F594</f>
        <v>1.12-10-49</v>
      </c>
      <c r="D86" s="5" t="s">
        <v>135</v>
      </c>
      <c r="E86" s="6" t="str">
        <f>[85]Source!H594</f>
        <v>шт.</v>
      </c>
      <c r="F86" s="2">
        <f>[85]Source!I594</f>
        <v>2</v>
      </c>
      <c r="G86" s="7">
        <f>[85]Source!AL594</f>
        <v>63.65</v>
      </c>
      <c r="H86" s="8" t="str">
        <f>[85]Source!DD594</f>
        <v/>
      </c>
      <c r="I86" s="2">
        <f>[85]Source!AW595</f>
        <v>1</v>
      </c>
      <c r="J86" s="25">
        <f>[85]Source!P594</f>
        <v>127.3</v>
      </c>
      <c r="K86" s="2">
        <f>IF([85]Source!BC595&lt;&gt; 0, [85]Source!BC595, 1)</f>
        <v>11.91</v>
      </c>
      <c r="L86" s="25">
        <f>[85]Source!P595</f>
        <v>1516.14</v>
      </c>
      <c r="Q86">
        <f>[85]Source!X594</f>
        <v>0</v>
      </c>
      <c r="R86">
        <f>[85]Source!X595</f>
        <v>0</v>
      </c>
      <c r="S86">
        <f>[85]Source!Y594</f>
        <v>0</v>
      </c>
      <c r="T86">
        <f>[85]Source!Y595</f>
        <v>0</v>
      </c>
      <c r="U86">
        <f>ROUND((175/100)*ROUND([85]Source!R594, 2), 2)</f>
        <v>0</v>
      </c>
      <c r="V86">
        <f>ROUND((157/100)*ROUND([85]Source!R595, 2), 2)</f>
        <v>0</v>
      </c>
    </row>
    <row r="87" spans="1:22" ht="15" x14ac:dyDescent="0.25">
      <c r="A87" s="35"/>
      <c r="B87" s="35"/>
      <c r="C87" s="35"/>
      <c r="D87" s="35"/>
      <c r="E87" s="35"/>
      <c r="F87" s="35"/>
      <c r="G87" s="35"/>
      <c r="H87" s="35"/>
      <c r="I87" s="524">
        <f>J86</f>
        <v>127.3</v>
      </c>
      <c r="J87" s="524"/>
      <c r="K87" s="524">
        <f>L86</f>
        <v>1516.14</v>
      </c>
      <c r="L87" s="524"/>
      <c r="O87" s="11">
        <f>J86</f>
        <v>127.3</v>
      </c>
      <c r="P87" s="11">
        <f>L86</f>
        <v>1516.14</v>
      </c>
    </row>
    <row r="88" spans="1:22" ht="57" x14ac:dyDescent="0.2">
      <c r="A88" s="4">
        <v>11</v>
      </c>
      <c r="B88" s="4" t="str">
        <f>[85]Source!E606</f>
        <v>181</v>
      </c>
      <c r="C88" s="5" t="str">
        <f>[85]Source!F606</f>
        <v>3.13-11-6</v>
      </c>
      <c r="D88" s="5" t="s">
        <v>128</v>
      </c>
      <c r="E88" s="6" t="str">
        <f>[85]Source!H606</f>
        <v>100 м2</v>
      </c>
      <c r="F88" s="2">
        <f>[85]Source!I606</f>
        <v>5.5999999999999999E-3</v>
      </c>
      <c r="G88" s="7"/>
      <c r="H88" s="8"/>
      <c r="I88" s="2"/>
      <c r="J88" s="25"/>
      <c r="K88" s="2"/>
      <c r="L88" s="25"/>
      <c r="Q88">
        <f>[85]Source!X606</f>
        <v>0.62</v>
      </c>
      <c r="R88">
        <f>[85]Source!X607</f>
        <v>12</v>
      </c>
      <c r="S88">
        <f>[85]Source!Y606</f>
        <v>0.45</v>
      </c>
      <c r="T88">
        <f>[85]Source!Y607</f>
        <v>5.79</v>
      </c>
      <c r="U88">
        <f>ROUND((175/100)*ROUND([85]Source!R606, 2), 2)</f>
        <v>7.0000000000000007E-2</v>
      </c>
      <c r="V88">
        <f>ROUND((157/100)*ROUND([85]Source!R607, 2), 2)</f>
        <v>1.51</v>
      </c>
    </row>
    <row r="89" spans="1:22" ht="14.25" x14ac:dyDescent="0.2">
      <c r="A89" s="4"/>
      <c r="B89" s="4"/>
      <c r="C89" s="5"/>
      <c r="D89" s="5" t="s">
        <v>20</v>
      </c>
      <c r="E89" s="6"/>
      <c r="F89" s="2"/>
      <c r="G89" s="7">
        <f>[85]Source!AO606</f>
        <v>30.23</v>
      </c>
      <c r="H89" s="8" t="str">
        <f>[85]Source!DG606</f>
        <v>)*2)*1,67</v>
      </c>
      <c r="I89" s="2">
        <f>[85]Source!AV607</f>
        <v>1.0469999999999999</v>
      </c>
      <c r="J89" s="25">
        <f>[85]Source!S606</f>
        <v>0.59</v>
      </c>
      <c r="K89" s="2">
        <f>IF([85]Source!BA607&lt;&gt; 0, [85]Source!BA607, 1)</f>
        <v>23.94</v>
      </c>
      <c r="L89" s="25">
        <f>[85]Source!S607</f>
        <v>14.12</v>
      </c>
    </row>
    <row r="90" spans="1:22" ht="14.25" x14ac:dyDescent="0.2">
      <c r="A90" s="4"/>
      <c r="B90" s="4"/>
      <c r="C90" s="5"/>
      <c r="D90" s="5" t="s">
        <v>21</v>
      </c>
      <c r="E90" s="6"/>
      <c r="F90" s="2"/>
      <c r="G90" s="7">
        <f>[85]Source!AM606</f>
        <v>22.38</v>
      </c>
      <c r="H90" s="8" t="str">
        <f>[85]Source!DE606</f>
        <v>)*2</v>
      </c>
      <c r="I90" s="2">
        <f>[85]Source!AV607</f>
        <v>1.0469999999999999</v>
      </c>
      <c r="J90" s="25">
        <f>[85]Source!Q606-J100</f>
        <v>0.26</v>
      </c>
      <c r="K90" s="2">
        <f>IF([85]Source!BB607&lt;&gt; 0, [85]Source!BB607, 1)</f>
        <v>6.27</v>
      </c>
      <c r="L90" s="25">
        <f>[85]Source!Q607-L100</f>
        <v>1.69</v>
      </c>
    </row>
    <row r="91" spans="1:22" ht="14.25" x14ac:dyDescent="0.2">
      <c r="A91" s="4"/>
      <c r="B91" s="4"/>
      <c r="C91" s="5"/>
      <c r="D91" s="5" t="s">
        <v>22</v>
      </c>
      <c r="E91" s="6"/>
      <c r="F91" s="2"/>
      <c r="G91" s="7">
        <f>[85]Source!AN606</f>
        <v>2.2200000000000002</v>
      </c>
      <c r="H91" s="8" t="str">
        <f>[85]Source!DE606</f>
        <v>)*2</v>
      </c>
      <c r="I91" s="2">
        <f>[85]Source!AV607</f>
        <v>1.0469999999999999</v>
      </c>
      <c r="J91" s="10">
        <f>[85]Source!R606-J101</f>
        <v>0.02</v>
      </c>
      <c r="K91" s="2">
        <f>IF([85]Source!BS607&lt;&gt; 0, [85]Source!BS607, 1)</f>
        <v>23.94</v>
      </c>
      <c r="L91" s="10">
        <f>[85]Source!R607-L101</f>
        <v>0.54</v>
      </c>
    </row>
    <row r="92" spans="1:22" ht="14.25" x14ac:dyDescent="0.2">
      <c r="A92" s="4"/>
      <c r="B92" s="4"/>
      <c r="C92" s="5"/>
      <c r="D92" s="5" t="s">
        <v>23</v>
      </c>
      <c r="E92" s="6"/>
      <c r="F92" s="2"/>
      <c r="G92" s="7">
        <f>[85]Source!AL606</f>
        <v>20.16</v>
      </c>
      <c r="H92" s="8" t="str">
        <f>[85]Source!DD606</f>
        <v>)*2</v>
      </c>
      <c r="I92" s="2">
        <f>[85]Source!AW607</f>
        <v>1</v>
      </c>
      <c r="J92" s="25">
        <f>[85]Source!P606</f>
        <v>0.23</v>
      </c>
      <c r="K92" s="2">
        <f>IF([85]Source!BC607&lt;&gt; 0, [85]Source!BC607, 1)</f>
        <v>8.16</v>
      </c>
      <c r="L92" s="25">
        <f>[85]Source!P607</f>
        <v>1.88</v>
      </c>
    </row>
    <row r="93" spans="1:22" ht="57" x14ac:dyDescent="0.2">
      <c r="A93" s="4">
        <v>12</v>
      </c>
      <c r="B93" s="4" t="str">
        <f>[85]Source!E608</f>
        <v>181,1</v>
      </c>
      <c r="C93" s="5" t="str">
        <f>[85]Source!F608</f>
        <v>1.1-1-413</v>
      </c>
      <c r="D93" s="5" t="s">
        <v>114</v>
      </c>
      <c r="E93" s="6" t="str">
        <f>[85]Source!H608</f>
        <v>кг</v>
      </c>
      <c r="F93" s="2">
        <f>[85]Source!I608</f>
        <v>0.2016</v>
      </c>
      <c r="G93" s="7">
        <f>[85]Source!AK608</f>
        <v>47.9</v>
      </c>
      <c r="H93" s="36" t="s">
        <v>90</v>
      </c>
      <c r="I93" s="2">
        <f>[85]Source!AW609</f>
        <v>1</v>
      </c>
      <c r="J93" s="25">
        <f>[85]Source!O608</f>
        <v>9.66</v>
      </c>
      <c r="K93" s="2">
        <f>IF([85]Source!BC609&lt;&gt; 0, [85]Source!BC609, 1)</f>
        <v>2.64</v>
      </c>
      <c r="L93" s="25">
        <f>[85]Source!O609</f>
        <v>25.5</v>
      </c>
      <c r="Q93">
        <f>[85]Source!X608</f>
        <v>0</v>
      </c>
      <c r="R93">
        <f>[85]Source!X609</f>
        <v>0</v>
      </c>
      <c r="S93">
        <f>[85]Source!Y608</f>
        <v>0</v>
      </c>
      <c r="T93">
        <f>[85]Source!Y609</f>
        <v>0</v>
      </c>
      <c r="U93">
        <f>ROUND((175/100)*ROUND([85]Source!R608, 2), 2)</f>
        <v>0</v>
      </c>
      <c r="V93">
        <f>ROUND((157/100)*ROUND([85]Source!R609, 2), 2)</f>
        <v>0</v>
      </c>
    </row>
    <row r="94" spans="1:22" ht="14.25" x14ac:dyDescent="0.2">
      <c r="A94" s="4"/>
      <c r="B94" s="4"/>
      <c r="C94" s="5"/>
      <c r="D94" s="5" t="s">
        <v>24</v>
      </c>
      <c r="E94" s="6" t="s">
        <v>25</v>
      </c>
      <c r="F94" s="2">
        <f>[85]Source!DN607</f>
        <v>105</v>
      </c>
      <c r="G94" s="7"/>
      <c r="H94" s="8"/>
      <c r="I94" s="2"/>
      <c r="J94" s="25">
        <f>SUM(Q88:Q93)</f>
        <v>0.62</v>
      </c>
      <c r="K94" s="2">
        <f>[85]Source!BZ607</f>
        <v>85</v>
      </c>
      <c r="L94" s="25">
        <f>SUM(R88:R93)</f>
        <v>12</v>
      </c>
    </row>
    <row r="95" spans="1:22" ht="14.25" x14ac:dyDescent="0.2">
      <c r="A95" s="4"/>
      <c r="B95" s="4"/>
      <c r="C95" s="5"/>
      <c r="D95" s="5" t="s">
        <v>26</v>
      </c>
      <c r="E95" s="6" t="s">
        <v>25</v>
      </c>
      <c r="F95" s="2">
        <f>[85]Source!DO607</f>
        <v>77</v>
      </c>
      <c r="G95" s="7"/>
      <c r="H95" s="8"/>
      <c r="I95" s="2"/>
      <c r="J95" s="25">
        <f>SUM(S88:S94)</f>
        <v>0.45</v>
      </c>
      <c r="K95" s="2">
        <f>[85]Source!CA607</f>
        <v>41</v>
      </c>
      <c r="L95" s="25">
        <f>SUM(T88:T94)</f>
        <v>5.79</v>
      </c>
    </row>
    <row r="96" spans="1:22" ht="14.25" x14ac:dyDescent="0.2">
      <c r="A96" s="4"/>
      <c r="B96" s="4"/>
      <c r="C96" s="5"/>
      <c r="D96" s="5" t="s">
        <v>27</v>
      </c>
      <c r="E96" s="6" t="s">
        <v>25</v>
      </c>
      <c r="F96" s="2">
        <f>175</f>
        <v>175</v>
      </c>
      <c r="G96" s="7"/>
      <c r="H96" s="8"/>
      <c r="I96" s="2"/>
      <c r="J96" s="25">
        <f>SUM(U88:U95)-J102</f>
        <v>0.03</v>
      </c>
      <c r="K96" s="2">
        <f>157</f>
        <v>157</v>
      </c>
      <c r="L96" s="25">
        <f>SUM(V88:V95)-L102</f>
        <v>0.85</v>
      </c>
    </row>
    <row r="97" spans="1:22" ht="14.25" x14ac:dyDescent="0.2">
      <c r="A97" s="4"/>
      <c r="B97" s="4"/>
      <c r="C97" s="5"/>
      <c r="D97" s="5" t="s">
        <v>28</v>
      </c>
      <c r="E97" s="6" t="s">
        <v>29</v>
      </c>
      <c r="F97" s="2">
        <f>[85]Source!AQ606</f>
        <v>2.54</v>
      </c>
      <c r="G97" s="7"/>
      <c r="H97" s="8" t="str">
        <f>[85]Source!DI606</f>
        <v>)*2</v>
      </c>
      <c r="I97" s="2">
        <f>[85]Source!AV607</f>
        <v>1.0469999999999999</v>
      </c>
      <c r="J97" s="25">
        <f>[85]Source!U606</f>
        <v>0.03</v>
      </c>
      <c r="K97" s="2"/>
      <c r="L97" s="25"/>
    </row>
    <row r="98" spans="1:22" ht="15" x14ac:dyDescent="0.25">
      <c r="I98" s="525">
        <f>J89+J90+J92+J94+J95+J96+SUM(J93:J93)</f>
        <v>11.84</v>
      </c>
      <c r="J98" s="525"/>
      <c r="K98" s="525">
        <f>L89+L90+L92+L94+L95+L96+SUM(L93:L93)</f>
        <v>61.83</v>
      </c>
      <c r="L98" s="525"/>
      <c r="O98" s="11">
        <f>J89+J90+J92+J94+J95+J96+SUM(J93:J93)</f>
        <v>11.84</v>
      </c>
      <c r="P98" s="11">
        <f>L89+L90+L92+L94+L95+L96+SUM(L93:L93)</f>
        <v>61.83</v>
      </c>
    </row>
    <row r="99" spans="1:22" ht="28.5" x14ac:dyDescent="0.2">
      <c r="A99" s="12"/>
      <c r="B99" s="12"/>
      <c r="C99" s="13"/>
      <c r="D99" s="13" t="s">
        <v>30</v>
      </c>
      <c r="E99" s="6"/>
      <c r="F99" s="14"/>
      <c r="G99" s="15"/>
      <c r="H99" s="6"/>
      <c r="I99" s="14"/>
      <c r="J99" s="10"/>
      <c r="K99" s="14"/>
      <c r="L99" s="10"/>
    </row>
    <row r="100" spans="1:22" ht="14.25" x14ac:dyDescent="0.2">
      <c r="A100" s="12"/>
      <c r="B100" s="12"/>
      <c r="C100" s="13"/>
      <c r="D100" s="13" t="s">
        <v>21</v>
      </c>
      <c r="E100" s="6"/>
      <c r="F100" s="14"/>
      <c r="G100" s="15">
        <f t="shared" ref="G100:L100" si="3">G101</f>
        <v>2.2200000000000002</v>
      </c>
      <c r="H100" s="16" t="str">
        <f t="shared" si="3"/>
        <v>)*(1.67-1)*2</v>
      </c>
      <c r="I100" s="14">
        <f t="shared" si="3"/>
        <v>1.0469999999999999</v>
      </c>
      <c r="J100" s="10">
        <f t="shared" si="3"/>
        <v>0.02</v>
      </c>
      <c r="K100" s="14">
        <f t="shared" si="3"/>
        <v>23.94</v>
      </c>
      <c r="L100" s="10">
        <f t="shared" si="3"/>
        <v>0.42</v>
      </c>
    </row>
    <row r="101" spans="1:22" ht="14.25" x14ac:dyDescent="0.2">
      <c r="A101" s="12"/>
      <c r="B101" s="12"/>
      <c r="C101" s="13"/>
      <c r="D101" s="13" t="s">
        <v>22</v>
      </c>
      <c r="E101" s="6"/>
      <c r="F101" s="14"/>
      <c r="G101" s="15">
        <f>[85]Source!AN606</f>
        <v>2.2200000000000002</v>
      </c>
      <c r="H101" s="16" t="s">
        <v>115</v>
      </c>
      <c r="I101" s="14">
        <f>[85]Source!AV607</f>
        <v>1.0469999999999999</v>
      </c>
      <c r="J101" s="10">
        <f>ROUND(F88*G101*I101*(1.67-1)*2, 2)</f>
        <v>0.02</v>
      </c>
      <c r="K101" s="14">
        <f>IF([85]Source!BS607&lt;&gt; 0, [85]Source!BS607, 1)</f>
        <v>23.94</v>
      </c>
      <c r="L101" s="10">
        <f>ROUND(F88*G101*I101*(1.67-1)*2*K101, 2)</f>
        <v>0.42</v>
      </c>
    </row>
    <row r="102" spans="1:22" ht="14.25" x14ac:dyDescent="0.2">
      <c r="A102" s="12"/>
      <c r="B102" s="12"/>
      <c r="C102" s="13"/>
      <c r="D102" s="13" t="s">
        <v>27</v>
      </c>
      <c r="E102" s="6" t="s">
        <v>25</v>
      </c>
      <c r="F102" s="14">
        <f>175</f>
        <v>175</v>
      </c>
      <c r="G102" s="15"/>
      <c r="H102" s="6"/>
      <c r="I102" s="14"/>
      <c r="J102" s="10">
        <f>ROUND(J101*(F102/100), 2)</f>
        <v>0.04</v>
      </c>
      <c r="K102" s="14">
        <f>157</f>
        <v>157</v>
      </c>
      <c r="L102" s="10">
        <f>ROUND(L101*(K102/100), 2)</f>
        <v>0.66</v>
      </c>
    </row>
    <row r="103" spans="1:22" ht="15" x14ac:dyDescent="0.25">
      <c r="I103" s="525">
        <f>J102+J101</f>
        <v>0.06</v>
      </c>
      <c r="J103" s="525"/>
      <c r="K103" s="525">
        <f>L102+L101</f>
        <v>1.08</v>
      </c>
      <c r="L103" s="525"/>
      <c r="O103" s="11">
        <f>I103</f>
        <v>0.06</v>
      </c>
      <c r="P103" s="11">
        <f>K103</f>
        <v>1.08</v>
      </c>
    </row>
    <row r="105" spans="1:22" ht="15" x14ac:dyDescent="0.25">
      <c r="A105" s="37"/>
      <c r="B105" s="37"/>
      <c r="C105" s="38"/>
      <c r="D105" s="38" t="s">
        <v>32</v>
      </c>
      <c r="E105" s="39"/>
      <c r="F105" s="40"/>
      <c r="G105" s="41"/>
      <c r="H105" s="42"/>
      <c r="I105" s="524">
        <f>I98+I103</f>
        <v>11.9</v>
      </c>
      <c r="J105" s="524"/>
      <c r="K105" s="524">
        <f>K98+K103</f>
        <v>62.91</v>
      </c>
      <c r="L105" s="524"/>
    </row>
    <row r="106" spans="1:22" ht="71.25" x14ac:dyDescent="0.2">
      <c r="A106" s="4">
        <v>13</v>
      </c>
      <c r="B106" s="4" t="str">
        <f>[85]Source!E610</f>
        <v>182</v>
      </c>
      <c r="C106" s="5" t="str">
        <f>[85]Source!F610</f>
        <v>1.7-5-240</v>
      </c>
      <c r="D106" s="5" t="s">
        <v>136</v>
      </c>
      <c r="E106" s="6" t="str">
        <f>[85]Source!H610</f>
        <v>100 шт.</v>
      </c>
      <c r="F106" s="2">
        <f>[85]Source!I610</f>
        <v>0.16</v>
      </c>
      <c r="G106" s="7">
        <f>[85]Source!AL610</f>
        <v>617.04</v>
      </c>
      <c r="H106" s="8" t="str">
        <f>[85]Source!DD610</f>
        <v/>
      </c>
      <c r="I106" s="2">
        <f>[85]Source!AW611</f>
        <v>1</v>
      </c>
      <c r="J106" s="25">
        <f>[85]Source!P610</f>
        <v>98.73</v>
      </c>
      <c r="K106" s="2">
        <f>IF([85]Source!BC611&lt;&gt; 0, [85]Source!BC611, 1)</f>
        <v>6.63</v>
      </c>
      <c r="L106" s="25">
        <f>[85]Source!P611</f>
        <v>654.58000000000004</v>
      </c>
      <c r="Q106">
        <f>[85]Source!X610</f>
        <v>0</v>
      </c>
      <c r="R106">
        <f>[85]Source!X611</f>
        <v>0</v>
      </c>
      <c r="S106">
        <f>[85]Source!Y610</f>
        <v>0</v>
      </c>
      <c r="T106">
        <f>[85]Source!Y611</f>
        <v>0</v>
      </c>
      <c r="U106">
        <f>ROUND((175/100)*ROUND([85]Source!R610, 2), 2)</f>
        <v>0</v>
      </c>
      <c r="V106">
        <f>ROUND((157/100)*ROUND([85]Source!R611, 2), 2)</f>
        <v>0</v>
      </c>
    </row>
    <row r="107" spans="1:22" ht="15" x14ac:dyDescent="0.25">
      <c r="A107" s="35"/>
      <c r="B107" s="35"/>
      <c r="C107" s="35"/>
      <c r="D107" s="35"/>
      <c r="E107" s="35"/>
      <c r="F107" s="35"/>
      <c r="G107" s="35"/>
      <c r="H107" s="35"/>
      <c r="I107" s="524">
        <f>J106</f>
        <v>98.73</v>
      </c>
      <c r="J107" s="524"/>
      <c r="K107" s="524">
        <f>L106</f>
        <v>654.58000000000004</v>
      </c>
      <c r="L107" s="524"/>
      <c r="O107" s="11">
        <f>J106</f>
        <v>98.73</v>
      </c>
      <c r="P107" s="11">
        <f>L106</f>
        <v>654.58000000000004</v>
      </c>
    </row>
    <row r="108" spans="1:22" ht="28.5" x14ac:dyDescent="0.2">
      <c r="A108" s="4">
        <v>14</v>
      </c>
      <c r="B108" s="4" t="str">
        <f>[85]Source!E612</f>
        <v>183</v>
      </c>
      <c r="C108" s="5" t="str">
        <f>[85]Source!F612</f>
        <v>1.6-1-264</v>
      </c>
      <c r="D108" s="5" t="s">
        <v>137</v>
      </c>
      <c r="E108" s="6" t="str">
        <f>[85]Source!H612</f>
        <v>т</v>
      </c>
      <c r="F108" s="2">
        <f>[85]Source!I612</f>
        <v>1.34E-2</v>
      </c>
      <c r="G108" s="7">
        <f>[85]Source!AL612</f>
        <v>26732.5</v>
      </c>
      <c r="H108" s="8" t="str">
        <f>[85]Source!DD612</f>
        <v/>
      </c>
      <c r="I108" s="2">
        <f>[85]Source!AW613</f>
        <v>1</v>
      </c>
      <c r="J108" s="25">
        <f>[85]Source!P612</f>
        <v>358.22</v>
      </c>
      <c r="K108" s="2">
        <f>IF([85]Source!BC613&lt;&gt; 0, [85]Source!BC613, 1)</f>
        <v>1.96</v>
      </c>
      <c r="L108" s="25">
        <f>[85]Source!P613</f>
        <v>702.11</v>
      </c>
      <c r="Q108">
        <f>[85]Source!X612</f>
        <v>0</v>
      </c>
      <c r="R108">
        <f>[85]Source!X613</f>
        <v>0</v>
      </c>
      <c r="S108">
        <f>[85]Source!Y612</f>
        <v>0</v>
      </c>
      <c r="T108">
        <f>[85]Source!Y613</f>
        <v>0</v>
      </c>
      <c r="U108">
        <f>ROUND((175/100)*ROUND([85]Source!R612, 2), 2)</f>
        <v>0</v>
      </c>
      <c r="V108">
        <f>ROUND((157/100)*ROUND([85]Source!R613, 2), 2)</f>
        <v>0</v>
      </c>
    </row>
    <row r="109" spans="1:22" ht="15" x14ac:dyDescent="0.25">
      <c r="A109" s="35"/>
      <c r="B109" s="35"/>
      <c r="C109" s="35"/>
      <c r="D109" s="35"/>
      <c r="E109" s="35"/>
      <c r="F109" s="35"/>
      <c r="G109" s="35"/>
      <c r="H109" s="35"/>
      <c r="I109" s="524">
        <f>J108</f>
        <v>358.22</v>
      </c>
      <c r="J109" s="524"/>
      <c r="K109" s="524">
        <f>L108</f>
        <v>702.11</v>
      </c>
      <c r="L109" s="524"/>
      <c r="O109" s="11">
        <f>J108</f>
        <v>358.22</v>
      </c>
      <c r="P109" s="11">
        <f>L108</f>
        <v>702.11</v>
      </c>
    </row>
    <row r="111" spans="1:22" ht="15" x14ac:dyDescent="0.25">
      <c r="A111" s="528" t="str">
        <f>CONCATENATE("Итого по разделу: ",IF([85]Source!G615&lt;&gt;"Новый раздел", [85]Source!G615, ""))</f>
        <v>Итого по разделу: Бытовая канализация. Самотечная сеть (К1)</v>
      </c>
      <c r="B111" s="528"/>
      <c r="C111" s="528"/>
      <c r="D111" s="528"/>
      <c r="E111" s="528"/>
      <c r="F111" s="528"/>
      <c r="G111" s="528"/>
      <c r="H111" s="528"/>
      <c r="I111" s="526">
        <f>SUM(O63:O110)</f>
        <v>4846.42</v>
      </c>
      <c r="J111" s="527"/>
      <c r="K111" s="526">
        <f>SUM(P63:P110)</f>
        <v>47672.35</v>
      </c>
      <c r="L111" s="527"/>
    </row>
    <row r="112" spans="1:22" hidden="1" x14ac:dyDescent="0.2">
      <c r="A112" t="s">
        <v>48</v>
      </c>
      <c r="J112">
        <f>SUM(W63:W111)</f>
        <v>0</v>
      </c>
      <c r="K112">
        <f>SUM(X63:X111)</f>
        <v>0</v>
      </c>
    </row>
    <row r="113" spans="1:22" hidden="1" x14ac:dyDescent="0.2">
      <c r="A113" t="s">
        <v>49</v>
      </c>
      <c r="J113">
        <f>SUM(Y63:Y112)</f>
        <v>0</v>
      </c>
      <c r="K113">
        <f>SUM(Z63:Z112)</f>
        <v>0</v>
      </c>
    </row>
    <row r="115" spans="1:22" ht="16.5" x14ac:dyDescent="0.25">
      <c r="A115" s="514" t="str">
        <f>CONCATENATE("Раздел: ",IF([85]Source!G644&lt;&gt;"Новый раздел", [85]Source!G644, ""))</f>
        <v>Раздел: Бытовая канализация. Напорная сеть (К1Н)</v>
      </c>
      <c r="B115" s="514"/>
      <c r="C115" s="514"/>
      <c r="D115" s="514"/>
      <c r="E115" s="514"/>
      <c r="F115" s="514"/>
      <c r="G115" s="514"/>
      <c r="H115" s="514"/>
      <c r="I115" s="514"/>
      <c r="J115" s="514"/>
      <c r="K115" s="514"/>
      <c r="L115" s="514"/>
    </row>
    <row r="116" spans="1:22" ht="42.75" x14ac:dyDescent="0.2">
      <c r="A116" s="4">
        <v>15</v>
      </c>
      <c r="B116" s="4" t="str">
        <f>[85]Source!E672</f>
        <v>194</v>
      </c>
      <c r="C116" s="5" t="str">
        <f>[85]Source!F672</f>
        <v>3.16-9-4</v>
      </c>
      <c r="D116" s="5" t="s">
        <v>138</v>
      </c>
      <c r="E116" s="6" t="str">
        <f>[85]Source!H672</f>
        <v>100 м трубопровода</v>
      </c>
      <c r="F116" s="2">
        <f>[85]Source!I672</f>
        <v>0.1784</v>
      </c>
      <c r="G116" s="7"/>
      <c r="H116" s="8"/>
      <c r="I116" s="2"/>
      <c r="J116" s="25"/>
      <c r="K116" s="2"/>
      <c r="L116" s="25"/>
      <c r="Q116">
        <f>[85]Source!X672</f>
        <v>363.56</v>
      </c>
      <c r="R116">
        <f>[85]Source!X673</f>
        <v>6962.95</v>
      </c>
      <c r="S116">
        <f>[85]Source!Y672</f>
        <v>273.39999999999998</v>
      </c>
      <c r="T116">
        <f>[85]Source!Y673</f>
        <v>3133.33</v>
      </c>
      <c r="U116">
        <f>ROUND((175/100)*ROUND([85]Source!R672, 2), 2)</f>
        <v>17.260000000000002</v>
      </c>
      <c r="V116">
        <f>ROUND((157/100)*ROUND([85]Source!R673, 2), 2)</f>
        <v>370.6</v>
      </c>
    </row>
    <row r="117" spans="1:22" ht="14.25" x14ac:dyDescent="0.2">
      <c r="A117" s="4"/>
      <c r="B117" s="4"/>
      <c r="C117" s="5"/>
      <c r="D117" s="5" t="s">
        <v>20</v>
      </c>
      <c r="E117" s="6"/>
      <c r="F117" s="2"/>
      <c r="G117" s="7">
        <f>[85]Source!AO672</f>
        <v>914.95</v>
      </c>
      <c r="H117" s="8" t="str">
        <f>[85]Source!DG672</f>
        <v>*1,67</v>
      </c>
      <c r="I117" s="2">
        <f>[85]Source!AV673</f>
        <v>1.0669999999999999</v>
      </c>
      <c r="J117" s="25">
        <f>[85]Source!S672</f>
        <v>290.85000000000002</v>
      </c>
      <c r="K117" s="2">
        <f>IF([85]Source!BA673&lt;&gt; 0, [85]Source!BA673, 1)</f>
        <v>23.94</v>
      </c>
      <c r="L117" s="25">
        <f>[85]Source!S673</f>
        <v>6962.95</v>
      </c>
    </row>
    <row r="118" spans="1:22" ht="14.25" x14ac:dyDescent="0.2">
      <c r="A118" s="4"/>
      <c r="B118" s="4"/>
      <c r="C118" s="5"/>
      <c r="D118" s="5" t="s">
        <v>21</v>
      </c>
      <c r="E118" s="6"/>
      <c r="F118" s="2"/>
      <c r="G118" s="7">
        <f>[85]Source!AM672</f>
        <v>218.14</v>
      </c>
      <c r="H118" s="8" t="str">
        <f>[85]Source!DE672</f>
        <v/>
      </c>
      <c r="I118" s="2">
        <f>[85]Source!AV673</f>
        <v>1.0669999999999999</v>
      </c>
      <c r="J118" s="25">
        <f>[85]Source!Q672-J127</f>
        <v>41.52</v>
      </c>
      <c r="K118" s="2">
        <f>IF([85]Source!BB673&lt;&gt; 0, [85]Source!BB673, 1)</f>
        <v>7.99</v>
      </c>
      <c r="L118" s="25">
        <f>[85]Source!Q673-L127</f>
        <v>331.8</v>
      </c>
    </row>
    <row r="119" spans="1:22" ht="14.25" x14ac:dyDescent="0.2">
      <c r="A119" s="4"/>
      <c r="B119" s="4"/>
      <c r="C119" s="5"/>
      <c r="D119" s="5" t="s">
        <v>22</v>
      </c>
      <c r="E119" s="6"/>
      <c r="F119" s="2"/>
      <c r="G119" s="7">
        <f>[85]Source!AN672</f>
        <v>31.03</v>
      </c>
      <c r="H119" s="8" t="str">
        <f>[85]Source!DE672</f>
        <v/>
      </c>
      <c r="I119" s="2">
        <f>[85]Source!AV673</f>
        <v>1.0669999999999999</v>
      </c>
      <c r="J119" s="10">
        <f>[85]Source!R672-J128</f>
        <v>5.9</v>
      </c>
      <c r="K119" s="2">
        <f>IF([85]Source!BS673&lt;&gt; 0, [85]Source!BS673, 1)</f>
        <v>23.94</v>
      </c>
      <c r="L119" s="10">
        <f>[85]Source!R673-L128</f>
        <v>141.31</v>
      </c>
    </row>
    <row r="120" spans="1:22" ht="14.25" x14ac:dyDescent="0.2">
      <c r="A120" s="4"/>
      <c r="B120" s="4"/>
      <c r="C120" s="5"/>
      <c r="D120" s="5" t="s">
        <v>23</v>
      </c>
      <c r="E120" s="6"/>
      <c r="F120" s="2"/>
      <c r="G120" s="7">
        <f>[85]Source!AL672</f>
        <v>51.59</v>
      </c>
      <c r="H120" s="8" t="str">
        <f>[85]Source!DD672</f>
        <v/>
      </c>
      <c r="I120" s="2">
        <f>[85]Source!AW673</f>
        <v>1</v>
      </c>
      <c r="J120" s="25">
        <f>[85]Source!P672</f>
        <v>9.1999999999999993</v>
      </c>
      <c r="K120" s="2">
        <f>IF([85]Source!BC673&lt;&gt; 0, [85]Source!BC673, 1)</f>
        <v>5.54</v>
      </c>
      <c r="L120" s="25">
        <f>[85]Source!P673</f>
        <v>50.97</v>
      </c>
    </row>
    <row r="121" spans="1:22" ht="14.25" x14ac:dyDescent="0.2">
      <c r="A121" s="4"/>
      <c r="B121" s="4"/>
      <c r="C121" s="5"/>
      <c r="D121" s="5" t="s">
        <v>24</v>
      </c>
      <c r="E121" s="6" t="s">
        <v>25</v>
      </c>
      <c r="F121" s="2">
        <f>[85]Source!DN673</f>
        <v>125</v>
      </c>
      <c r="G121" s="7"/>
      <c r="H121" s="8"/>
      <c r="I121" s="2"/>
      <c r="J121" s="25">
        <f>SUM(Q116:Q120)</f>
        <v>363.56</v>
      </c>
      <c r="K121" s="2">
        <f>[85]Source!BZ673</f>
        <v>100</v>
      </c>
      <c r="L121" s="25">
        <f>SUM(R116:R120)</f>
        <v>6962.95</v>
      </c>
    </row>
    <row r="122" spans="1:22" ht="14.25" x14ac:dyDescent="0.2">
      <c r="A122" s="4"/>
      <c r="B122" s="4"/>
      <c r="C122" s="5"/>
      <c r="D122" s="5" t="s">
        <v>26</v>
      </c>
      <c r="E122" s="6" t="s">
        <v>25</v>
      </c>
      <c r="F122" s="2">
        <f>[85]Source!DO673</f>
        <v>94</v>
      </c>
      <c r="G122" s="7"/>
      <c r="H122" s="8"/>
      <c r="I122" s="2"/>
      <c r="J122" s="25">
        <f>SUM(S116:S121)</f>
        <v>273.39999999999998</v>
      </c>
      <c r="K122" s="2">
        <f>[85]Source!CA673</f>
        <v>45</v>
      </c>
      <c r="L122" s="25">
        <f>SUM(T116:T121)</f>
        <v>3133.33</v>
      </c>
    </row>
    <row r="123" spans="1:22" ht="14.25" x14ac:dyDescent="0.2">
      <c r="A123" s="4"/>
      <c r="B123" s="4"/>
      <c r="C123" s="5"/>
      <c r="D123" s="5" t="s">
        <v>27</v>
      </c>
      <c r="E123" s="6" t="s">
        <v>25</v>
      </c>
      <c r="F123" s="2">
        <f>175</f>
        <v>175</v>
      </c>
      <c r="G123" s="7"/>
      <c r="H123" s="8"/>
      <c r="I123" s="2"/>
      <c r="J123" s="25">
        <f>SUM(U116:U122)-J129</f>
        <v>10.33</v>
      </c>
      <c r="K123" s="2">
        <f>157</f>
        <v>157</v>
      </c>
      <c r="L123" s="25">
        <f>SUM(V116:V122)-L129</f>
        <v>221.86</v>
      </c>
    </row>
    <row r="124" spans="1:22" ht="14.25" x14ac:dyDescent="0.2">
      <c r="A124" s="4"/>
      <c r="B124" s="4"/>
      <c r="C124" s="5"/>
      <c r="D124" s="5" t="s">
        <v>28</v>
      </c>
      <c r="E124" s="6" t="s">
        <v>29</v>
      </c>
      <c r="F124" s="2">
        <f>[85]Source!AQ672</f>
        <v>72.5</v>
      </c>
      <c r="G124" s="7"/>
      <c r="H124" s="8" t="str">
        <f>[85]Source!DI672</f>
        <v/>
      </c>
      <c r="I124" s="2">
        <f>[85]Source!AV673</f>
        <v>1.0669999999999999</v>
      </c>
      <c r="J124" s="25">
        <f>[85]Source!U672</f>
        <v>13.8</v>
      </c>
      <c r="K124" s="2"/>
      <c r="L124" s="25"/>
    </row>
    <row r="125" spans="1:22" ht="15" x14ac:dyDescent="0.25">
      <c r="I125" s="525">
        <f>J117+J118+J120+J121+J122+J123</f>
        <v>988.86</v>
      </c>
      <c r="J125" s="525"/>
      <c r="K125" s="525">
        <f>L117+L118+L120+L121+L122+L123</f>
        <v>17663.86</v>
      </c>
      <c r="L125" s="525"/>
      <c r="O125" s="11">
        <f>J117+J118+J120+J121+J122+J123</f>
        <v>988.86</v>
      </c>
      <c r="P125" s="11">
        <f>L117+L118+L120+L121+L122+L123</f>
        <v>17663.86</v>
      </c>
    </row>
    <row r="126" spans="1:22" ht="28.5" x14ac:dyDescent="0.2">
      <c r="A126" s="12"/>
      <c r="B126" s="12"/>
      <c r="C126" s="13"/>
      <c r="D126" s="13" t="s">
        <v>30</v>
      </c>
      <c r="E126" s="6"/>
      <c r="F126" s="14"/>
      <c r="G126" s="15"/>
      <c r="H126" s="6"/>
      <c r="I126" s="14"/>
      <c r="J126" s="10"/>
      <c r="K126" s="14"/>
      <c r="L126" s="10"/>
    </row>
    <row r="127" spans="1:22" ht="14.25" x14ac:dyDescent="0.2">
      <c r="A127" s="12"/>
      <c r="B127" s="12"/>
      <c r="C127" s="13"/>
      <c r="D127" s="13" t="s">
        <v>21</v>
      </c>
      <c r="E127" s="6"/>
      <c r="F127" s="14"/>
      <c r="G127" s="15">
        <f t="shared" ref="G127:L127" si="4">G128</f>
        <v>31.03</v>
      </c>
      <c r="H127" s="16" t="str">
        <f t="shared" si="4"/>
        <v>)*(1.67-1)</v>
      </c>
      <c r="I127" s="14">
        <f t="shared" si="4"/>
        <v>1.0669999999999999</v>
      </c>
      <c r="J127" s="10">
        <f t="shared" si="4"/>
        <v>3.96</v>
      </c>
      <c r="K127" s="14">
        <f t="shared" si="4"/>
        <v>23.94</v>
      </c>
      <c r="L127" s="10">
        <f t="shared" si="4"/>
        <v>94.74</v>
      </c>
    </row>
    <row r="128" spans="1:22" ht="14.25" x14ac:dyDescent="0.2">
      <c r="A128" s="12"/>
      <c r="B128" s="12"/>
      <c r="C128" s="13"/>
      <c r="D128" s="13" t="s">
        <v>22</v>
      </c>
      <c r="E128" s="6"/>
      <c r="F128" s="14"/>
      <c r="G128" s="15">
        <f>[85]Source!AN672</f>
        <v>31.03</v>
      </c>
      <c r="H128" s="16" t="s">
        <v>31</v>
      </c>
      <c r="I128" s="14">
        <f>[85]Source!AV673</f>
        <v>1.0669999999999999</v>
      </c>
      <c r="J128" s="10">
        <f>ROUND(F116*G128*I128*(1.67-1), 2)</f>
        <v>3.96</v>
      </c>
      <c r="K128" s="14">
        <f>IF([85]Source!BS673&lt;&gt; 0, [85]Source!BS673, 1)</f>
        <v>23.94</v>
      </c>
      <c r="L128" s="10">
        <f>ROUND(F116*G128*I128*(1.67-1)*K128, 2)</f>
        <v>94.74</v>
      </c>
    </row>
    <row r="129" spans="1:22" ht="14.25" x14ac:dyDescent="0.2">
      <c r="A129" s="12"/>
      <c r="B129" s="12"/>
      <c r="C129" s="13"/>
      <c r="D129" s="13" t="s">
        <v>27</v>
      </c>
      <c r="E129" s="6" t="s">
        <v>25</v>
      </c>
      <c r="F129" s="14">
        <f>175</f>
        <v>175</v>
      </c>
      <c r="G129" s="15"/>
      <c r="H129" s="6"/>
      <c r="I129" s="14"/>
      <c r="J129" s="10">
        <f>ROUND(J128*(F129/100), 2)</f>
        <v>6.93</v>
      </c>
      <c r="K129" s="14">
        <f>157</f>
        <v>157</v>
      </c>
      <c r="L129" s="10">
        <f>ROUND(L128*(K129/100), 2)</f>
        <v>148.74</v>
      </c>
    </row>
    <row r="130" spans="1:22" ht="15" x14ac:dyDescent="0.25">
      <c r="I130" s="525">
        <f>J129+J128</f>
        <v>10.89</v>
      </c>
      <c r="J130" s="525"/>
      <c r="K130" s="525">
        <f>L129+L128</f>
        <v>243.48</v>
      </c>
      <c r="L130" s="525"/>
      <c r="O130" s="11">
        <f>I130</f>
        <v>10.89</v>
      </c>
      <c r="P130" s="11">
        <f>K130</f>
        <v>243.48</v>
      </c>
    </row>
    <row r="132" spans="1:22" ht="15" x14ac:dyDescent="0.25">
      <c r="A132" s="37"/>
      <c r="B132" s="37"/>
      <c r="C132" s="38"/>
      <c r="D132" s="38" t="s">
        <v>32</v>
      </c>
      <c r="E132" s="39"/>
      <c r="F132" s="40"/>
      <c r="G132" s="41"/>
      <c r="H132" s="42"/>
      <c r="I132" s="524">
        <f>I125+I130</f>
        <v>999.75</v>
      </c>
      <c r="J132" s="524"/>
      <c r="K132" s="524">
        <f>K125+K130</f>
        <v>17907.34</v>
      </c>
      <c r="L132" s="524"/>
    </row>
    <row r="133" spans="1:22" ht="71.25" x14ac:dyDescent="0.2">
      <c r="A133" s="4">
        <v>16</v>
      </c>
      <c r="B133" s="4" t="str">
        <f>[85]Source!E674</f>
        <v>195</v>
      </c>
      <c r="C133" s="5" t="str">
        <f>[85]Source!F674</f>
        <v>1.12-7-138</v>
      </c>
      <c r="D133" s="5" t="s">
        <v>110</v>
      </c>
      <c r="E133" s="6" t="str">
        <f>[85]Source!H674</f>
        <v>м</v>
      </c>
      <c r="F133" s="2">
        <f>[85]Source!I674</f>
        <v>17.84</v>
      </c>
      <c r="G133" s="7">
        <f>[85]Source!AL674</f>
        <v>1286.57</v>
      </c>
      <c r="H133" s="8" t="str">
        <f>[85]Source!DD674</f>
        <v/>
      </c>
      <c r="I133" s="2">
        <f>[85]Source!AW675</f>
        <v>1</v>
      </c>
      <c r="J133" s="25">
        <f>[85]Source!P674</f>
        <v>22952.41</v>
      </c>
      <c r="K133" s="2">
        <f>IF([85]Source!BC675&lt;&gt; 0, [85]Source!BC675, 1)</f>
        <v>3.22</v>
      </c>
      <c r="L133" s="25">
        <f>[85]Source!P675</f>
        <v>73906.759999999995</v>
      </c>
      <c r="Q133">
        <f>[85]Source!X674</f>
        <v>0</v>
      </c>
      <c r="R133">
        <f>[85]Source!X675</f>
        <v>0</v>
      </c>
      <c r="S133">
        <f>[85]Source!Y674</f>
        <v>0</v>
      </c>
      <c r="T133">
        <f>[85]Source!Y675</f>
        <v>0</v>
      </c>
      <c r="U133">
        <f>ROUND((175/100)*ROUND([85]Source!R674, 2), 2)</f>
        <v>0</v>
      </c>
      <c r="V133">
        <f>ROUND((157/100)*ROUND([85]Source!R675, 2), 2)</f>
        <v>0</v>
      </c>
    </row>
    <row r="134" spans="1:22" ht="15" x14ac:dyDescent="0.25">
      <c r="A134" s="35"/>
      <c r="B134" s="35"/>
      <c r="C134" s="35"/>
      <c r="D134" s="35"/>
      <c r="E134" s="35"/>
      <c r="F134" s="35"/>
      <c r="G134" s="35"/>
      <c r="H134" s="35"/>
      <c r="I134" s="524">
        <f>J133</f>
        <v>22952.41</v>
      </c>
      <c r="J134" s="524"/>
      <c r="K134" s="524">
        <f>L133</f>
        <v>73906.759999999995</v>
      </c>
      <c r="L134" s="524"/>
      <c r="O134" s="11">
        <f>J133</f>
        <v>22952.41</v>
      </c>
      <c r="P134" s="11">
        <f>L133</f>
        <v>73906.759999999995</v>
      </c>
    </row>
    <row r="135" spans="1:22" ht="57" x14ac:dyDescent="0.2">
      <c r="A135" s="4">
        <v>17</v>
      </c>
      <c r="B135" s="4" t="str">
        <f>[85]Source!E682</f>
        <v>199</v>
      </c>
      <c r="C135" s="5" t="str">
        <f>[85]Source!F682</f>
        <v>1.12-11-5</v>
      </c>
      <c r="D135" s="5" t="s">
        <v>139</v>
      </c>
      <c r="E135" s="6" t="str">
        <f>[85]Source!H682</f>
        <v>шт.</v>
      </c>
      <c r="F135" s="2">
        <f>[85]Source!I682</f>
        <v>6</v>
      </c>
      <c r="G135" s="7">
        <f>[85]Source!AL682</f>
        <v>51.01</v>
      </c>
      <c r="H135" s="8" t="str">
        <f>[85]Source!DD682</f>
        <v/>
      </c>
      <c r="I135" s="2">
        <f>[85]Source!AW683</f>
        <v>1</v>
      </c>
      <c r="J135" s="25">
        <f>[85]Source!P682</f>
        <v>306.06</v>
      </c>
      <c r="K135" s="2">
        <f>IF([85]Source!BC683&lt;&gt; 0, [85]Source!BC683, 1)</f>
        <v>4.2</v>
      </c>
      <c r="L135" s="25">
        <f>[85]Source!P683</f>
        <v>1285.45</v>
      </c>
      <c r="Q135">
        <f>[85]Source!X682</f>
        <v>0</v>
      </c>
      <c r="R135">
        <f>[85]Source!X683</f>
        <v>0</v>
      </c>
      <c r="S135">
        <f>[85]Source!Y682</f>
        <v>0</v>
      </c>
      <c r="T135">
        <f>[85]Source!Y683</f>
        <v>0</v>
      </c>
      <c r="U135">
        <f>ROUND((175/100)*ROUND([85]Source!R682, 2), 2)</f>
        <v>0</v>
      </c>
      <c r="V135">
        <f>ROUND((157/100)*ROUND([85]Source!R683, 2), 2)</f>
        <v>0</v>
      </c>
    </row>
    <row r="136" spans="1:22" ht="15" x14ac:dyDescent="0.25">
      <c r="A136" s="35"/>
      <c r="B136" s="35"/>
      <c r="C136" s="35"/>
      <c r="D136" s="35"/>
      <c r="E136" s="35"/>
      <c r="F136" s="35"/>
      <c r="G136" s="35"/>
      <c r="H136" s="35"/>
      <c r="I136" s="524">
        <f>J135</f>
        <v>306.06</v>
      </c>
      <c r="J136" s="524"/>
      <c r="K136" s="524">
        <f>L135</f>
        <v>1285.45</v>
      </c>
      <c r="L136" s="524"/>
      <c r="O136" s="11">
        <f>J135</f>
        <v>306.06</v>
      </c>
      <c r="P136" s="11">
        <f>L135</f>
        <v>1285.45</v>
      </c>
    </row>
    <row r="137" spans="1:22" ht="57" x14ac:dyDescent="0.2">
      <c r="A137" s="4">
        <v>18</v>
      </c>
      <c r="B137" s="4" t="str">
        <f>[85]Source!E698</f>
        <v>204</v>
      </c>
      <c r="C137" s="5" t="str">
        <f>[85]Source!F698</f>
        <v>3.13-11-6</v>
      </c>
      <c r="D137" s="5" t="s">
        <v>128</v>
      </c>
      <c r="E137" s="6" t="str">
        <f>[85]Source!H698</f>
        <v>100 м2</v>
      </c>
      <c r="F137" s="2">
        <f>[85]Source!I698</f>
        <v>6.4999999999999997E-4</v>
      </c>
      <c r="G137" s="7"/>
      <c r="H137" s="8"/>
      <c r="I137" s="2"/>
      <c r="J137" s="25"/>
      <c r="K137" s="2"/>
      <c r="L137" s="25"/>
      <c r="Q137">
        <f>[85]Source!X698</f>
        <v>7.0000000000000007E-2</v>
      </c>
      <c r="R137">
        <f>[85]Source!X699</f>
        <v>1.43</v>
      </c>
      <c r="S137">
        <f>[85]Source!Y698</f>
        <v>0.05</v>
      </c>
      <c r="T137">
        <f>[85]Source!Y699</f>
        <v>0.69</v>
      </c>
      <c r="U137">
        <f>ROUND((175/100)*ROUND([85]Source!R698, 2), 2)</f>
        <v>0.02</v>
      </c>
      <c r="V137">
        <f>ROUND((157/100)*ROUND([85]Source!R699, 2), 2)</f>
        <v>0.38</v>
      </c>
    </row>
    <row r="138" spans="1:22" ht="14.25" x14ac:dyDescent="0.2">
      <c r="A138" s="4"/>
      <c r="B138" s="4"/>
      <c r="C138" s="5"/>
      <c r="D138" s="5" t="s">
        <v>20</v>
      </c>
      <c r="E138" s="6"/>
      <c r="F138" s="2"/>
      <c r="G138" s="7">
        <f>[85]Source!AO698</f>
        <v>30.23</v>
      </c>
      <c r="H138" s="8" t="str">
        <f>[85]Source!DG698</f>
        <v>)*2)*1,67</v>
      </c>
      <c r="I138" s="2">
        <f>[85]Source!AV699</f>
        <v>1.0469999999999999</v>
      </c>
      <c r="J138" s="25">
        <f>[85]Source!S698</f>
        <v>7.0000000000000007E-2</v>
      </c>
      <c r="K138" s="2">
        <f>IF([85]Source!BA699&lt;&gt; 0, [85]Source!BA699, 1)</f>
        <v>23.94</v>
      </c>
      <c r="L138" s="25">
        <f>[85]Source!S699</f>
        <v>1.68</v>
      </c>
    </row>
    <row r="139" spans="1:22" ht="14.25" x14ac:dyDescent="0.2">
      <c r="A139" s="4"/>
      <c r="B139" s="4"/>
      <c r="C139" s="5"/>
      <c r="D139" s="5" t="s">
        <v>21</v>
      </c>
      <c r="E139" s="6"/>
      <c r="F139" s="2"/>
      <c r="G139" s="7">
        <f>[85]Source!AM698</f>
        <v>22.38</v>
      </c>
      <c r="H139" s="8" t="str">
        <f>[85]Source!DE698</f>
        <v>)*2</v>
      </c>
      <c r="I139" s="2">
        <f>[85]Source!AV699</f>
        <v>1.0469999999999999</v>
      </c>
      <c r="J139" s="25">
        <f>[85]Source!Q698-J149</f>
        <v>0.03</v>
      </c>
      <c r="K139" s="2">
        <f>IF([85]Source!BB699&lt;&gt; 0, [85]Source!BB699, 1)</f>
        <v>6.27</v>
      </c>
      <c r="L139" s="25">
        <f>[85]Source!Q699-L149</f>
        <v>0.14000000000000001</v>
      </c>
    </row>
    <row r="140" spans="1:22" ht="14.25" x14ac:dyDescent="0.2">
      <c r="A140" s="4"/>
      <c r="B140" s="4"/>
      <c r="C140" s="5"/>
      <c r="D140" s="5" t="s">
        <v>22</v>
      </c>
      <c r="E140" s="6"/>
      <c r="F140" s="2"/>
      <c r="G140" s="7">
        <f>[85]Source!AN698</f>
        <v>2.2200000000000002</v>
      </c>
      <c r="H140" s="8" t="str">
        <f>[85]Source!DE698</f>
        <v>)*2</v>
      </c>
      <c r="I140" s="2">
        <f>[85]Source!AV699</f>
        <v>1.0469999999999999</v>
      </c>
      <c r="J140" s="10">
        <f>[85]Source!R698-J150</f>
        <v>0.01</v>
      </c>
      <c r="K140" s="2">
        <f>IF([85]Source!BS699&lt;&gt; 0, [85]Source!BS699, 1)</f>
        <v>23.94</v>
      </c>
      <c r="L140" s="10">
        <f>[85]Source!R699-L150</f>
        <v>0.19</v>
      </c>
    </row>
    <row r="141" spans="1:22" ht="14.25" x14ac:dyDescent="0.2">
      <c r="A141" s="4"/>
      <c r="B141" s="4"/>
      <c r="C141" s="5"/>
      <c r="D141" s="5" t="s">
        <v>23</v>
      </c>
      <c r="E141" s="6"/>
      <c r="F141" s="2"/>
      <c r="G141" s="7">
        <f>[85]Source!AL698</f>
        <v>20.16</v>
      </c>
      <c r="H141" s="8" t="str">
        <f>[85]Source!DD698</f>
        <v>)*2</v>
      </c>
      <c r="I141" s="2">
        <f>[85]Source!AW699</f>
        <v>1</v>
      </c>
      <c r="J141" s="25">
        <f>[85]Source!P698</f>
        <v>0.03</v>
      </c>
      <c r="K141" s="2">
        <f>IF([85]Source!BC699&lt;&gt; 0, [85]Source!BC699, 1)</f>
        <v>8.16</v>
      </c>
      <c r="L141" s="25">
        <f>[85]Source!P699</f>
        <v>0.24</v>
      </c>
    </row>
    <row r="142" spans="1:22" ht="57" x14ac:dyDescent="0.2">
      <c r="A142" s="4">
        <v>19</v>
      </c>
      <c r="B142" s="4" t="str">
        <f>[85]Source!E700</f>
        <v>204,1</v>
      </c>
      <c r="C142" s="5" t="str">
        <f>[85]Source!F700</f>
        <v>1.1-1-413</v>
      </c>
      <c r="D142" s="5" t="s">
        <v>114</v>
      </c>
      <c r="E142" s="6" t="str">
        <f>[85]Source!H700</f>
        <v>кг</v>
      </c>
      <c r="F142" s="2">
        <f>[85]Source!I700</f>
        <v>4.6800000000000001E-2</v>
      </c>
      <c r="G142" s="7">
        <f>[85]Source!AK700</f>
        <v>47.9</v>
      </c>
      <c r="H142" s="36" t="s">
        <v>129</v>
      </c>
      <c r="I142" s="2">
        <f>[85]Source!AW701</f>
        <v>1</v>
      </c>
      <c r="J142" s="25">
        <f>[85]Source!O700</f>
        <v>2.2400000000000002</v>
      </c>
      <c r="K142" s="2">
        <f>IF([85]Source!BC701&lt;&gt; 0, [85]Source!BC701, 1)</f>
        <v>2.64</v>
      </c>
      <c r="L142" s="25">
        <f>[85]Source!O701</f>
        <v>5.91</v>
      </c>
      <c r="Q142">
        <f>[85]Source!X700</f>
        <v>0</v>
      </c>
      <c r="R142">
        <f>[85]Source!X701</f>
        <v>0</v>
      </c>
      <c r="S142">
        <f>[85]Source!Y700</f>
        <v>0</v>
      </c>
      <c r="T142">
        <f>[85]Source!Y701</f>
        <v>0</v>
      </c>
      <c r="U142">
        <f>ROUND((175/100)*ROUND([85]Source!R700, 2), 2)</f>
        <v>0</v>
      </c>
      <c r="V142">
        <f>ROUND((157/100)*ROUND([85]Source!R701, 2), 2)</f>
        <v>0</v>
      </c>
    </row>
    <row r="143" spans="1:22" ht="14.25" x14ac:dyDescent="0.2">
      <c r="A143" s="4"/>
      <c r="B143" s="4"/>
      <c r="C143" s="5"/>
      <c r="D143" s="5" t="s">
        <v>24</v>
      </c>
      <c r="E143" s="6" t="s">
        <v>25</v>
      </c>
      <c r="F143" s="2">
        <f>[85]Source!DN699</f>
        <v>105</v>
      </c>
      <c r="G143" s="7"/>
      <c r="H143" s="8"/>
      <c r="I143" s="2"/>
      <c r="J143" s="25">
        <f>SUM(Q137:Q142)</f>
        <v>7.0000000000000007E-2</v>
      </c>
      <c r="K143" s="2">
        <f>[85]Source!BZ699</f>
        <v>85</v>
      </c>
      <c r="L143" s="25">
        <f>SUM(R137:R142)</f>
        <v>1.43</v>
      </c>
    </row>
    <row r="144" spans="1:22" ht="14.25" x14ac:dyDescent="0.2">
      <c r="A144" s="4"/>
      <c r="B144" s="4"/>
      <c r="C144" s="5"/>
      <c r="D144" s="5" t="s">
        <v>26</v>
      </c>
      <c r="E144" s="6" t="s">
        <v>25</v>
      </c>
      <c r="F144" s="2">
        <f>[85]Source!DO699</f>
        <v>77</v>
      </c>
      <c r="G144" s="7"/>
      <c r="H144" s="8"/>
      <c r="I144" s="2"/>
      <c r="J144" s="25">
        <f>SUM(S137:S143)</f>
        <v>0.05</v>
      </c>
      <c r="K144" s="2">
        <f>[85]Source!CA699</f>
        <v>41</v>
      </c>
      <c r="L144" s="25">
        <f>SUM(T137:T143)</f>
        <v>0.69</v>
      </c>
    </row>
    <row r="145" spans="1:22" ht="14.25" x14ac:dyDescent="0.2">
      <c r="A145" s="4"/>
      <c r="B145" s="4"/>
      <c r="C145" s="5"/>
      <c r="D145" s="5" t="s">
        <v>27</v>
      </c>
      <c r="E145" s="6" t="s">
        <v>25</v>
      </c>
      <c r="F145" s="2">
        <f>175</f>
        <v>175</v>
      </c>
      <c r="G145" s="7"/>
      <c r="H145" s="8"/>
      <c r="I145" s="2"/>
      <c r="J145" s="25">
        <f>SUM(U137:U144)-J151</f>
        <v>0.02</v>
      </c>
      <c r="K145" s="2">
        <f>157</f>
        <v>157</v>
      </c>
      <c r="L145" s="25">
        <f>SUM(V137:V144)-L151</f>
        <v>0.3</v>
      </c>
    </row>
    <row r="146" spans="1:22" ht="14.25" x14ac:dyDescent="0.2">
      <c r="A146" s="4"/>
      <c r="B146" s="4"/>
      <c r="C146" s="5"/>
      <c r="D146" s="5" t="s">
        <v>28</v>
      </c>
      <c r="E146" s="6" t="s">
        <v>29</v>
      </c>
      <c r="F146" s="2">
        <f>[85]Source!AQ698</f>
        <v>2.54</v>
      </c>
      <c r="G146" s="7"/>
      <c r="H146" s="8" t="str">
        <f>[85]Source!DI698</f>
        <v>)*2</v>
      </c>
      <c r="I146" s="2">
        <f>[85]Source!AV699</f>
        <v>1.0469999999999999</v>
      </c>
      <c r="J146" s="25">
        <f>[85]Source!U698</f>
        <v>0</v>
      </c>
      <c r="K146" s="2"/>
      <c r="L146" s="25"/>
    </row>
    <row r="147" spans="1:22" ht="15" x14ac:dyDescent="0.25">
      <c r="I147" s="525">
        <f>J138+J139+J141+J143+J144+J145+SUM(J142:J142)</f>
        <v>2.5099999999999998</v>
      </c>
      <c r="J147" s="525"/>
      <c r="K147" s="525">
        <f>L138+L139+L141+L143+L144+L145+SUM(L142:L142)</f>
        <v>10.39</v>
      </c>
      <c r="L147" s="525"/>
      <c r="O147" s="11">
        <f>J138+J139+J141+J143+J144+J145+SUM(J142:J142)</f>
        <v>2.5099999999999998</v>
      </c>
      <c r="P147" s="11">
        <f>L138+L139+L141+L143+L144+L145+SUM(L142:L142)</f>
        <v>10.39</v>
      </c>
    </row>
    <row r="148" spans="1:22" ht="28.5" x14ac:dyDescent="0.2">
      <c r="A148" s="12"/>
      <c r="B148" s="12"/>
      <c r="C148" s="13"/>
      <c r="D148" s="13" t="s">
        <v>30</v>
      </c>
      <c r="E148" s="6"/>
      <c r="F148" s="14"/>
      <c r="G148" s="15"/>
      <c r="H148" s="6"/>
      <c r="I148" s="14"/>
      <c r="J148" s="10"/>
      <c r="K148" s="14"/>
      <c r="L148" s="10"/>
    </row>
    <row r="149" spans="1:22" ht="14.25" x14ac:dyDescent="0.2">
      <c r="A149" s="12"/>
      <c r="B149" s="12"/>
      <c r="C149" s="13"/>
      <c r="D149" s="13" t="s">
        <v>21</v>
      </c>
      <c r="E149" s="6"/>
      <c r="F149" s="14"/>
      <c r="G149" s="15">
        <f t="shared" ref="G149:L149" si="5">G150</f>
        <v>2.2200000000000002</v>
      </c>
      <c r="H149" s="16" t="str">
        <f t="shared" si="5"/>
        <v>)*(1.67-1)*2</v>
      </c>
      <c r="I149" s="14">
        <f t="shared" si="5"/>
        <v>1.0469999999999999</v>
      </c>
      <c r="J149" s="10">
        <f t="shared" si="5"/>
        <v>0</v>
      </c>
      <c r="K149" s="14">
        <f t="shared" si="5"/>
        <v>23.94</v>
      </c>
      <c r="L149" s="10">
        <f t="shared" si="5"/>
        <v>0.05</v>
      </c>
    </row>
    <row r="150" spans="1:22" ht="14.25" x14ac:dyDescent="0.2">
      <c r="A150" s="12"/>
      <c r="B150" s="12"/>
      <c r="C150" s="13"/>
      <c r="D150" s="13" t="s">
        <v>22</v>
      </c>
      <c r="E150" s="6"/>
      <c r="F150" s="14"/>
      <c r="G150" s="15">
        <f>[85]Source!AN698</f>
        <v>2.2200000000000002</v>
      </c>
      <c r="H150" s="16" t="s">
        <v>115</v>
      </c>
      <c r="I150" s="14">
        <f>[85]Source!AV699</f>
        <v>1.0469999999999999</v>
      </c>
      <c r="J150" s="10">
        <f>ROUND(F137*G150*I150*(1.67-1)*2, 2)</f>
        <v>0</v>
      </c>
      <c r="K150" s="14">
        <f>IF([85]Source!BS699&lt;&gt; 0, [85]Source!BS699, 1)</f>
        <v>23.94</v>
      </c>
      <c r="L150" s="10">
        <f>ROUND(F137*G150*I150*(1.67-1)*2*K150, 2)</f>
        <v>0.05</v>
      </c>
    </row>
    <row r="151" spans="1:22" ht="14.25" x14ac:dyDescent="0.2">
      <c r="A151" s="12"/>
      <c r="B151" s="12"/>
      <c r="C151" s="13"/>
      <c r="D151" s="13" t="s">
        <v>27</v>
      </c>
      <c r="E151" s="6" t="s">
        <v>25</v>
      </c>
      <c r="F151" s="14">
        <f>175</f>
        <v>175</v>
      </c>
      <c r="G151" s="15"/>
      <c r="H151" s="6"/>
      <c r="I151" s="14"/>
      <c r="J151" s="10">
        <f>ROUND(J150*(F151/100), 2)</f>
        <v>0</v>
      </c>
      <c r="K151" s="14">
        <f>157</f>
        <v>157</v>
      </c>
      <c r="L151" s="10">
        <f>ROUND(L150*(K151/100), 2)</f>
        <v>0.08</v>
      </c>
    </row>
    <row r="152" spans="1:22" ht="15" x14ac:dyDescent="0.25">
      <c r="I152" s="525">
        <f>J151+J150</f>
        <v>0</v>
      </c>
      <c r="J152" s="525"/>
      <c r="K152" s="525">
        <f>L151+L150</f>
        <v>0.13</v>
      </c>
      <c r="L152" s="525"/>
      <c r="O152" s="11">
        <f>I152</f>
        <v>0</v>
      </c>
      <c r="P152" s="11">
        <f>K152</f>
        <v>0.13</v>
      </c>
    </row>
    <row r="154" spans="1:22" ht="15" x14ac:dyDescent="0.25">
      <c r="A154" s="37"/>
      <c r="B154" s="37"/>
      <c r="C154" s="38"/>
      <c r="D154" s="38" t="s">
        <v>32</v>
      </c>
      <c r="E154" s="39"/>
      <c r="F154" s="40"/>
      <c r="G154" s="41"/>
      <c r="H154" s="42"/>
      <c r="I154" s="524">
        <f>I147+I152</f>
        <v>2.5099999999999998</v>
      </c>
      <c r="J154" s="524"/>
      <c r="K154" s="524">
        <f>K147+K152</f>
        <v>10.52</v>
      </c>
      <c r="L154" s="524"/>
    </row>
    <row r="155" spans="1:22" ht="99.75" x14ac:dyDescent="0.2">
      <c r="A155" s="4">
        <v>20</v>
      </c>
      <c r="B155" s="4" t="str">
        <f>[85]Source!E706</f>
        <v>207</v>
      </c>
      <c r="C155" s="5" t="str">
        <f>[85]Source!F706</f>
        <v>1.7-5-155</v>
      </c>
      <c r="D155" s="5" t="s">
        <v>130</v>
      </c>
      <c r="E155" s="6" t="str">
        <f>[85]Source!H706</f>
        <v>шт.</v>
      </c>
      <c r="F155" s="2">
        <f>[85]Source!I706</f>
        <v>10</v>
      </c>
      <c r="G155" s="7">
        <f>[85]Source!AL706</f>
        <v>25.33</v>
      </c>
      <c r="H155" s="8" t="str">
        <f>[85]Source!DD706</f>
        <v/>
      </c>
      <c r="I155" s="2">
        <f>[85]Source!AW707</f>
        <v>1</v>
      </c>
      <c r="J155" s="25">
        <f>[85]Source!P706</f>
        <v>253.3</v>
      </c>
      <c r="K155" s="2">
        <f>IF([85]Source!BC707&lt;&gt; 0, [85]Source!BC707, 1)</f>
        <v>5.0999999999999996</v>
      </c>
      <c r="L155" s="25">
        <f>[85]Source!P707</f>
        <v>1291.83</v>
      </c>
      <c r="Q155">
        <f>[85]Source!X706</f>
        <v>0</v>
      </c>
      <c r="R155">
        <f>[85]Source!X707</f>
        <v>0</v>
      </c>
      <c r="S155">
        <f>[85]Source!Y706</f>
        <v>0</v>
      </c>
      <c r="T155">
        <f>[85]Source!Y707</f>
        <v>0</v>
      </c>
      <c r="U155">
        <f>ROUND((175/100)*ROUND([85]Source!R706, 2), 2)</f>
        <v>0</v>
      </c>
      <c r="V155">
        <f>ROUND((157/100)*ROUND([85]Source!R707, 2), 2)</f>
        <v>0</v>
      </c>
    </row>
    <row r="156" spans="1:22" ht="15" x14ac:dyDescent="0.25">
      <c r="A156" s="35"/>
      <c r="B156" s="35"/>
      <c r="C156" s="35"/>
      <c r="D156" s="35"/>
      <c r="E156" s="35"/>
      <c r="F156" s="35"/>
      <c r="G156" s="35"/>
      <c r="H156" s="35"/>
      <c r="I156" s="524">
        <f>J155</f>
        <v>253.3</v>
      </c>
      <c r="J156" s="524"/>
      <c r="K156" s="524">
        <f>L155</f>
        <v>1291.83</v>
      </c>
      <c r="L156" s="524"/>
      <c r="O156" s="11">
        <f>J155</f>
        <v>253.3</v>
      </c>
      <c r="P156" s="11">
        <f>L155</f>
        <v>1291.83</v>
      </c>
    </row>
    <row r="157" spans="1:22" ht="71.25" x14ac:dyDescent="0.2">
      <c r="A157" s="4">
        <v>21</v>
      </c>
      <c r="B157" s="4" t="str">
        <f>[85]Source!E708</f>
        <v>208</v>
      </c>
      <c r="C157" s="5" t="str">
        <f>[85]Source!F708</f>
        <v>1.7-5-240</v>
      </c>
      <c r="D157" s="5" t="s">
        <v>136</v>
      </c>
      <c r="E157" s="6" t="str">
        <f>[85]Source!H708</f>
        <v>100 шт.</v>
      </c>
      <c r="F157" s="2">
        <f>[85]Source!I708</f>
        <v>0.18</v>
      </c>
      <c r="G157" s="7">
        <f>[85]Source!AL708</f>
        <v>617.04</v>
      </c>
      <c r="H157" s="8" t="str">
        <f>[85]Source!DD708</f>
        <v/>
      </c>
      <c r="I157" s="2">
        <f>[85]Source!AW709</f>
        <v>1</v>
      </c>
      <c r="J157" s="25">
        <f>[85]Source!P708</f>
        <v>111.07</v>
      </c>
      <c r="K157" s="2">
        <f>IF([85]Source!BC709&lt;&gt; 0, [85]Source!BC709, 1)</f>
        <v>6.63</v>
      </c>
      <c r="L157" s="25">
        <f>[85]Source!P709</f>
        <v>736.39</v>
      </c>
      <c r="Q157">
        <f>[85]Source!X708</f>
        <v>0</v>
      </c>
      <c r="R157">
        <f>[85]Source!X709</f>
        <v>0</v>
      </c>
      <c r="S157">
        <f>[85]Source!Y708</f>
        <v>0</v>
      </c>
      <c r="T157">
        <f>[85]Source!Y709</f>
        <v>0</v>
      </c>
      <c r="U157">
        <f>ROUND((175/100)*ROUND([85]Source!R708, 2), 2)</f>
        <v>0</v>
      </c>
      <c r="V157">
        <f>ROUND((157/100)*ROUND([85]Source!R709, 2), 2)</f>
        <v>0</v>
      </c>
    </row>
    <row r="158" spans="1:22" ht="15" x14ac:dyDescent="0.25">
      <c r="A158" s="35"/>
      <c r="B158" s="35"/>
      <c r="C158" s="35"/>
      <c r="D158" s="35"/>
      <c r="E158" s="35"/>
      <c r="F158" s="35"/>
      <c r="G158" s="35"/>
      <c r="H158" s="35"/>
      <c r="I158" s="524">
        <f>J157</f>
        <v>111.07</v>
      </c>
      <c r="J158" s="524"/>
      <c r="K158" s="524">
        <f>L157</f>
        <v>736.39</v>
      </c>
      <c r="L158" s="524"/>
      <c r="O158" s="11">
        <f>J157</f>
        <v>111.07</v>
      </c>
      <c r="P158" s="11">
        <f>L157</f>
        <v>736.39</v>
      </c>
    </row>
    <row r="160" spans="1:22" ht="15" x14ac:dyDescent="0.25">
      <c r="A160" s="528" t="str">
        <f>CONCATENATE("Итого по разделу: ",IF([85]Source!G755&lt;&gt;"Новый раздел", [85]Source!G755, ""))</f>
        <v>Итого по разделу: Бытовая канализация. Напорная сеть (К1Н)</v>
      </c>
      <c r="B160" s="528"/>
      <c r="C160" s="528"/>
      <c r="D160" s="528"/>
      <c r="E160" s="528"/>
      <c r="F160" s="528"/>
      <c r="G160" s="528"/>
      <c r="H160" s="528"/>
      <c r="I160" s="526">
        <f>SUM(O115:O159)</f>
        <v>24625.1</v>
      </c>
      <c r="J160" s="527"/>
      <c r="K160" s="526">
        <f>SUM(P115:P159)</f>
        <v>95138.29</v>
      </c>
      <c r="L160" s="527"/>
    </row>
    <row r="161" spans="1:22" hidden="1" x14ac:dyDescent="0.2">
      <c r="A161" t="s">
        <v>48</v>
      </c>
      <c r="J161">
        <f>SUM(W115:W160)</f>
        <v>0</v>
      </c>
      <c r="K161">
        <f>SUM(X115:X160)</f>
        <v>0</v>
      </c>
    </row>
    <row r="162" spans="1:22" hidden="1" x14ac:dyDescent="0.2">
      <c r="A162" t="s">
        <v>49</v>
      </c>
      <c r="J162">
        <f>SUM(Y115:Y161)</f>
        <v>0</v>
      </c>
      <c r="K162">
        <f>SUM(Z115:Z161)</f>
        <v>0</v>
      </c>
    </row>
    <row r="164" spans="1:22" ht="16.5" x14ac:dyDescent="0.25">
      <c r="A164" s="514" t="str">
        <f>CONCATENATE("Раздел: ",IF([85]Source!G1048&lt;&gt;"Новый раздел", [85]Source!G1048, ""))</f>
        <v>Раздел: Канализационная насосная станция (пом. 4.23)</v>
      </c>
      <c r="B164" s="514"/>
      <c r="C164" s="514"/>
      <c r="D164" s="514"/>
      <c r="E164" s="514"/>
      <c r="F164" s="514"/>
      <c r="G164" s="514"/>
      <c r="H164" s="514"/>
      <c r="I164" s="514"/>
      <c r="J164" s="514"/>
      <c r="K164" s="514"/>
      <c r="L164" s="514"/>
    </row>
    <row r="165" spans="1:22" ht="42.75" x14ac:dyDescent="0.2">
      <c r="A165" s="4">
        <v>22</v>
      </c>
      <c r="B165" s="4" t="str">
        <f>[85]Source!E1052</f>
        <v>284</v>
      </c>
      <c r="C165" s="5" t="str">
        <f>[85]Source!F1052</f>
        <v>3.18-11-3</v>
      </c>
      <c r="D165" s="5" t="s">
        <v>140</v>
      </c>
      <c r="E165" s="6" t="str">
        <f>[85]Source!H1052</f>
        <v>1 насос</v>
      </c>
      <c r="F165" s="2">
        <f>[85]Source!I1052</f>
        <v>1</v>
      </c>
      <c r="G165" s="7"/>
      <c r="H165" s="8"/>
      <c r="I165" s="2"/>
      <c r="J165" s="25"/>
      <c r="K165" s="2"/>
      <c r="L165" s="25"/>
      <c r="Q165">
        <f>[85]Source!X1052</f>
        <v>502.29</v>
      </c>
      <c r="R165">
        <f>[85]Source!X1053</f>
        <v>9619.81</v>
      </c>
      <c r="S165">
        <f>[85]Source!Y1052</f>
        <v>377.72</v>
      </c>
      <c r="T165">
        <f>[85]Source!Y1053</f>
        <v>4328.91</v>
      </c>
      <c r="U165">
        <f>ROUND((175/100)*ROUND([85]Source!R1052, 2), 2)</f>
        <v>29.75</v>
      </c>
      <c r="V165">
        <f>ROUND((157/100)*ROUND([85]Source!R1053, 2), 2)</f>
        <v>638.96</v>
      </c>
    </row>
    <row r="166" spans="1:22" ht="14.25" x14ac:dyDescent="0.2">
      <c r="A166" s="4"/>
      <c r="B166" s="4"/>
      <c r="C166" s="5"/>
      <c r="D166" s="5" t="s">
        <v>20</v>
      </c>
      <c r="E166" s="6"/>
      <c r="F166" s="2"/>
      <c r="G166" s="7">
        <f>[85]Source!AO1052</f>
        <v>225.51</v>
      </c>
      <c r="H166" s="8" t="str">
        <f>[85]Source!DG1052</f>
        <v>*1,67</v>
      </c>
      <c r="I166" s="2">
        <f>[85]Source!AV1053</f>
        <v>1.0669999999999999</v>
      </c>
      <c r="J166" s="25">
        <f>[85]Source!S1052</f>
        <v>401.83</v>
      </c>
      <c r="K166" s="2">
        <f>IF([85]Source!BA1053&lt;&gt; 0, [85]Source!BA1053, 1)</f>
        <v>23.94</v>
      </c>
      <c r="L166" s="25">
        <f>[85]Source!S1053</f>
        <v>9619.81</v>
      </c>
    </row>
    <row r="167" spans="1:22" ht="14.25" x14ac:dyDescent="0.2">
      <c r="A167" s="4"/>
      <c r="B167" s="4"/>
      <c r="C167" s="5"/>
      <c r="D167" s="5" t="s">
        <v>21</v>
      </c>
      <c r="E167" s="6"/>
      <c r="F167" s="2"/>
      <c r="G167" s="7">
        <f>[85]Source!AM1052</f>
        <v>41.81</v>
      </c>
      <c r="H167" s="8" t="str">
        <f>[85]Source!DE1052</f>
        <v/>
      </c>
      <c r="I167" s="2">
        <f>[85]Source!AV1053</f>
        <v>1.0669999999999999</v>
      </c>
      <c r="J167" s="25">
        <f>[85]Source!Q1052-J176</f>
        <v>44.61</v>
      </c>
      <c r="K167" s="2">
        <f>IF([85]Source!BB1053&lt;&gt; 0, [85]Source!BB1053, 1)</f>
        <v>9.59</v>
      </c>
      <c r="L167" s="25">
        <f>[85]Source!Q1053-L176</f>
        <v>427.81</v>
      </c>
    </row>
    <row r="168" spans="1:22" ht="14.25" x14ac:dyDescent="0.2">
      <c r="A168" s="4"/>
      <c r="B168" s="4"/>
      <c r="C168" s="5"/>
      <c r="D168" s="5" t="s">
        <v>22</v>
      </c>
      <c r="E168" s="6"/>
      <c r="F168" s="2"/>
      <c r="G168" s="7">
        <f>[85]Source!AN1052</f>
        <v>9.5399999999999991</v>
      </c>
      <c r="H168" s="8" t="str">
        <f>[85]Source!DE1052</f>
        <v/>
      </c>
      <c r="I168" s="2">
        <f>[85]Source!AV1053</f>
        <v>1.0669999999999999</v>
      </c>
      <c r="J168" s="10">
        <f>[85]Source!R1052-J177</f>
        <v>10.18</v>
      </c>
      <c r="K168" s="2">
        <f>IF([85]Source!BS1053&lt;&gt; 0, [85]Source!BS1053, 1)</f>
        <v>23.94</v>
      </c>
      <c r="L168" s="10">
        <f>[85]Source!R1053-L177</f>
        <v>243.71</v>
      </c>
    </row>
    <row r="169" spans="1:22" ht="14.25" x14ac:dyDescent="0.2">
      <c r="A169" s="4"/>
      <c r="B169" s="4"/>
      <c r="C169" s="5"/>
      <c r="D169" s="5" t="s">
        <v>23</v>
      </c>
      <c r="E169" s="6"/>
      <c r="F169" s="2"/>
      <c r="G169" s="7">
        <f>[85]Source!AL1052</f>
        <v>188.17</v>
      </c>
      <c r="H169" s="8" t="str">
        <f>[85]Source!DD1052</f>
        <v/>
      </c>
      <c r="I169" s="2">
        <f>[85]Source!AW1053</f>
        <v>1</v>
      </c>
      <c r="J169" s="25">
        <f>[85]Source!P1052</f>
        <v>188.17</v>
      </c>
      <c r="K169" s="2">
        <f>IF([85]Source!BC1053&lt;&gt; 0, [85]Source!BC1053, 1)</f>
        <v>4.57</v>
      </c>
      <c r="L169" s="25">
        <f>[85]Source!P1053</f>
        <v>859.94</v>
      </c>
    </row>
    <row r="170" spans="1:22" ht="14.25" x14ac:dyDescent="0.2">
      <c r="A170" s="4"/>
      <c r="B170" s="4"/>
      <c r="C170" s="5"/>
      <c r="D170" s="5" t="s">
        <v>24</v>
      </c>
      <c r="E170" s="6" t="s">
        <v>25</v>
      </c>
      <c r="F170" s="2">
        <f>[85]Source!DN1053</f>
        <v>125</v>
      </c>
      <c r="G170" s="7"/>
      <c r="H170" s="8"/>
      <c r="I170" s="2"/>
      <c r="J170" s="25">
        <f>SUM(Q165:Q169)</f>
        <v>502.29</v>
      </c>
      <c r="K170" s="2">
        <f>[85]Source!BZ1053</f>
        <v>100</v>
      </c>
      <c r="L170" s="25">
        <f>SUM(R165:R169)</f>
        <v>9619.81</v>
      </c>
    </row>
    <row r="171" spans="1:22" ht="14.25" x14ac:dyDescent="0.2">
      <c r="A171" s="4"/>
      <c r="B171" s="4"/>
      <c r="C171" s="5"/>
      <c r="D171" s="5" t="s">
        <v>26</v>
      </c>
      <c r="E171" s="6" t="s">
        <v>25</v>
      </c>
      <c r="F171" s="2">
        <f>[85]Source!DO1053</f>
        <v>94</v>
      </c>
      <c r="G171" s="7"/>
      <c r="H171" s="8"/>
      <c r="I171" s="2"/>
      <c r="J171" s="25">
        <f>SUM(S165:S170)</f>
        <v>377.72</v>
      </c>
      <c r="K171" s="2">
        <f>[85]Source!CA1053</f>
        <v>45</v>
      </c>
      <c r="L171" s="25">
        <f>SUM(T165:T170)</f>
        <v>4328.91</v>
      </c>
    </row>
    <row r="172" spans="1:22" ht="14.25" x14ac:dyDescent="0.2">
      <c r="A172" s="4"/>
      <c r="B172" s="4"/>
      <c r="C172" s="5"/>
      <c r="D172" s="5" t="s">
        <v>27</v>
      </c>
      <c r="E172" s="6" t="s">
        <v>25</v>
      </c>
      <c r="F172" s="2">
        <f>175</f>
        <v>175</v>
      </c>
      <c r="G172" s="7"/>
      <c r="H172" s="8"/>
      <c r="I172" s="2"/>
      <c r="J172" s="25">
        <f>SUM(U165:U171)-J178</f>
        <v>17.809999999999999</v>
      </c>
      <c r="K172" s="2">
        <f>157</f>
        <v>157</v>
      </c>
      <c r="L172" s="25">
        <f>SUM(V165:V171)-L178</f>
        <v>382.63</v>
      </c>
    </row>
    <row r="173" spans="1:22" ht="14.25" x14ac:dyDescent="0.2">
      <c r="A173" s="4"/>
      <c r="B173" s="4"/>
      <c r="C173" s="5"/>
      <c r="D173" s="5" t="s">
        <v>28</v>
      </c>
      <c r="E173" s="6" t="s">
        <v>29</v>
      </c>
      <c r="F173" s="2">
        <f>[85]Source!AQ1052</f>
        <v>18.5</v>
      </c>
      <c r="G173" s="7"/>
      <c r="H173" s="8" t="str">
        <f>[85]Source!DI1052</f>
        <v/>
      </c>
      <c r="I173" s="2">
        <f>[85]Source!AV1053</f>
        <v>1.0669999999999999</v>
      </c>
      <c r="J173" s="25">
        <f>[85]Source!U1052</f>
        <v>19.739999999999998</v>
      </c>
      <c r="K173" s="2"/>
      <c r="L173" s="25"/>
    </row>
    <row r="174" spans="1:22" ht="15" x14ac:dyDescent="0.25">
      <c r="I174" s="525">
        <f>J166+J167+J169+J170+J171+J172</f>
        <v>1532.43</v>
      </c>
      <c r="J174" s="525"/>
      <c r="K174" s="525">
        <f>L166+L167+L169+L170+L171+L172</f>
        <v>25238.91</v>
      </c>
      <c r="L174" s="525"/>
      <c r="O174" s="11">
        <f>J166+J167+J169+J170+J171+J172</f>
        <v>1532.43</v>
      </c>
      <c r="P174" s="11">
        <f>L166+L167+L169+L170+L171+L172</f>
        <v>25238.91</v>
      </c>
    </row>
    <row r="175" spans="1:22" ht="28.5" x14ac:dyDescent="0.2">
      <c r="A175" s="12"/>
      <c r="B175" s="12"/>
      <c r="C175" s="13"/>
      <c r="D175" s="13" t="s">
        <v>30</v>
      </c>
      <c r="E175" s="6"/>
      <c r="F175" s="14"/>
      <c r="G175" s="15"/>
      <c r="H175" s="6"/>
      <c r="I175" s="14"/>
      <c r="J175" s="10"/>
      <c r="K175" s="14"/>
      <c r="L175" s="10"/>
    </row>
    <row r="176" spans="1:22" ht="14.25" x14ac:dyDescent="0.2">
      <c r="A176" s="12"/>
      <c r="B176" s="12"/>
      <c r="C176" s="13"/>
      <c r="D176" s="13" t="s">
        <v>21</v>
      </c>
      <c r="E176" s="6"/>
      <c r="F176" s="14"/>
      <c r="G176" s="15">
        <f t="shared" ref="G176:L176" si="6">G177</f>
        <v>9.5399999999999991</v>
      </c>
      <c r="H176" s="16" t="str">
        <f t="shared" si="6"/>
        <v>)*(1.67-1)</v>
      </c>
      <c r="I176" s="14">
        <f t="shared" si="6"/>
        <v>1.0669999999999999</v>
      </c>
      <c r="J176" s="10">
        <f t="shared" si="6"/>
        <v>6.82</v>
      </c>
      <c r="K176" s="14">
        <f t="shared" si="6"/>
        <v>23.94</v>
      </c>
      <c r="L176" s="10">
        <f t="shared" si="6"/>
        <v>163.27000000000001</v>
      </c>
    </row>
    <row r="177" spans="1:22" ht="14.25" x14ac:dyDescent="0.2">
      <c r="A177" s="12"/>
      <c r="B177" s="12"/>
      <c r="C177" s="13"/>
      <c r="D177" s="13" t="s">
        <v>22</v>
      </c>
      <c r="E177" s="6"/>
      <c r="F177" s="14"/>
      <c r="G177" s="15">
        <f>[85]Source!AN1052</f>
        <v>9.5399999999999991</v>
      </c>
      <c r="H177" s="16" t="s">
        <v>31</v>
      </c>
      <c r="I177" s="14">
        <f>[85]Source!AV1053</f>
        <v>1.0669999999999999</v>
      </c>
      <c r="J177" s="10">
        <f>ROUND(F165*G177*I177*(1.67-1), 2)</f>
        <v>6.82</v>
      </c>
      <c r="K177" s="14">
        <f>IF([85]Source!BS1053&lt;&gt; 0, [85]Source!BS1053, 1)</f>
        <v>23.94</v>
      </c>
      <c r="L177" s="10">
        <f>ROUND(F165*G177*I177*(1.67-1)*K177, 2)</f>
        <v>163.27000000000001</v>
      </c>
    </row>
    <row r="178" spans="1:22" ht="14.25" x14ac:dyDescent="0.2">
      <c r="A178" s="12"/>
      <c r="B178" s="12"/>
      <c r="C178" s="13"/>
      <c r="D178" s="13" t="s">
        <v>27</v>
      </c>
      <c r="E178" s="6" t="s">
        <v>25</v>
      </c>
      <c r="F178" s="14">
        <f>175</f>
        <v>175</v>
      </c>
      <c r="G178" s="15"/>
      <c r="H178" s="6"/>
      <c r="I178" s="14"/>
      <c r="J178" s="10">
        <f>ROUND(J177*(F178/100), 2)</f>
        <v>11.94</v>
      </c>
      <c r="K178" s="14">
        <f>157</f>
        <v>157</v>
      </c>
      <c r="L178" s="10">
        <f>ROUND(L177*(K178/100), 2)</f>
        <v>256.33</v>
      </c>
    </row>
    <row r="179" spans="1:22" ht="15" x14ac:dyDescent="0.25">
      <c r="I179" s="525">
        <f>J178+J177</f>
        <v>18.760000000000002</v>
      </c>
      <c r="J179" s="525"/>
      <c r="K179" s="525">
        <f>L178+L177</f>
        <v>419.6</v>
      </c>
      <c r="L179" s="525"/>
      <c r="O179" s="11">
        <f>I179</f>
        <v>18.760000000000002</v>
      </c>
      <c r="P179" s="11">
        <f>K179</f>
        <v>419.6</v>
      </c>
    </row>
    <row r="181" spans="1:22" ht="15" x14ac:dyDescent="0.25">
      <c r="A181" s="37"/>
      <c r="B181" s="37"/>
      <c r="C181" s="38"/>
      <c r="D181" s="38" t="s">
        <v>32</v>
      </c>
      <c r="E181" s="39"/>
      <c r="F181" s="40"/>
      <c r="G181" s="41"/>
      <c r="H181" s="42"/>
      <c r="I181" s="524">
        <f>I174+I179</f>
        <v>1551.19</v>
      </c>
      <c r="J181" s="524"/>
      <c r="K181" s="524">
        <f>K174+K179</f>
        <v>25658.51</v>
      </c>
      <c r="L181" s="524"/>
    </row>
    <row r="182" spans="1:22" ht="71.25" x14ac:dyDescent="0.2">
      <c r="A182" s="4">
        <v>23</v>
      </c>
      <c r="B182" s="4" t="str">
        <f>[85]Source!E1054</f>
        <v>285</v>
      </c>
      <c r="C182" s="5" t="str">
        <f>[85]Source!F1054</f>
        <v>3.16-16-1</v>
      </c>
      <c r="D182" s="5" t="s">
        <v>141</v>
      </c>
      <c r="E182" s="6" t="str">
        <f>[85]Source!H1054</f>
        <v>1  ШТ.</v>
      </c>
      <c r="F182" s="2">
        <f>[85]Source!I1054</f>
        <v>2</v>
      </c>
      <c r="G182" s="7"/>
      <c r="H182" s="8"/>
      <c r="I182" s="2"/>
      <c r="J182" s="25"/>
      <c r="K182" s="2"/>
      <c r="L182" s="25"/>
      <c r="Q182">
        <f>[85]Source!X1054</f>
        <v>47.71</v>
      </c>
      <c r="R182">
        <f>[85]Source!X1055</f>
        <v>913.79</v>
      </c>
      <c r="S182">
        <f>[85]Source!Y1054</f>
        <v>35.880000000000003</v>
      </c>
      <c r="T182">
        <f>[85]Source!Y1055</f>
        <v>411.21</v>
      </c>
      <c r="U182">
        <f>ROUND((175/100)*ROUND([85]Source!R1054, 2), 2)</f>
        <v>8.49</v>
      </c>
      <c r="V182">
        <f>ROUND((157/100)*ROUND([85]Source!R1055, 2), 2)</f>
        <v>182.29</v>
      </c>
    </row>
    <row r="183" spans="1:22" ht="14.25" x14ac:dyDescent="0.2">
      <c r="A183" s="4"/>
      <c r="B183" s="4"/>
      <c r="C183" s="5"/>
      <c r="D183" s="5" t="s">
        <v>20</v>
      </c>
      <c r="E183" s="6"/>
      <c r="F183" s="2"/>
      <c r="G183" s="7">
        <f>[85]Source!AO1054</f>
        <v>10.71</v>
      </c>
      <c r="H183" s="8" t="str">
        <f>[85]Source!DG1054</f>
        <v>*1,67</v>
      </c>
      <c r="I183" s="2">
        <f>[85]Source!AV1055</f>
        <v>1.0669999999999999</v>
      </c>
      <c r="J183" s="25">
        <f>[85]Source!S1054</f>
        <v>38.17</v>
      </c>
      <c r="K183" s="2">
        <f>IF([85]Source!BA1055&lt;&gt; 0, [85]Source!BA1055, 1)</f>
        <v>23.94</v>
      </c>
      <c r="L183" s="25">
        <f>[85]Source!S1055</f>
        <v>913.79</v>
      </c>
    </row>
    <row r="184" spans="1:22" ht="14.25" x14ac:dyDescent="0.2">
      <c r="A184" s="4"/>
      <c r="B184" s="4"/>
      <c r="C184" s="5"/>
      <c r="D184" s="5" t="s">
        <v>21</v>
      </c>
      <c r="E184" s="6"/>
      <c r="F184" s="2"/>
      <c r="G184" s="7">
        <f>[85]Source!AM1054</f>
        <v>5.49</v>
      </c>
      <c r="H184" s="8" t="str">
        <f>[85]Source!DE1054</f>
        <v/>
      </c>
      <c r="I184" s="2">
        <f>[85]Source!AV1055</f>
        <v>1.0669999999999999</v>
      </c>
      <c r="J184" s="25">
        <f>[85]Source!Q1054-J193</f>
        <v>11.72</v>
      </c>
      <c r="K184" s="2">
        <f>IF([85]Source!BB1055&lt;&gt; 0, [85]Source!BB1055, 1)</f>
        <v>9.9499999999999993</v>
      </c>
      <c r="L184" s="25">
        <f>[85]Source!Q1055-L193</f>
        <v>116.5</v>
      </c>
    </row>
    <row r="185" spans="1:22" ht="14.25" x14ac:dyDescent="0.2">
      <c r="A185" s="4"/>
      <c r="B185" s="4"/>
      <c r="C185" s="5"/>
      <c r="D185" s="5" t="s">
        <v>22</v>
      </c>
      <c r="E185" s="6"/>
      <c r="F185" s="2"/>
      <c r="G185" s="7">
        <f>[85]Source!AN1054</f>
        <v>1.36</v>
      </c>
      <c r="H185" s="8" t="str">
        <f>[85]Source!DE1054</f>
        <v/>
      </c>
      <c r="I185" s="2">
        <f>[85]Source!AV1055</f>
        <v>1.0669999999999999</v>
      </c>
      <c r="J185" s="10">
        <f>[85]Source!R1054-J194</f>
        <v>2.91</v>
      </c>
      <c r="K185" s="2">
        <f>IF([85]Source!BS1055&lt;&gt; 0, [85]Source!BS1055, 1)</f>
        <v>23.94</v>
      </c>
      <c r="L185" s="10">
        <f>[85]Source!R1055-L194</f>
        <v>69.56</v>
      </c>
    </row>
    <row r="186" spans="1:22" ht="14.25" x14ac:dyDescent="0.2">
      <c r="A186" s="4"/>
      <c r="B186" s="4"/>
      <c r="C186" s="5"/>
      <c r="D186" s="5" t="s">
        <v>23</v>
      </c>
      <c r="E186" s="6"/>
      <c r="F186" s="2"/>
      <c r="G186" s="7">
        <f>[85]Source!AL1054</f>
        <v>19.8</v>
      </c>
      <c r="H186" s="8" t="str">
        <f>[85]Source!DD1054</f>
        <v/>
      </c>
      <c r="I186" s="2">
        <f>[85]Source!AW1055</f>
        <v>1</v>
      </c>
      <c r="J186" s="25">
        <f>[85]Source!P1054</f>
        <v>39.6</v>
      </c>
      <c r="K186" s="2">
        <f>IF([85]Source!BC1055&lt;&gt; 0, [85]Source!BC1055, 1)</f>
        <v>4.22</v>
      </c>
      <c r="L186" s="25">
        <f>[85]Source!P1055</f>
        <v>167.11</v>
      </c>
    </row>
    <row r="187" spans="1:22" ht="14.25" x14ac:dyDescent="0.2">
      <c r="A187" s="4"/>
      <c r="B187" s="4"/>
      <c r="C187" s="5"/>
      <c r="D187" s="5" t="s">
        <v>24</v>
      </c>
      <c r="E187" s="6" t="s">
        <v>25</v>
      </c>
      <c r="F187" s="2">
        <f>[85]Source!DN1055</f>
        <v>125</v>
      </c>
      <c r="G187" s="7"/>
      <c r="H187" s="8"/>
      <c r="I187" s="2"/>
      <c r="J187" s="25">
        <f>SUM(Q182:Q186)</f>
        <v>47.71</v>
      </c>
      <c r="K187" s="2">
        <f>[85]Source!BZ1055</f>
        <v>100</v>
      </c>
      <c r="L187" s="25">
        <f>SUM(R182:R186)</f>
        <v>913.79</v>
      </c>
    </row>
    <row r="188" spans="1:22" ht="14.25" x14ac:dyDescent="0.2">
      <c r="A188" s="4"/>
      <c r="B188" s="4"/>
      <c r="C188" s="5"/>
      <c r="D188" s="5" t="s">
        <v>26</v>
      </c>
      <c r="E188" s="6" t="s">
        <v>25</v>
      </c>
      <c r="F188" s="2">
        <f>[85]Source!DO1055</f>
        <v>94</v>
      </c>
      <c r="G188" s="7"/>
      <c r="H188" s="8"/>
      <c r="I188" s="2"/>
      <c r="J188" s="25">
        <f>SUM(S182:S187)</f>
        <v>35.880000000000003</v>
      </c>
      <c r="K188" s="2">
        <f>[85]Source!CA1055</f>
        <v>45</v>
      </c>
      <c r="L188" s="25">
        <f>SUM(T182:T187)</f>
        <v>411.21</v>
      </c>
    </row>
    <row r="189" spans="1:22" ht="14.25" x14ac:dyDescent="0.2">
      <c r="A189" s="4"/>
      <c r="B189" s="4"/>
      <c r="C189" s="5"/>
      <c r="D189" s="5" t="s">
        <v>27</v>
      </c>
      <c r="E189" s="6" t="s">
        <v>25</v>
      </c>
      <c r="F189" s="2">
        <f>175</f>
        <v>175</v>
      </c>
      <c r="G189" s="7"/>
      <c r="H189" s="8"/>
      <c r="I189" s="2"/>
      <c r="J189" s="25">
        <f>SUM(U182:U188)-J195</f>
        <v>5.09</v>
      </c>
      <c r="K189" s="2">
        <f>157</f>
        <v>157</v>
      </c>
      <c r="L189" s="25">
        <f>SUM(V182:V188)-L195</f>
        <v>109.21</v>
      </c>
    </row>
    <row r="190" spans="1:22" ht="14.25" x14ac:dyDescent="0.2">
      <c r="A190" s="4"/>
      <c r="B190" s="4"/>
      <c r="C190" s="5"/>
      <c r="D190" s="5" t="s">
        <v>28</v>
      </c>
      <c r="E190" s="6" t="s">
        <v>29</v>
      </c>
      <c r="F190" s="2">
        <f>[85]Source!AQ1054</f>
        <v>0.9</v>
      </c>
      <c r="G190" s="7"/>
      <c r="H190" s="8" t="str">
        <f>[85]Source!DI1054</f>
        <v/>
      </c>
      <c r="I190" s="2">
        <f>[85]Source!AV1055</f>
        <v>1.0669999999999999</v>
      </c>
      <c r="J190" s="25">
        <f>[85]Source!U1054</f>
        <v>1.92</v>
      </c>
      <c r="K190" s="2"/>
      <c r="L190" s="25"/>
    </row>
    <row r="191" spans="1:22" ht="15" x14ac:dyDescent="0.25">
      <c r="I191" s="525">
        <f>J183+J184+J186+J187+J188+J189</f>
        <v>178.17</v>
      </c>
      <c r="J191" s="525"/>
      <c r="K191" s="525">
        <f>L183+L184+L186+L187+L188+L189</f>
        <v>2631.61</v>
      </c>
      <c r="L191" s="525"/>
      <c r="O191" s="11">
        <f>J183+J184+J186+J187+J188+J189</f>
        <v>178.17</v>
      </c>
      <c r="P191" s="11">
        <f>L183+L184+L186+L187+L188+L189</f>
        <v>2631.61</v>
      </c>
    </row>
    <row r="192" spans="1:22" ht="28.5" x14ac:dyDescent="0.2">
      <c r="A192" s="12"/>
      <c r="B192" s="12"/>
      <c r="C192" s="13"/>
      <c r="D192" s="13" t="s">
        <v>30</v>
      </c>
      <c r="E192" s="6"/>
      <c r="F192" s="14"/>
      <c r="G192" s="15"/>
      <c r="H192" s="6"/>
      <c r="I192" s="14"/>
      <c r="J192" s="10"/>
      <c r="K192" s="14"/>
      <c r="L192" s="10"/>
    </row>
    <row r="193" spans="1:22" ht="14.25" x14ac:dyDescent="0.2">
      <c r="A193" s="12"/>
      <c r="B193" s="12"/>
      <c r="C193" s="13"/>
      <c r="D193" s="13" t="s">
        <v>21</v>
      </c>
      <c r="E193" s="6"/>
      <c r="F193" s="14"/>
      <c r="G193" s="15">
        <f t="shared" ref="G193:L193" si="7">G194</f>
        <v>1.36</v>
      </c>
      <c r="H193" s="16" t="str">
        <f t="shared" si="7"/>
        <v>)*(1.67-1)</v>
      </c>
      <c r="I193" s="14">
        <f t="shared" si="7"/>
        <v>1.0669999999999999</v>
      </c>
      <c r="J193" s="10">
        <f t="shared" si="7"/>
        <v>1.94</v>
      </c>
      <c r="K193" s="14">
        <f t="shared" si="7"/>
        <v>23.94</v>
      </c>
      <c r="L193" s="10">
        <f t="shared" si="7"/>
        <v>46.55</v>
      </c>
    </row>
    <row r="194" spans="1:22" ht="14.25" x14ac:dyDescent="0.2">
      <c r="A194" s="12"/>
      <c r="B194" s="12"/>
      <c r="C194" s="13"/>
      <c r="D194" s="13" t="s">
        <v>22</v>
      </c>
      <c r="E194" s="6"/>
      <c r="F194" s="14"/>
      <c r="G194" s="15">
        <f>[85]Source!AN1054</f>
        <v>1.36</v>
      </c>
      <c r="H194" s="16" t="s">
        <v>31</v>
      </c>
      <c r="I194" s="14">
        <f>[85]Source!AV1055</f>
        <v>1.0669999999999999</v>
      </c>
      <c r="J194" s="10">
        <f>ROUND(F182*G194*I194*(1.67-1), 2)</f>
        <v>1.94</v>
      </c>
      <c r="K194" s="14">
        <f>IF([85]Source!BS1055&lt;&gt; 0, [85]Source!BS1055, 1)</f>
        <v>23.94</v>
      </c>
      <c r="L194" s="10">
        <f>ROUND(F182*G194*I194*(1.67-1)*K194, 2)</f>
        <v>46.55</v>
      </c>
    </row>
    <row r="195" spans="1:22" ht="14.25" x14ac:dyDescent="0.2">
      <c r="A195" s="12"/>
      <c r="B195" s="12"/>
      <c r="C195" s="13"/>
      <c r="D195" s="13" t="s">
        <v>27</v>
      </c>
      <c r="E195" s="6" t="s">
        <v>25</v>
      </c>
      <c r="F195" s="14">
        <f>175</f>
        <v>175</v>
      </c>
      <c r="G195" s="15"/>
      <c r="H195" s="6"/>
      <c r="I195" s="14"/>
      <c r="J195" s="10">
        <f>ROUND(J194*(F195/100), 2)</f>
        <v>3.4</v>
      </c>
      <c r="K195" s="14">
        <f>157</f>
        <v>157</v>
      </c>
      <c r="L195" s="10">
        <f>ROUND(L194*(K195/100), 2)</f>
        <v>73.08</v>
      </c>
    </row>
    <row r="196" spans="1:22" ht="15" x14ac:dyDescent="0.25">
      <c r="I196" s="525">
        <f>J195+J194</f>
        <v>5.34</v>
      </c>
      <c r="J196" s="525"/>
      <c r="K196" s="525">
        <f>L195+L194</f>
        <v>119.63</v>
      </c>
      <c r="L196" s="525"/>
      <c r="O196" s="11">
        <f>I196</f>
        <v>5.34</v>
      </c>
      <c r="P196" s="11">
        <f>K196</f>
        <v>119.63</v>
      </c>
    </row>
    <row r="198" spans="1:22" ht="15" x14ac:dyDescent="0.25">
      <c r="A198" s="37"/>
      <c r="B198" s="37"/>
      <c r="C198" s="38"/>
      <c r="D198" s="38" t="s">
        <v>32</v>
      </c>
      <c r="E198" s="39"/>
      <c r="F198" s="40"/>
      <c r="G198" s="41"/>
      <c r="H198" s="42"/>
      <c r="I198" s="524">
        <f>I191+I196</f>
        <v>183.51</v>
      </c>
      <c r="J198" s="524"/>
      <c r="K198" s="524">
        <f>K191+K196</f>
        <v>2751.24</v>
      </c>
      <c r="L198" s="524"/>
    </row>
    <row r="199" spans="1:22" ht="99.75" x14ac:dyDescent="0.2">
      <c r="A199" s="4">
        <v>24</v>
      </c>
      <c r="B199" s="4" t="str">
        <f>[85]Source!E1056</f>
        <v>286</v>
      </c>
      <c r="C199" s="5" t="str">
        <f>[85]Source!F1056</f>
        <v>МКЭ-33-2104/7-3 от 14.12.2017г.</v>
      </c>
      <c r="D199" s="5" t="s">
        <v>178</v>
      </c>
      <c r="E199" s="6" t="str">
        <f>[85]Source!H1056</f>
        <v>шт.</v>
      </c>
      <c r="F199" s="2">
        <f>[85]Source!I1056</f>
        <v>2</v>
      </c>
      <c r="G199" s="25">
        <f>[85]Source!AL1056</f>
        <v>958.8</v>
      </c>
      <c r="H199" s="8" t="str">
        <f>[85]Source!DD1056</f>
        <v>*1,02</v>
      </c>
      <c r="I199" s="2">
        <f>[85]Source!AW1057</f>
        <v>1</v>
      </c>
      <c r="J199" s="25">
        <f>L199/K199</f>
        <v>1955.95</v>
      </c>
      <c r="K199" s="2">
        <f>IF([85]Source!BC1057&lt;&gt; 0, [85]Source!BC1057, 1)</f>
        <v>5.48</v>
      </c>
      <c r="L199" s="25">
        <f>F199*1.02*5254.23</f>
        <v>10718.63</v>
      </c>
      <c r="Q199">
        <f>[85]Source!X1056</f>
        <v>0</v>
      </c>
      <c r="R199">
        <f>[85]Source!X1057</f>
        <v>0</v>
      </c>
      <c r="S199">
        <f>[85]Source!Y1056</f>
        <v>0</v>
      </c>
      <c r="T199">
        <f>[85]Source!Y1057</f>
        <v>0</v>
      </c>
      <c r="U199">
        <f>ROUND((175/100)*ROUND([85]Source!R1056, 2), 2)</f>
        <v>0</v>
      </c>
      <c r="V199">
        <f>ROUND((157/100)*ROUND([85]Source!R1057, 2), 2)</f>
        <v>0</v>
      </c>
    </row>
    <row r="200" spans="1:22" ht="15" x14ac:dyDescent="0.25">
      <c r="A200" s="35"/>
      <c r="B200" s="35"/>
      <c r="C200" s="35"/>
      <c r="D200" s="35"/>
      <c r="E200" s="35"/>
      <c r="F200" s="35"/>
      <c r="G200" s="35"/>
      <c r="H200" s="35"/>
      <c r="I200" s="524">
        <f>J199</f>
        <v>1955.95</v>
      </c>
      <c r="J200" s="524"/>
      <c r="K200" s="524">
        <f>L199</f>
        <v>10718.63</v>
      </c>
      <c r="L200" s="524"/>
      <c r="O200" s="11">
        <f>J199</f>
        <v>1955.95</v>
      </c>
      <c r="P200" s="11">
        <f>L199</f>
        <v>10718.63</v>
      </c>
    </row>
    <row r="201" spans="1:22" ht="71.25" x14ac:dyDescent="0.2">
      <c r="A201" s="4">
        <v>25</v>
      </c>
      <c r="B201" s="4" t="str">
        <f>[85]Source!E1058</f>
        <v>287</v>
      </c>
      <c r="C201" s="5" t="str">
        <f>[85]Source!F1058</f>
        <v>1.12-9-4</v>
      </c>
      <c r="D201" s="5" t="s">
        <v>142</v>
      </c>
      <c r="E201" s="6" t="str">
        <f>[85]Source!H1058</f>
        <v>шт.</v>
      </c>
      <c r="F201" s="2">
        <f>[85]Source!I1058</f>
        <v>4</v>
      </c>
      <c r="G201" s="7">
        <f>[85]Source!AL1058</f>
        <v>45.95</v>
      </c>
      <c r="H201" s="8" t="str">
        <f>[85]Source!DD1058</f>
        <v/>
      </c>
      <c r="I201" s="2">
        <f>[85]Source!AW1059</f>
        <v>1</v>
      </c>
      <c r="J201" s="25">
        <f>[85]Source!P1058</f>
        <v>183.8</v>
      </c>
      <c r="K201" s="2">
        <f>IF([85]Source!BC1059&lt;&gt; 0, [85]Source!BC1059, 1)</f>
        <v>4.08</v>
      </c>
      <c r="L201" s="25">
        <f>[85]Source!P1059</f>
        <v>749.9</v>
      </c>
      <c r="Q201">
        <f>[85]Source!X1058</f>
        <v>0</v>
      </c>
      <c r="R201">
        <f>[85]Source!X1059</f>
        <v>0</v>
      </c>
      <c r="S201">
        <f>[85]Source!Y1058</f>
        <v>0</v>
      </c>
      <c r="T201">
        <f>[85]Source!Y1059</f>
        <v>0</v>
      </c>
      <c r="U201">
        <f>ROUND((175/100)*ROUND([85]Source!R1058, 2), 2)</f>
        <v>0</v>
      </c>
      <c r="V201">
        <f>ROUND((157/100)*ROUND([85]Source!R1059, 2), 2)</f>
        <v>0</v>
      </c>
    </row>
    <row r="202" spans="1:22" ht="15" x14ac:dyDescent="0.25">
      <c r="A202" s="35"/>
      <c r="B202" s="35"/>
      <c r="C202" s="35"/>
      <c r="D202" s="35"/>
      <c r="E202" s="35"/>
      <c r="F202" s="35"/>
      <c r="G202" s="35"/>
      <c r="H202" s="35"/>
      <c r="I202" s="524">
        <f>J201</f>
        <v>183.8</v>
      </c>
      <c r="J202" s="524"/>
      <c r="K202" s="524">
        <f>L201</f>
        <v>749.9</v>
      </c>
      <c r="L202" s="524"/>
      <c r="O202" s="11">
        <f>J201</f>
        <v>183.8</v>
      </c>
      <c r="P202" s="11">
        <f>L201</f>
        <v>749.9</v>
      </c>
    </row>
    <row r="203" spans="1:22" ht="71.25" x14ac:dyDescent="0.2">
      <c r="A203" s="4">
        <v>26</v>
      </c>
      <c r="B203" s="4" t="str">
        <f>[85]Source!E1060</f>
        <v>288</v>
      </c>
      <c r="C203" s="5" t="str">
        <f>[85]Source!F1060</f>
        <v>3.16-16-2</v>
      </c>
      <c r="D203" s="5" t="s">
        <v>143</v>
      </c>
      <c r="E203" s="6" t="str">
        <f>[85]Source!H1060</f>
        <v>1  ШТ.</v>
      </c>
      <c r="F203" s="2">
        <f>[85]Source!I1060</f>
        <v>2</v>
      </c>
      <c r="G203" s="7"/>
      <c r="H203" s="8"/>
      <c r="I203" s="2"/>
      <c r="J203" s="25"/>
      <c r="K203" s="2"/>
      <c r="L203" s="25"/>
      <c r="Q203">
        <f>[85]Source!X1060</f>
        <v>83.75</v>
      </c>
      <c r="R203">
        <f>[85]Source!X1061</f>
        <v>1603.98</v>
      </c>
      <c r="S203">
        <f>[85]Source!Y1060</f>
        <v>62.98</v>
      </c>
      <c r="T203">
        <f>[85]Source!Y1061</f>
        <v>721.79</v>
      </c>
      <c r="U203">
        <f>ROUND((175/100)*ROUND([85]Source!R1060, 2), 2)</f>
        <v>8.49</v>
      </c>
      <c r="V203">
        <f>ROUND((157/100)*ROUND([85]Source!R1061, 2), 2)</f>
        <v>182.29</v>
      </c>
    </row>
    <row r="204" spans="1:22" ht="14.25" x14ac:dyDescent="0.2">
      <c r="A204" s="4"/>
      <c r="B204" s="4"/>
      <c r="C204" s="5"/>
      <c r="D204" s="5" t="s">
        <v>20</v>
      </c>
      <c r="E204" s="6"/>
      <c r="F204" s="2"/>
      <c r="G204" s="7">
        <f>[85]Source!AO1060</f>
        <v>18.8</v>
      </c>
      <c r="H204" s="8" t="str">
        <f>[85]Source!DG1060</f>
        <v>*1,67</v>
      </c>
      <c r="I204" s="2">
        <f>[85]Source!AV1061</f>
        <v>1.0669999999999999</v>
      </c>
      <c r="J204" s="25">
        <f>[85]Source!S1060</f>
        <v>67</v>
      </c>
      <c r="K204" s="2">
        <f>IF([85]Source!BA1061&lt;&gt; 0, [85]Source!BA1061, 1)</f>
        <v>23.94</v>
      </c>
      <c r="L204" s="25">
        <f>[85]Source!S1061</f>
        <v>1603.98</v>
      </c>
    </row>
    <row r="205" spans="1:22" ht="14.25" x14ac:dyDescent="0.2">
      <c r="A205" s="4"/>
      <c r="B205" s="4"/>
      <c r="C205" s="5"/>
      <c r="D205" s="5" t="s">
        <v>21</v>
      </c>
      <c r="E205" s="6"/>
      <c r="F205" s="2"/>
      <c r="G205" s="7">
        <f>[85]Source!AM1060</f>
        <v>5.49</v>
      </c>
      <c r="H205" s="8" t="str">
        <f>[85]Source!DE1060</f>
        <v/>
      </c>
      <c r="I205" s="2">
        <f>[85]Source!AV1061</f>
        <v>1.0669999999999999</v>
      </c>
      <c r="J205" s="25">
        <f>[85]Source!Q1060-J214</f>
        <v>11.72</v>
      </c>
      <c r="K205" s="2">
        <f>IF([85]Source!BB1061&lt;&gt; 0, [85]Source!BB1061, 1)</f>
        <v>9.9499999999999993</v>
      </c>
      <c r="L205" s="25">
        <f>[85]Source!Q1061-L214</f>
        <v>116.5</v>
      </c>
    </row>
    <row r="206" spans="1:22" ht="14.25" x14ac:dyDescent="0.2">
      <c r="A206" s="4"/>
      <c r="B206" s="4"/>
      <c r="C206" s="5"/>
      <c r="D206" s="5" t="s">
        <v>22</v>
      </c>
      <c r="E206" s="6"/>
      <c r="F206" s="2"/>
      <c r="G206" s="7">
        <f>[85]Source!AN1060</f>
        <v>1.36</v>
      </c>
      <c r="H206" s="8" t="str">
        <f>[85]Source!DE1060</f>
        <v/>
      </c>
      <c r="I206" s="2">
        <f>[85]Source!AV1061</f>
        <v>1.0669999999999999</v>
      </c>
      <c r="J206" s="10">
        <f>[85]Source!R1060-J215</f>
        <v>2.91</v>
      </c>
      <c r="K206" s="2">
        <f>IF([85]Source!BS1061&lt;&gt; 0, [85]Source!BS1061, 1)</f>
        <v>23.94</v>
      </c>
      <c r="L206" s="10">
        <f>[85]Source!R1061-L215</f>
        <v>69.56</v>
      </c>
    </row>
    <row r="207" spans="1:22" ht="14.25" x14ac:dyDescent="0.2">
      <c r="A207" s="4"/>
      <c r="B207" s="4"/>
      <c r="C207" s="5"/>
      <c r="D207" s="5" t="s">
        <v>23</v>
      </c>
      <c r="E207" s="6"/>
      <c r="F207" s="2"/>
      <c r="G207" s="7">
        <f>[85]Source!AL1060</f>
        <v>37.5</v>
      </c>
      <c r="H207" s="8" t="str">
        <f>[85]Source!DD1060</f>
        <v/>
      </c>
      <c r="I207" s="2">
        <f>[85]Source!AW1061</f>
        <v>1</v>
      </c>
      <c r="J207" s="25">
        <f>[85]Source!P1060</f>
        <v>75</v>
      </c>
      <c r="K207" s="2">
        <f>IF([85]Source!BC1061&lt;&gt; 0, [85]Source!BC1061, 1)</f>
        <v>4.2300000000000004</v>
      </c>
      <c r="L207" s="25">
        <f>[85]Source!P1061</f>
        <v>317.25</v>
      </c>
    </row>
    <row r="208" spans="1:22" ht="14.25" x14ac:dyDescent="0.2">
      <c r="A208" s="4"/>
      <c r="B208" s="4"/>
      <c r="C208" s="5"/>
      <c r="D208" s="5" t="s">
        <v>24</v>
      </c>
      <c r="E208" s="6" t="s">
        <v>25</v>
      </c>
      <c r="F208" s="2">
        <f>[85]Source!DN1061</f>
        <v>125</v>
      </c>
      <c r="G208" s="7"/>
      <c r="H208" s="8"/>
      <c r="I208" s="2"/>
      <c r="J208" s="25">
        <f>SUM(Q203:Q207)</f>
        <v>83.75</v>
      </c>
      <c r="K208" s="2">
        <f>[85]Source!BZ1061</f>
        <v>100</v>
      </c>
      <c r="L208" s="25">
        <f>SUM(R203:R207)</f>
        <v>1603.98</v>
      </c>
    </row>
    <row r="209" spans="1:22" ht="14.25" x14ac:dyDescent="0.2">
      <c r="A209" s="4"/>
      <c r="B209" s="4"/>
      <c r="C209" s="5"/>
      <c r="D209" s="5" t="s">
        <v>26</v>
      </c>
      <c r="E209" s="6" t="s">
        <v>25</v>
      </c>
      <c r="F209" s="2">
        <f>[85]Source!DO1061</f>
        <v>94</v>
      </c>
      <c r="G209" s="7"/>
      <c r="H209" s="8"/>
      <c r="I209" s="2"/>
      <c r="J209" s="25">
        <f>SUM(S203:S208)</f>
        <v>62.98</v>
      </c>
      <c r="K209" s="2">
        <f>[85]Source!CA1061</f>
        <v>45</v>
      </c>
      <c r="L209" s="25">
        <f>SUM(T203:T208)</f>
        <v>721.79</v>
      </c>
    </row>
    <row r="210" spans="1:22" ht="14.25" x14ac:dyDescent="0.2">
      <c r="A210" s="4"/>
      <c r="B210" s="4"/>
      <c r="C210" s="5"/>
      <c r="D210" s="5" t="s">
        <v>27</v>
      </c>
      <c r="E210" s="6" t="s">
        <v>25</v>
      </c>
      <c r="F210" s="2">
        <f>175</f>
        <v>175</v>
      </c>
      <c r="G210" s="7"/>
      <c r="H210" s="8"/>
      <c r="I210" s="2"/>
      <c r="J210" s="25">
        <f>SUM(U203:U209)-J216</f>
        <v>5.09</v>
      </c>
      <c r="K210" s="2">
        <f>157</f>
        <v>157</v>
      </c>
      <c r="L210" s="25">
        <f>SUM(V203:V209)-L216</f>
        <v>109.21</v>
      </c>
    </row>
    <row r="211" spans="1:22" ht="14.25" x14ac:dyDescent="0.2">
      <c r="A211" s="4"/>
      <c r="B211" s="4"/>
      <c r="C211" s="5"/>
      <c r="D211" s="5" t="s">
        <v>28</v>
      </c>
      <c r="E211" s="6" t="s">
        <v>29</v>
      </c>
      <c r="F211" s="2">
        <f>[85]Source!AQ1060</f>
        <v>1.58</v>
      </c>
      <c r="G211" s="7"/>
      <c r="H211" s="8" t="str">
        <f>[85]Source!DI1060</f>
        <v/>
      </c>
      <c r="I211" s="2">
        <f>[85]Source!AV1061</f>
        <v>1.0669999999999999</v>
      </c>
      <c r="J211" s="25">
        <f>[85]Source!U1060</f>
        <v>3.37</v>
      </c>
      <c r="K211" s="2"/>
      <c r="L211" s="25"/>
    </row>
    <row r="212" spans="1:22" ht="15" x14ac:dyDescent="0.25">
      <c r="I212" s="525">
        <f>J204+J205+J207+J208+J209+J210</f>
        <v>305.54000000000002</v>
      </c>
      <c r="J212" s="525"/>
      <c r="K212" s="525">
        <f>L204+L205+L207+L208+L209+L210</f>
        <v>4472.71</v>
      </c>
      <c r="L212" s="525"/>
      <c r="O212" s="11">
        <f>J204+J205+J207+J208+J209+J210</f>
        <v>305.54000000000002</v>
      </c>
      <c r="P212" s="11">
        <f>L204+L205+L207+L208+L209+L210</f>
        <v>4472.71</v>
      </c>
    </row>
    <row r="213" spans="1:22" ht="28.5" x14ac:dyDescent="0.2">
      <c r="A213" s="12"/>
      <c r="B213" s="12"/>
      <c r="C213" s="13"/>
      <c r="D213" s="13" t="s">
        <v>30</v>
      </c>
      <c r="E213" s="6"/>
      <c r="F213" s="14"/>
      <c r="G213" s="15"/>
      <c r="H213" s="6"/>
      <c r="I213" s="14"/>
      <c r="J213" s="10"/>
      <c r="K213" s="14"/>
      <c r="L213" s="10"/>
    </row>
    <row r="214" spans="1:22" ht="14.25" x14ac:dyDescent="0.2">
      <c r="A214" s="12"/>
      <c r="B214" s="12"/>
      <c r="C214" s="13"/>
      <c r="D214" s="13" t="s">
        <v>21</v>
      </c>
      <c r="E214" s="6"/>
      <c r="F214" s="14"/>
      <c r="G214" s="15">
        <f t="shared" ref="G214:L214" si="8">G215</f>
        <v>1.36</v>
      </c>
      <c r="H214" s="16" t="str">
        <f t="shared" si="8"/>
        <v>)*(1.67-1)</v>
      </c>
      <c r="I214" s="14">
        <f t="shared" si="8"/>
        <v>1.0669999999999999</v>
      </c>
      <c r="J214" s="10">
        <f t="shared" si="8"/>
        <v>1.94</v>
      </c>
      <c r="K214" s="14">
        <f t="shared" si="8"/>
        <v>23.94</v>
      </c>
      <c r="L214" s="10">
        <f t="shared" si="8"/>
        <v>46.55</v>
      </c>
    </row>
    <row r="215" spans="1:22" ht="14.25" x14ac:dyDescent="0.2">
      <c r="A215" s="12"/>
      <c r="B215" s="12"/>
      <c r="C215" s="13"/>
      <c r="D215" s="13" t="s">
        <v>22</v>
      </c>
      <c r="E215" s="6"/>
      <c r="F215" s="14"/>
      <c r="G215" s="15">
        <f>[85]Source!AN1060</f>
        <v>1.36</v>
      </c>
      <c r="H215" s="16" t="s">
        <v>31</v>
      </c>
      <c r="I215" s="14">
        <f>[85]Source!AV1061</f>
        <v>1.0669999999999999</v>
      </c>
      <c r="J215" s="10">
        <f>ROUND(F203*G215*I215*(1.67-1), 2)</f>
        <v>1.94</v>
      </c>
      <c r="K215" s="14">
        <f>IF([85]Source!BS1061&lt;&gt; 0, [85]Source!BS1061, 1)</f>
        <v>23.94</v>
      </c>
      <c r="L215" s="10">
        <f>ROUND(F203*G215*I215*(1.67-1)*K215, 2)</f>
        <v>46.55</v>
      </c>
    </row>
    <row r="216" spans="1:22" ht="14.25" x14ac:dyDescent="0.2">
      <c r="A216" s="12"/>
      <c r="B216" s="12"/>
      <c r="C216" s="13"/>
      <c r="D216" s="13" t="s">
        <v>27</v>
      </c>
      <c r="E216" s="6" t="s">
        <v>25</v>
      </c>
      <c r="F216" s="14">
        <f>175</f>
        <v>175</v>
      </c>
      <c r="G216" s="15"/>
      <c r="H216" s="6"/>
      <c r="I216" s="14"/>
      <c r="J216" s="10">
        <f>ROUND(J215*(F216/100), 2)</f>
        <v>3.4</v>
      </c>
      <c r="K216" s="14">
        <f>157</f>
        <v>157</v>
      </c>
      <c r="L216" s="10">
        <f>ROUND(L215*(K216/100), 2)</f>
        <v>73.08</v>
      </c>
    </row>
    <row r="217" spans="1:22" ht="15" x14ac:dyDescent="0.25">
      <c r="I217" s="525">
        <f>J216+J215</f>
        <v>5.34</v>
      </c>
      <c r="J217" s="525"/>
      <c r="K217" s="525">
        <f>L216+L215</f>
        <v>119.63</v>
      </c>
      <c r="L217" s="525"/>
      <c r="O217" s="11">
        <f>I217</f>
        <v>5.34</v>
      </c>
      <c r="P217" s="11">
        <f>K217</f>
        <v>119.63</v>
      </c>
    </row>
    <row r="219" spans="1:22" ht="15" x14ac:dyDescent="0.25">
      <c r="A219" s="37"/>
      <c r="B219" s="37"/>
      <c r="C219" s="38"/>
      <c r="D219" s="38" t="s">
        <v>32</v>
      </c>
      <c r="E219" s="39"/>
      <c r="F219" s="40"/>
      <c r="G219" s="41"/>
      <c r="H219" s="42"/>
      <c r="I219" s="524">
        <f>I212+I217</f>
        <v>310.88</v>
      </c>
      <c r="J219" s="524"/>
      <c r="K219" s="524">
        <f>K212+K217</f>
        <v>4592.34</v>
      </c>
      <c r="L219" s="524"/>
    </row>
    <row r="220" spans="1:22" ht="71.25" x14ac:dyDescent="0.2">
      <c r="A220" s="4">
        <v>27</v>
      </c>
      <c r="B220" s="4" t="str">
        <f>[85]Source!E1062</f>
        <v>289</v>
      </c>
      <c r="C220" s="5" t="str">
        <f>[85]Source!F1062</f>
        <v>МКЭ-28-832/6-1 от 07.04.2016 г</v>
      </c>
      <c r="D220" s="5" t="s">
        <v>179</v>
      </c>
      <c r="E220" s="6" t="str">
        <f>[85]Source!H1062</f>
        <v>шт.</v>
      </c>
      <c r="F220" s="2">
        <f>[85]Source!I1062</f>
        <v>2</v>
      </c>
      <c r="G220" s="25">
        <f>[85]Source!AL1062</f>
        <v>1467.08</v>
      </c>
      <c r="H220" s="8" t="str">
        <f>[85]Source!DD1062</f>
        <v>*1,02</v>
      </c>
      <c r="I220" s="2">
        <f>[85]Source!AW1063</f>
        <v>1</v>
      </c>
      <c r="J220" s="25">
        <f>L220/K220</f>
        <v>2992.84</v>
      </c>
      <c r="K220" s="2">
        <f>IF([85]Source!BC1063&lt;&gt; 0, [85]Source!BC1063, 1)</f>
        <v>5.48</v>
      </c>
      <c r="L220" s="25">
        <f>8039.6*F220*1.02</f>
        <v>16400.78</v>
      </c>
      <c r="Q220">
        <f>[85]Source!X1062</f>
        <v>0</v>
      </c>
      <c r="R220">
        <f>[85]Source!X1063</f>
        <v>0</v>
      </c>
      <c r="S220">
        <f>[85]Source!Y1062</f>
        <v>0</v>
      </c>
      <c r="T220">
        <f>[85]Source!Y1063</f>
        <v>0</v>
      </c>
      <c r="U220">
        <f>ROUND((175/100)*ROUND([85]Source!R1062, 2), 2)</f>
        <v>0</v>
      </c>
      <c r="V220">
        <f>ROUND((157/100)*ROUND([85]Source!R1063, 2), 2)</f>
        <v>0</v>
      </c>
    </row>
    <row r="221" spans="1:22" ht="15" x14ac:dyDescent="0.25">
      <c r="A221" s="35"/>
      <c r="B221" s="35"/>
      <c r="C221" s="35"/>
      <c r="D221" s="35"/>
      <c r="E221" s="35"/>
      <c r="F221" s="35"/>
      <c r="G221" s="35"/>
      <c r="H221" s="35"/>
      <c r="I221" s="524">
        <f>J220</f>
        <v>2992.84</v>
      </c>
      <c r="J221" s="524"/>
      <c r="K221" s="524">
        <f>L220</f>
        <v>16400.78</v>
      </c>
      <c r="L221" s="524"/>
      <c r="O221" s="11">
        <f>J220</f>
        <v>2992.84</v>
      </c>
      <c r="P221" s="11">
        <f>L220</f>
        <v>16400.78</v>
      </c>
    </row>
    <row r="222" spans="1:22" ht="71.25" x14ac:dyDescent="0.2">
      <c r="A222" s="4">
        <v>28</v>
      </c>
      <c r="B222" s="4" t="str">
        <f>[85]Source!E1064</f>
        <v>290</v>
      </c>
      <c r="C222" s="5" t="str">
        <f>[85]Source!F1064</f>
        <v>1.12-9-7</v>
      </c>
      <c r="D222" s="5" t="s">
        <v>144</v>
      </c>
      <c r="E222" s="6" t="str">
        <f>[85]Source!H1064</f>
        <v>шт.</v>
      </c>
      <c r="F222" s="2">
        <f>[85]Source!I1064</f>
        <v>4</v>
      </c>
      <c r="G222" s="7">
        <f>[85]Source!AL1064</f>
        <v>87.81</v>
      </c>
      <c r="H222" s="8" t="str">
        <f>[85]Source!DD1064</f>
        <v/>
      </c>
      <c r="I222" s="2">
        <f>[85]Source!AW1065</f>
        <v>1</v>
      </c>
      <c r="J222" s="25">
        <f>[85]Source!P1064</f>
        <v>351.24</v>
      </c>
      <c r="K222" s="2">
        <f>IF([85]Source!BC1065&lt;&gt; 0, [85]Source!BC1065, 1)</f>
        <v>4.6100000000000003</v>
      </c>
      <c r="L222" s="25">
        <f>[85]Source!P1065</f>
        <v>1619.22</v>
      </c>
      <c r="Q222">
        <f>[85]Source!X1064</f>
        <v>0</v>
      </c>
      <c r="R222">
        <f>[85]Source!X1065</f>
        <v>0</v>
      </c>
      <c r="S222">
        <f>[85]Source!Y1064</f>
        <v>0</v>
      </c>
      <c r="T222">
        <f>[85]Source!Y1065</f>
        <v>0</v>
      </c>
      <c r="U222">
        <f>ROUND((175/100)*ROUND([85]Source!R1064, 2), 2)</f>
        <v>0</v>
      </c>
      <c r="V222">
        <f>ROUND((157/100)*ROUND([85]Source!R1065, 2), 2)</f>
        <v>0</v>
      </c>
    </row>
    <row r="223" spans="1:22" ht="15" x14ac:dyDescent="0.25">
      <c r="A223" s="35"/>
      <c r="B223" s="35"/>
      <c r="C223" s="35"/>
      <c r="D223" s="35"/>
      <c r="E223" s="35"/>
      <c r="F223" s="35"/>
      <c r="G223" s="35"/>
      <c r="H223" s="35"/>
      <c r="I223" s="524">
        <f>J222</f>
        <v>351.24</v>
      </c>
      <c r="J223" s="524"/>
      <c r="K223" s="524">
        <f>L222</f>
        <v>1619.22</v>
      </c>
      <c r="L223" s="524"/>
      <c r="O223" s="11">
        <f>J222</f>
        <v>351.24</v>
      </c>
      <c r="P223" s="11">
        <f>L222</f>
        <v>1619.22</v>
      </c>
    </row>
    <row r="224" spans="1:22" ht="71.25" x14ac:dyDescent="0.2">
      <c r="A224" s="4">
        <v>29</v>
      </c>
      <c r="B224" s="4" t="str">
        <f>[85]Source!E1066</f>
        <v>291</v>
      </c>
      <c r="C224" s="5" t="str">
        <f>[85]Source!F1066</f>
        <v>3.16-16-4</v>
      </c>
      <c r="D224" s="5" t="s">
        <v>145</v>
      </c>
      <c r="E224" s="6" t="str">
        <f>[85]Source!H1066</f>
        <v>1  ШТ.</v>
      </c>
      <c r="F224" s="2">
        <f>[85]Source!I1066</f>
        <v>2</v>
      </c>
      <c r="G224" s="7"/>
      <c r="H224" s="8"/>
      <c r="I224" s="2"/>
      <c r="J224" s="25"/>
      <c r="K224" s="2"/>
      <c r="L224" s="25"/>
      <c r="Q224">
        <f>[85]Source!X1066</f>
        <v>216.14</v>
      </c>
      <c r="R224">
        <f>[85]Source!X1067</f>
        <v>4139.47</v>
      </c>
      <c r="S224">
        <f>[85]Source!Y1066</f>
        <v>162.54</v>
      </c>
      <c r="T224">
        <f>[85]Source!Y1067</f>
        <v>1862.76</v>
      </c>
      <c r="U224">
        <f>ROUND((175/100)*ROUND([85]Source!R1066, 2), 2)</f>
        <v>15.84</v>
      </c>
      <c r="V224">
        <f>ROUND((157/100)*ROUND([85]Source!R1067, 2), 2)</f>
        <v>340.16</v>
      </c>
    </row>
    <row r="225" spans="1:16" ht="14.25" x14ac:dyDescent="0.2">
      <c r="A225" s="4"/>
      <c r="B225" s="4"/>
      <c r="C225" s="5"/>
      <c r="D225" s="5" t="s">
        <v>20</v>
      </c>
      <c r="E225" s="6"/>
      <c r="F225" s="2"/>
      <c r="G225" s="7">
        <f>[85]Source!AO1066</f>
        <v>48.52</v>
      </c>
      <c r="H225" s="8" t="str">
        <f>[85]Source!DG1066</f>
        <v>*1,67</v>
      </c>
      <c r="I225" s="2">
        <f>[85]Source!AV1067</f>
        <v>1.0669999999999999</v>
      </c>
      <c r="J225" s="25">
        <f>[85]Source!S1066</f>
        <v>172.91</v>
      </c>
      <c r="K225" s="2">
        <f>IF([85]Source!BA1067&lt;&gt; 0, [85]Source!BA1067, 1)</f>
        <v>23.94</v>
      </c>
      <c r="L225" s="25">
        <f>[85]Source!S1067</f>
        <v>4139.47</v>
      </c>
    </row>
    <row r="226" spans="1:16" ht="14.25" x14ac:dyDescent="0.2">
      <c r="A226" s="4"/>
      <c r="B226" s="4"/>
      <c r="C226" s="5"/>
      <c r="D226" s="5" t="s">
        <v>21</v>
      </c>
      <c r="E226" s="6"/>
      <c r="F226" s="2"/>
      <c r="G226" s="7">
        <f>[85]Source!AM1066</f>
        <v>10.23</v>
      </c>
      <c r="H226" s="8" t="str">
        <f>[85]Source!DE1066</f>
        <v/>
      </c>
      <c r="I226" s="2">
        <f>[85]Source!AV1067</f>
        <v>1.0669999999999999</v>
      </c>
      <c r="J226" s="25">
        <f>[85]Source!Q1066-J235</f>
        <v>21.83</v>
      </c>
      <c r="K226" s="2">
        <f>IF([85]Source!BB1067&lt;&gt; 0, [85]Source!BB1067, 1)</f>
        <v>9.9700000000000006</v>
      </c>
      <c r="L226" s="25">
        <f>[85]Source!Q1067-L235</f>
        <v>217.61</v>
      </c>
    </row>
    <row r="227" spans="1:16" ht="14.25" x14ac:dyDescent="0.2">
      <c r="A227" s="4"/>
      <c r="B227" s="4"/>
      <c r="C227" s="5"/>
      <c r="D227" s="5" t="s">
        <v>22</v>
      </c>
      <c r="E227" s="6"/>
      <c r="F227" s="2"/>
      <c r="G227" s="7">
        <f>[85]Source!AN1066</f>
        <v>2.54</v>
      </c>
      <c r="H227" s="8" t="str">
        <f>[85]Source!DE1066</f>
        <v/>
      </c>
      <c r="I227" s="2">
        <f>[85]Source!AV1067</f>
        <v>1.0669999999999999</v>
      </c>
      <c r="J227" s="10">
        <f>[85]Source!R1066-J236</f>
        <v>5.42</v>
      </c>
      <c r="K227" s="2">
        <f>IF([85]Source!BS1067&lt;&gt; 0, [85]Source!BS1067, 1)</f>
        <v>23.94</v>
      </c>
      <c r="L227" s="10">
        <f>[85]Source!R1067-L236</f>
        <v>129.72</v>
      </c>
    </row>
    <row r="228" spans="1:16" ht="14.25" x14ac:dyDescent="0.2">
      <c r="A228" s="4"/>
      <c r="B228" s="4"/>
      <c r="C228" s="5"/>
      <c r="D228" s="5" t="s">
        <v>23</v>
      </c>
      <c r="E228" s="6"/>
      <c r="F228" s="2"/>
      <c r="G228" s="7">
        <f>[85]Source!AL1066</f>
        <v>90.94</v>
      </c>
      <c r="H228" s="8" t="str">
        <f>[85]Source!DD1066</f>
        <v/>
      </c>
      <c r="I228" s="2">
        <f>[85]Source!AW1067</f>
        <v>1</v>
      </c>
      <c r="J228" s="25">
        <f>[85]Source!P1066</f>
        <v>181.88</v>
      </c>
      <c r="K228" s="2">
        <f>IF([85]Source!BC1067&lt;&gt; 0, [85]Source!BC1067, 1)</f>
        <v>4.22</v>
      </c>
      <c r="L228" s="25">
        <f>[85]Source!P1067</f>
        <v>767.53</v>
      </c>
    </row>
    <row r="229" spans="1:16" ht="14.25" x14ac:dyDescent="0.2">
      <c r="A229" s="4"/>
      <c r="B229" s="4"/>
      <c r="C229" s="5"/>
      <c r="D229" s="5" t="s">
        <v>24</v>
      </c>
      <c r="E229" s="6" t="s">
        <v>25</v>
      </c>
      <c r="F229" s="2">
        <f>[85]Source!DN1067</f>
        <v>125</v>
      </c>
      <c r="G229" s="7"/>
      <c r="H229" s="8"/>
      <c r="I229" s="2"/>
      <c r="J229" s="25">
        <f>SUM(Q224:Q228)</f>
        <v>216.14</v>
      </c>
      <c r="K229" s="2">
        <f>[85]Source!BZ1067</f>
        <v>100</v>
      </c>
      <c r="L229" s="25">
        <f>SUM(R224:R228)</f>
        <v>4139.47</v>
      </c>
    </row>
    <row r="230" spans="1:16" ht="14.25" x14ac:dyDescent="0.2">
      <c r="A230" s="4"/>
      <c r="B230" s="4"/>
      <c r="C230" s="5"/>
      <c r="D230" s="5" t="s">
        <v>26</v>
      </c>
      <c r="E230" s="6" t="s">
        <v>25</v>
      </c>
      <c r="F230" s="2">
        <f>[85]Source!DO1067</f>
        <v>94</v>
      </c>
      <c r="G230" s="7"/>
      <c r="H230" s="8"/>
      <c r="I230" s="2"/>
      <c r="J230" s="25">
        <f>SUM(S224:S229)</f>
        <v>162.54</v>
      </c>
      <c r="K230" s="2">
        <f>[85]Source!CA1067</f>
        <v>45</v>
      </c>
      <c r="L230" s="25">
        <f>SUM(T224:T229)</f>
        <v>1862.76</v>
      </c>
    </row>
    <row r="231" spans="1:16" ht="14.25" x14ac:dyDescent="0.2">
      <c r="A231" s="4"/>
      <c r="B231" s="4"/>
      <c r="C231" s="5"/>
      <c r="D231" s="5" t="s">
        <v>27</v>
      </c>
      <c r="E231" s="6" t="s">
        <v>25</v>
      </c>
      <c r="F231" s="2">
        <f>175</f>
        <v>175</v>
      </c>
      <c r="G231" s="7"/>
      <c r="H231" s="8"/>
      <c r="I231" s="2"/>
      <c r="J231" s="25">
        <f>SUM(U224:U230)-J237</f>
        <v>9.49</v>
      </c>
      <c r="K231" s="2">
        <f>157</f>
        <v>157</v>
      </c>
      <c r="L231" s="25">
        <f>SUM(V224:V230)-L237</f>
        <v>203.66</v>
      </c>
    </row>
    <row r="232" spans="1:16" ht="14.25" x14ac:dyDescent="0.2">
      <c r="A232" s="4"/>
      <c r="B232" s="4"/>
      <c r="C232" s="5"/>
      <c r="D232" s="5" t="s">
        <v>28</v>
      </c>
      <c r="E232" s="6" t="s">
        <v>29</v>
      </c>
      <c r="F232" s="2">
        <f>[85]Source!AQ1066</f>
        <v>4.2300000000000004</v>
      </c>
      <c r="G232" s="7"/>
      <c r="H232" s="8" t="str">
        <f>[85]Source!DI1066</f>
        <v/>
      </c>
      <c r="I232" s="2">
        <f>[85]Source!AV1067</f>
        <v>1.0669999999999999</v>
      </c>
      <c r="J232" s="25">
        <f>[85]Source!U1066</f>
        <v>9.0299999999999994</v>
      </c>
      <c r="K232" s="2"/>
      <c r="L232" s="25"/>
    </row>
    <row r="233" spans="1:16" ht="15" x14ac:dyDescent="0.25">
      <c r="I233" s="525">
        <f>J225+J226+J228+J229+J230+J231</f>
        <v>764.79</v>
      </c>
      <c r="J233" s="525"/>
      <c r="K233" s="525">
        <f>L225+L226+L228+L229+L230+L231</f>
        <v>11330.5</v>
      </c>
      <c r="L233" s="525"/>
      <c r="O233" s="11">
        <f>J225+J226+J228+J229+J230+J231</f>
        <v>764.79</v>
      </c>
      <c r="P233" s="11">
        <f>L225+L226+L228+L229+L230+L231</f>
        <v>11330.5</v>
      </c>
    </row>
    <row r="234" spans="1:16" ht="28.5" x14ac:dyDescent="0.2">
      <c r="A234" s="12"/>
      <c r="B234" s="12"/>
      <c r="C234" s="13"/>
      <c r="D234" s="13" t="s">
        <v>30</v>
      </c>
      <c r="E234" s="6"/>
      <c r="F234" s="14"/>
      <c r="G234" s="15"/>
      <c r="H234" s="6"/>
      <c r="I234" s="14"/>
      <c r="J234" s="10"/>
      <c r="K234" s="14"/>
      <c r="L234" s="10"/>
    </row>
    <row r="235" spans="1:16" ht="14.25" x14ac:dyDescent="0.2">
      <c r="A235" s="12"/>
      <c r="B235" s="12"/>
      <c r="C235" s="13"/>
      <c r="D235" s="13" t="s">
        <v>21</v>
      </c>
      <c r="E235" s="6"/>
      <c r="F235" s="14"/>
      <c r="G235" s="15">
        <f t="shared" ref="G235:L235" si="9">G236</f>
        <v>2.54</v>
      </c>
      <c r="H235" s="16" t="str">
        <f t="shared" si="9"/>
        <v>)*(1.67-1)</v>
      </c>
      <c r="I235" s="14">
        <f t="shared" si="9"/>
        <v>1.0669999999999999</v>
      </c>
      <c r="J235" s="10">
        <f t="shared" si="9"/>
        <v>3.63</v>
      </c>
      <c r="K235" s="14">
        <f t="shared" si="9"/>
        <v>23.94</v>
      </c>
      <c r="L235" s="10">
        <f t="shared" si="9"/>
        <v>86.94</v>
      </c>
    </row>
    <row r="236" spans="1:16" ht="14.25" x14ac:dyDescent="0.2">
      <c r="A236" s="12"/>
      <c r="B236" s="12"/>
      <c r="C236" s="13"/>
      <c r="D236" s="13" t="s">
        <v>22</v>
      </c>
      <c r="E236" s="6"/>
      <c r="F236" s="14"/>
      <c r="G236" s="15">
        <f>[85]Source!AN1066</f>
        <v>2.54</v>
      </c>
      <c r="H236" s="16" t="s">
        <v>31</v>
      </c>
      <c r="I236" s="14">
        <f>[85]Source!AV1067</f>
        <v>1.0669999999999999</v>
      </c>
      <c r="J236" s="10">
        <f>ROUND(F224*G236*I236*(1.67-1), 2)</f>
        <v>3.63</v>
      </c>
      <c r="K236" s="14">
        <f>IF([85]Source!BS1067&lt;&gt; 0, [85]Source!BS1067, 1)</f>
        <v>23.94</v>
      </c>
      <c r="L236" s="10">
        <f>ROUND(F224*G236*I236*(1.67-1)*K236, 2)</f>
        <v>86.94</v>
      </c>
    </row>
    <row r="237" spans="1:16" ht="14.25" x14ac:dyDescent="0.2">
      <c r="A237" s="12"/>
      <c r="B237" s="12"/>
      <c r="C237" s="13"/>
      <c r="D237" s="13" t="s">
        <v>27</v>
      </c>
      <c r="E237" s="6" t="s">
        <v>25</v>
      </c>
      <c r="F237" s="14">
        <f>175</f>
        <v>175</v>
      </c>
      <c r="G237" s="15"/>
      <c r="H237" s="6"/>
      <c r="I237" s="14"/>
      <c r="J237" s="10">
        <f>ROUND(J236*(F237/100), 2)</f>
        <v>6.35</v>
      </c>
      <c r="K237" s="14">
        <f>157</f>
        <v>157</v>
      </c>
      <c r="L237" s="10">
        <f>ROUND(L236*(K237/100), 2)</f>
        <v>136.5</v>
      </c>
    </row>
    <row r="238" spans="1:16" ht="15" x14ac:dyDescent="0.25">
      <c r="I238" s="525">
        <f>J237+J236</f>
        <v>9.98</v>
      </c>
      <c r="J238" s="525"/>
      <c r="K238" s="525">
        <f>L237+L236</f>
        <v>223.44</v>
      </c>
      <c r="L238" s="525"/>
      <c r="O238" s="11">
        <f>I238</f>
        <v>9.98</v>
      </c>
      <c r="P238" s="11">
        <f>K238</f>
        <v>223.44</v>
      </c>
    </row>
    <row r="240" spans="1:16" ht="15" x14ac:dyDescent="0.25">
      <c r="A240" s="37"/>
      <c r="B240" s="37"/>
      <c r="C240" s="38"/>
      <c r="D240" s="38" t="s">
        <v>32</v>
      </c>
      <c r="E240" s="39"/>
      <c r="F240" s="40"/>
      <c r="G240" s="41"/>
      <c r="H240" s="42"/>
      <c r="I240" s="524">
        <f>I233+I238</f>
        <v>774.77</v>
      </c>
      <c r="J240" s="524"/>
      <c r="K240" s="524">
        <f>K233+K238</f>
        <v>11553.94</v>
      </c>
      <c r="L240" s="524"/>
    </row>
    <row r="241" spans="1:22" ht="71.25" x14ac:dyDescent="0.2">
      <c r="A241" s="4">
        <v>30</v>
      </c>
      <c r="B241" s="4" t="str">
        <f>[85]Source!E1068</f>
        <v>292</v>
      </c>
      <c r="C241" s="5" t="str">
        <f>[85]Source!F1068</f>
        <v>1.12-9-9</v>
      </c>
      <c r="D241" s="5" t="s">
        <v>146</v>
      </c>
      <c r="E241" s="6" t="str">
        <f>[85]Source!H1068</f>
        <v>шт.</v>
      </c>
      <c r="F241" s="2">
        <f>[85]Source!I1068</f>
        <v>4</v>
      </c>
      <c r="G241" s="7">
        <f>[85]Source!AL1068</f>
        <v>229.84</v>
      </c>
      <c r="H241" s="8" t="str">
        <f>[85]Source!DD1068</f>
        <v/>
      </c>
      <c r="I241" s="2">
        <f>[85]Source!AW1069</f>
        <v>1</v>
      </c>
      <c r="J241" s="25">
        <f>[85]Source!P1068</f>
        <v>919.36</v>
      </c>
      <c r="K241" s="2">
        <f>IF([85]Source!BC1069&lt;&gt; 0, [85]Source!BC1069, 1)</f>
        <v>3.04</v>
      </c>
      <c r="L241" s="25">
        <f>[85]Source!P1069</f>
        <v>2794.85</v>
      </c>
      <c r="Q241">
        <f>[85]Source!X1068</f>
        <v>0</v>
      </c>
      <c r="R241">
        <f>[85]Source!X1069</f>
        <v>0</v>
      </c>
      <c r="S241">
        <f>[85]Source!Y1068</f>
        <v>0</v>
      </c>
      <c r="T241">
        <f>[85]Source!Y1069</f>
        <v>0</v>
      </c>
      <c r="U241">
        <f>ROUND((175/100)*ROUND([85]Source!R1068, 2), 2)</f>
        <v>0</v>
      </c>
      <c r="V241">
        <f>ROUND((157/100)*ROUND([85]Source!R1069, 2), 2)</f>
        <v>0</v>
      </c>
    </row>
    <row r="242" spans="1:22" ht="15" x14ac:dyDescent="0.25">
      <c r="A242" s="35"/>
      <c r="B242" s="35"/>
      <c r="C242" s="35"/>
      <c r="D242" s="35"/>
      <c r="E242" s="35"/>
      <c r="F242" s="35"/>
      <c r="G242" s="35"/>
      <c r="H242" s="35"/>
      <c r="I242" s="524">
        <f>J241</f>
        <v>919.36</v>
      </c>
      <c r="J242" s="524"/>
      <c r="K242" s="524">
        <f>L241</f>
        <v>2794.85</v>
      </c>
      <c r="L242" s="524"/>
      <c r="O242" s="11">
        <f>J241</f>
        <v>919.36</v>
      </c>
      <c r="P242" s="11">
        <f>L241</f>
        <v>2794.85</v>
      </c>
    </row>
    <row r="243" spans="1:22" ht="71.25" x14ac:dyDescent="0.2">
      <c r="A243" s="4">
        <v>31</v>
      </c>
      <c r="B243" s="4" t="str">
        <f>[85]Source!E1070</f>
        <v>293</v>
      </c>
      <c r="C243" s="5" t="str">
        <f>[85]Source!F1070</f>
        <v>3.16-16-2</v>
      </c>
      <c r="D243" s="5" t="s">
        <v>143</v>
      </c>
      <c r="E243" s="6" t="str">
        <f>[85]Source!H1070</f>
        <v>1  ШТ.</v>
      </c>
      <c r="F243" s="2">
        <f>[85]Source!I1070</f>
        <v>2</v>
      </c>
      <c r="G243" s="7"/>
      <c r="H243" s="8"/>
      <c r="I243" s="2"/>
      <c r="J243" s="25"/>
      <c r="K243" s="2"/>
      <c r="L243" s="25"/>
      <c r="Q243">
        <f>[85]Source!X1070</f>
        <v>83.75</v>
      </c>
      <c r="R243">
        <f>[85]Source!X1071</f>
        <v>1603.98</v>
      </c>
      <c r="S243">
        <f>[85]Source!Y1070</f>
        <v>62.98</v>
      </c>
      <c r="T243">
        <f>[85]Source!Y1071</f>
        <v>721.79</v>
      </c>
      <c r="U243">
        <f>ROUND((175/100)*ROUND([85]Source!R1070, 2), 2)</f>
        <v>8.49</v>
      </c>
      <c r="V243">
        <f>ROUND((157/100)*ROUND([85]Source!R1071, 2), 2)</f>
        <v>182.29</v>
      </c>
    </row>
    <row r="244" spans="1:22" ht="14.25" x14ac:dyDescent="0.2">
      <c r="A244" s="4"/>
      <c r="B244" s="4"/>
      <c r="C244" s="5"/>
      <c r="D244" s="5" t="s">
        <v>20</v>
      </c>
      <c r="E244" s="6"/>
      <c r="F244" s="2"/>
      <c r="G244" s="7">
        <f>[85]Source!AO1070</f>
        <v>18.8</v>
      </c>
      <c r="H244" s="8" t="str">
        <f>[85]Source!DG1070</f>
        <v>*1,67</v>
      </c>
      <c r="I244" s="2">
        <f>[85]Source!AV1071</f>
        <v>1.0669999999999999</v>
      </c>
      <c r="J244" s="25">
        <f>[85]Source!S1070</f>
        <v>67</v>
      </c>
      <c r="K244" s="2">
        <f>IF([85]Source!BA1071&lt;&gt; 0, [85]Source!BA1071, 1)</f>
        <v>23.94</v>
      </c>
      <c r="L244" s="25">
        <f>[85]Source!S1071</f>
        <v>1603.98</v>
      </c>
    </row>
    <row r="245" spans="1:22" ht="14.25" x14ac:dyDescent="0.2">
      <c r="A245" s="4"/>
      <c r="B245" s="4"/>
      <c r="C245" s="5"/>
      <c r="D245" s="5" t="s">
        <v>21</v>
      </c>
      <c r="E245" s="6"/>
      <c r="F245" s="2"/>
      <c r="G245" s="7">
        <f>[85]Source!AM1070</f>
        <v>5.49</v>
      </c>
      <c r="H245" s="8" t="str">
        <f>[85]Source!DE1070</f>
        <v/>
      </c>
      <c r="I245" s="2">
        <f>[85]Source!AV1071</f>
        <v>1.0669999999999999</v>
      </c>
      <c r="J245" s="25">
        <f>[85]Source!Q1070-J254</f>
        <v>11.72</v>
      </c>
      <c r="K245" s="2">
        <f>IF([85]Source!BB1071&lt;&gt; 0, [85]Source!BB1071, 1)</f>
        <v>9.9499999999999993</v>
      </c>
      <c r="L245" s="25">
        <f>[85]Source!Q1071-L254</f>
        <v>116.5</v>
      </c>
    </row>
    <row r="246" spans="1:22" ht="14.25" x14ac:dyDescent="0.2">
      <c r="A246" s="4"/>
      <c r="B246" s="4"/>
      <c r="C246" s="5"/>
      <c r="D246" s="5" t="s">
        <v>22</v>
      </c>
      <c r="E246" s="6"/>
      <c r="F246" s="2"/>
      <c r="G246" s="7">
        <f>[85]Source!AN1070</f>
        <v>1.36</v>
      </c>
      <c r="H246" s="8" t="str">
        <f>[85]Source!DE1070</f>
        <v/>
      </c>
      <c r="I246" s="2">
        <f>[85]Source!AV1071</f>
        <v>1.0669999999999999</v>
      </c>
      <c r="J246" s="10">
        <f>[85]Source!R1070-J255</f>
        <v>2.91</v>
      </c>
      <c r="K246" s="2">
        <f>IF([85]Source!BS1071&lt;&gt; 0, [85]Source!BS1071, 1)</f>
        <v>23.94</v>
      </c>
      <c r="L246" s="10">
        <f>[85]Source!R1071-L255</f>
        <v>69.56</v>
      </c>
    </row>
    <row r="247" spans="1:22" ht="14.25" x14ac:dyDescent="0.2">
      <c r="A247" s="4"/>
      <c r="B247" s="4"/>
      <c r="C247" s="5"/>
      <c r="D247" s="5" t="s">
        <v>23</v>
      </c>
      <c r="E247" s="6"/>
      <c r="F247" s="2"/>
      <c r="G247" s="7">
        <f>[85]Source!AL1070</f>
        <v>37.5</v>
      </c>
      <c r="H247" s="8" t="str">
        <f>[85]Source!DD1070</f>
        <v/>
      </c>
      <c r="I247" s="2">
        <f>[85]Source!AW1071</f>
        <v>1</v>
      </c>
      <c r="J247" s="25">
        <f>[85]Source!P1070</f>
        <v>75</v>
      </c>
      <c r="K247" s="2">
        <f>IF([85]Source!BC1071&lt;&gt; 0, [85]Source!BC1071, 1)</f>
        <v>4.2300000000000004</v>
      </c>
      <c r="L247" s="25">
        <f>[85]Source!P1071</f>
        <v>317.25</v>
      </c>
    </row>
    <row r="248" spans="1:22" ht="14.25" x14ac:dyDescent="0.2">
      <c r="A248" s="4"/>
      <c r="B248" s="4"/>
      <c r="C248" s="5"/>
      <c r="D248" s="5" t="s">
        <v>24</v>
      </c>
      <c r="E248" s="6" t="s">
        <v>25</v>
      </c>
      <c r="F248" s="2">
        <f>[85]Source!DN1071</f>
        <v>125</v>
      </c>
      <c r="G248" s="7"/>
      <c r="H248" s="8"/>
      <c r="I248" s="2"/>
      <c r="J248" s="25">
        <f>SUM(Q243:Q247)</f>
        <v>83.75</v>
      </c>
      <c r="K248" s="2">
        <f>[85]Source!BZ1071</f>
        <v>100</v>
      </c>
      <c r="L248" s="25">
        <f>SUM(R243:R247)</f>
        <v>1603.98</v>
      </c>
    </row>
    <row r="249" spans="1:22" ht="14.25" x14ac:dyDescent="0.2">
      <c r="A249" s="4"/>
      <c r="B249" s="4"/>
      <c r="C249" s="5"/>
      <c r="D249" s="5" t="s">
        <v>26</v>
      </c>
      <c r="E249" s="6" t="s">
        <v>25</v>
      </c>
      <c r="F249" s="2">
        <f>[85]Source!DO1071</f>
        <v>94</v>
      </c>
      <c r="G249" s="7"/>
      <c r="H249" s="8"/>
      <c r="I249" s="2"/>
      <c r="J249" s="25">
        <f>SUM(S243:S248)</f>
        <v>62.98</v>
      </c>
      <c r="K249" s="2">
        <f>[85]Source!CA1071</f>
        <v>45</v>
      </c>
      <c r="L249" s="25">
        <f>SUM(T243:T248)</f>
        <v>721.79</v>
      </c>
    </row>
    <row r="250" spans="1:22" ht="14.25" x14ac:dyDescent="0.2">
      <c r="A250" s="4"/>
      <c r="B250" s="4"/>
      <c r="C250" s="5"/>
      <c r="D250" s="5" t="s">
        <v>27</v>
      </c>
      <c r="E250" s="6" t="s">
        <v>25</v>
      </c>
      <c r="F250" s="2">
        <f>175</f>
        <v>175</v>
      </c>
      <c r="G250" s="7"/>
      <c r="H250" s="8"/>
      <c r="I250" s="2"/>
      <c r="J250" s="25">
        <f>SUM(U243:U249)-J256</f>
        <v>5.09</v>
      </c>
      <c r="K250" s="2">
        <f>157</f>
        <v>157</v>
      </c>
      <c r="L250" s="25">
        <f>SUM(V243:V249)-L256</f>
        <v>109.21</v>
      </c>
    </row>
    <row r="251" spans="1:22" ht="14.25" x14ac:dyDescent="0.2">
      <c r="A251" s="4"/>
      <c r="B251" s="4"/>
      <c r="C251" s="5"/>
      <c r="D251" s="5" t="s">
        <v>28</v>
      </c>
      <c r="E251" s="6" t="s">
        <v>29</v>
      </c>
      <c r="F251" s="2">
        <f>[85]Source!AQ1070</f>
        <v>1.58</v>
      </c>
      <c r="G251" s="7"/>
      <c r="H251" s="8" t="str">
        <f>[85]Source!DI1070</f>
        <v/>
      </c>
      <c r="I251" s="2">
        <f>[85]Source!AV1071</f>
        <v>1.0669999999999999</v>
      </c>
      <c r="J251" s="25">
        <f>[85]Source!U1070</f>
        <v>3.37</v>
      </c>
      <c r="K251" s="2"/>
      <c r="L251" s="25"/>
    </row>
    <row r="252" spans="1:22" ht="15" x14ac:dyDescent="0.25">
      <c r="I252" s="525">
        <f>J244+J245+J247+J248+J249+J250</f>
        <v>305.54000000000002</v>
      </c>
      <c r="J252" s="525"/>
      <c r="K252" s="525">
        <f>L244+L245+L247+L248+L249+L250</f>
        <v>4472.71</v>
      </c>
      <c r="L252" s="525"/>
      <c r="O252" s="11">
        <f>J244+J245+J247+J248+J249+J250</f>
        <v>305.54000000000002</v>
      </c>
      <c r="P252" s="11">
        <f>L244+L245+L247+L248+L249+L250</f>
        <v>4472.71</v>
      </c>
    </row>
    <row r="253" spans="1:22" ht="28.5" x14ac:dyDescent="0.2">
      <c r="A253" s="12"/>
      <c r="B253" s="12"/>
      <c r="C253" s="13"/>
      <c r="D253" s="13" t="s">
        <v>30</v>
      </c>
      <c r="E253" s="6"/>
      <c r="F253" s="14"/>
      <c r="G253" s="15"/>
      <c r="H253" s="6"/>
      <c r="I253" s="14"/>
      <c r="J253" s="10"/>
      <c r="K253" s="14"/>
      <c r="L253" s="10"/>
    </row>
    <row r="254" spans="1:22" ht="14.25" x14ac:dyDescent="0.2">
      <c r="A254" s="12"/>
      <c r="B254" s="12"/>
      <c r="C254" s="13"/>
      <c r="D254" s="13" t="s">
        <v>21</v>
      </c>
      <c r="E254" s="6"/>
      <c r="F254" s="14"/>
      <c r="G254" s="15">
        <f t="shared" ref="G254:L254" si="10">G255</f>
        <v>1.36</v>
      </c>
      <c r="H254" s="16" t="str">
        <f t="shared" si="10"/>
        <v>)*(1.67-1)</v>
      </c>
      <c r="I254" s="14">
        <f t="shared" si="10"/>
        <v>1.0669999999999999</v>
      </c>
      <c r="J254" s="10">
        <f t="shared" si="10"/>
        <v>1.94</v>
      </c>
      <c r="K254" s="14">
        <f t="shared" si="10"/>
        <v>23.94</v>
      </c>
      <c r="L254" s="10">
        <f t="shared" si="10"/>
        <v>46.55</v>
      </c>
    </row>
    <row r="255" spans="1:22" ht="14.25" x14ac:dyDescent="0.2">
      <c r="A255" s="12"/>
      <c r="B255" s="12"/>
      <c r="C255" s="13"/>
      <c r="D255" s="13" t="s">
        <v>22</v>
      </c>
      <c r="E255" s="6"/>
      <c r="F255" s="14"/>
      <c r="G255" s="15">
        <f>[85]Source!AN1070</f>
        <v>1.36</v>
      </c>
      <c r="H255" s="16" t="s">
        <v>31</v>
      </c>
      <c r="I255" s="14">
        <f>[85]Source!AV1071</f>
        <v>1.0669999999999999</v>
      </c>
      <c r="J255" s="10">
        <f>ROUND(F243*G255*I255*(1.67-1), 2)</f>
        <v>1.94</v>
      </c>
      <c r="K255" s="14">
        <f>IF([85]Source!BS1071&lt;&gt; 0, [85]Source!BS1071, 1)</f>
        <v>23.94</v>
      </c>
      <c r="L255" s="10">
        <f>ROUND(F243*G255*I255*(1.67-1)*K255, 2)</f>
        <v>46.55</v>
      </c>
    </row>
    <row r="256" spans="1:22" ht="14.25" x14ac:dyDescent="0.2">
      <c r="A256" s="12"/>
      <c r="B256" s="12"/>
      <c r="C256" s="13"/>
      <c r="D256" s="13" t="s">
        <v>27</v>
      </c>
      <c r="E256" s="6" t="s">
        <v>25</v>
      </c>
      <c r="F256" s="14">
        <f>175</f>
        <v>175</v>
      </c>
      <c r="G256" s="15"/>
      <c r="H256" s="6"/>
      <c r="I256" s="14"/>
      <c r="J256" s="10">
        <f>ROUND(J255*(F256/100), 2)</f>
        <v>3.4</v>
      </c>
      <c r="K256" s="14">
        <f>157</f>
        <v>157</v>
      </c>
      <c r="L256" s="10">
        <f>ROUND(L255*(K256/100), 2)</f>
        <v>73.08</v>
      </c>
    </row>
    <row r="257" spans="1:22" ht="15" x14ac:dyDescent="0.25">
      <c r="I257" s="525">
        <f>J256+J255</f>
        <v>5.34</v>
      </c>
      <c r="J257" s="525"/>
      <c r="K257" s="525">
        <f>L256+L255</f>
        <v>119.63</v>
      </c>
      <c r="L257" s="525"/>
      <c r="O257" s="11">
        <f>I257</f>
        <v>5.34</v>
      </c>
      <c r="P257" s="11">
        <f>K257</f>
        <v>119.63</v>
      </c>
    </row>
    <row r="259" spans="1:22" ht="15" x14ac:dyDescent="0.25">
      <c r="A259" s="37"/>
      <c r="B259" s="37"/>
      <c r="C259" s="38"/>
      <c r="D259" s="38" t="s">
        <v>32</v>
      </c>
      <c r="E259" s="39"/>
      <c r="F259" s="40"/>
      <c r="G259" s="41"/>
      <c r="H259" s="42"/>
      <c r="I259" s="524">
        <f>I252+I257</f>
        <v>310.88</v>
      </c>
      <c r="J259" s="524"/>
      <c r="K259" s="524">
        <f>K252+K257</f>
        <v>4592.34</v>
      </c>
      <c r="L259" s="524"/>
    </row>
    <row r="260" spans="1:22" ht="171" x14ac:dyDescent="0.2">
      <c r="A260" s="4">
        <v>32</v>
      </c>
      <c r="B260" s="4" t="str">
        <f>[85]Source!E1072</f>
        <v>294</v>
      </c>
      <c r="C260" s="5" t="str">
        <f>[85]Source!F1072</f>
        <v>МКЭ-33-916/7-11 от 30.11.2017</v>
      </c>
      <c r="D260" s="5" t="s">
        <v>180</v>
      </c>
      <c r="E260" s="6" t="str">
        <f>[85]Source!H1072</f>
        <v>шт.</v>
      </c>
      <c r="F260" s="2">
        <f>[85]Source!I1072</f>
        <v>2</v>
      </c>
      <c r="G260" s="25">
        <f>[85]Source!AL1072</f>
        <v>1467.08</v>
      </c>
      <c r="H260" s="8" t="str">
        <f>[85]Source!DD1072</f>
        <v>*1,02</v>
      </c>
      <c r="I260" s="2">
        <f>[85]Source!AW1073</f>
        <v>1</v>
      </c>
      <c r="J260" s="25">
        <f>L260/K260</f>
        <v>2992.84</v>
      </c>
      <c r="K260" s="2">
        <f>IF([85]Source!BC1073&lt;&gt; 0, [85]Source!BC1073, 1)</f>
        <v>5.48</v>
      </c>
      <c r="L260" s="25">
        <f>8039.6*F260*1.02</f>
        <v>16400.78</v>
      </c>
      <c r="Q260">
        <f>[85]Source!X1072</f>
        <v>0</v>
      </c>
      <c r="R260">
        <f>[85]Source!X1073</f>
        <v>0</v>
      </c>
      <c r="S260">
        <f>[85]Source!Y1072</f>
        <v>0</v>
      </c>
      <c r="T260">
        <f>[85]Source!Y1073</f>
        <v>0</v>
      </c>
      <c r="U260">
        <f>ROUND((175/100)*ROUND([85]Source!R1072, 2), 2)</f>
        <v>0</v>
      </c>
      <c r="V260">
        <f>ROUND((157/100)*ROUND([85]Source!R1073, 2), 2)</f>
        <v>0</v>
      </c>
    </row>
    <row r="261" spans="1:22" ht="15" x14ac:dyDescent="0.25">
      <c r="A261" s="35"/>
      <c r="B261" s="35"/>
      <c r="C261" s="35"/>
      <c r="D261" s="35"/>
      <c r="E261" s="35"/>
      <c r="F261" s="35"/>
      <c r="G261" s="35"/>
      <c r="H261" s="35"/>
      <c r="I261" s="524">
        <f>J260</f>
        <v>2992.84</v>
      </c>
      <c r="J261" s="524"/>
      <c r="K261" s="524">
        <f>L260</f>
        <v>16400.78</v>
      </c>
      <c r="L261" s="524"/>
      <c r="O261" s="11">
        <f>J260</f>
        <v>2992.84</v>
      </c>
      <c r="P261" s="11">
        <f>L260</f>
        <v>16400.78</v>
      </c>
    </row>
    <row r="262" spans="1:22" ht="71.25" x14ac:dyDescent="0.2">
      <c r="A262" s="4">
        <v>33</v>
      </c>
      <c r="B262" s="4" t="str">
        <f>[85]Source!E1074</f>
        <v>295</v>
      </c>
      <c r="C262" s="5" t="str">
        <f>[85]Source!F1074</f>
        <v>1.12-9-7</v>
      </c>
      <c r="D262" s="5" t="s">
        <v>144</v>
      </c>
      <c r="E262" s="6" t="str">
        <f>[85]Source!H1074</f>
        <v>шт.</v>
      </c>
      <c r="F262" s="2">
        <f>[85]Source!I1074</f>
        <v>4</v>
      </c>
      <c r="G262" s="7">
        <f>[85]Source!AL1074</f>
        <v>87.81</v>
      </c>
      <c r="H262" s="8" t="str">
        <f>[85]Source!DD1074</f>
        <v/>
      </c>
      <c r="I262" s="2">
        <f>[85]Source!AW1075</f>
        <v>1</v>
      </c>
      <c r="J262" s="25">
        <f>[85]Source!P1074</f>
        <v>351.24</v>
      </c>
      <c r="K262" s="2">
        <f>IF([85]Source!BC1075&lt;&gt; 0, [85]Source!BC1075, 1)</f>
        <v>4.6100000000000003</v>
      </c>
      <c r="L262" s="25">
        <f>[85]Source!P1075</f>
        <v>1619.22</v>
      </c>
      <c r="Q262">
        <f>[85]Source!X1074</f>
        <v>0</v>
      </c>
      <c r="R262">
        <f>[85]Source!X1075</f>
        <v>0</v>
      </c>
      <c r="S262">
        <f>[85]Source!Y1074</f>
        <v>0</v>
      </c>
      <c r="T262">
        <f>[85]Source!Y1075</f>
        <v>0</v>
      </c>
      <c r="U262">
        <f>ROUND((175/100)*ROUND([85]Source!R1074, 2), 2)</f>
        <v>0</v>
      </c>
      <c r="V262">
        <f>ROUND((157/100)*ROUND([85]Source!R1075, 2), 2)</f>
        <v>0</v>
      </c>
    </row>
    <row r="263" spans="1:22" ht="15" x14ac:dyDescent="0.25">
      <c r="A263" s="35"/>
      <c r="B263" s="35"/>
      <c r="C263" s="35"/>
      <c r="D263" s="35"/>
      <c r="E263" s="35"/>
      <c r="F263" s="35"/>
      <c r="G263" s="35"/>
      <c r="H263" s="35"/>
      <c r="I263" s="524">
        <f>J262</f>
        <v>351.24</v>
      </c>
      <c r="J263" s="524"/>
      <c r="K263" s="524">
        <f>L262</f>
        <v>1619.22</v>
      </c>
      <c r="L263" s="524"/>
      <c r="O263" s="11">
        <f>J262</f>
        <v>351.24</v>
      </c>
      <c r="P263" s="11">
        <f>L262</f>
        <v>1619.22</v>
      </c>
    </row>
    <row r="264" spans="1:22" ht="42.75" x14ac:dyDescent="0.2">
      <c r="A264" s="4">
        <v>34</v>
      </c>
      <c r="B264" s="4" t="str">
        <f>[85]Source!E1094</f>
        <v>302</v>
      </c>
      <c r="C264" s="5" t="str">
        <f>[85]Source!F1094</f>
        <v>3.16-9-2</v>
      </c>
      <c r="D264" s="5" t="s">
        <v>147</v>
      </c>
      <c r="E264" s="6" t="str">
        <f>[85]Source!H1094</f>
        <v>100 м трубопровода</v>
      </c>
      <c r="F264" s="2">
        <f>[85]Source!I1094</f>
        <v>4.1799999999999997E-2</v>
      </c>
      <c r="G264" s="7"/>
      <c r="H264" s="8"/>
      <c r="I264" s="2"/>
      <c r="J264" s="25"/>
      <c r="K264" s="2"/>
      <c r="L264" s="25"/>
      <c r="Q264">
        <f>[85]Source!X1094</f>
        <v>76.959999999999994</v>
      </c>
      <c r="R264">
        <f>[85]Source!X1095</f>
        <v>1473.99</v>
      </c>
      <c r="S264">
        <f>[85]Source!Y1094</f>
        <v>57.88</v>
      </c>
      <c r="T264">
        <f>[85]Source!Y1095</f>
        <v>663.3</v>
      </c>
      <c r="U264">
        <f>ROUND((175/100)*ROUND([85]Source!R1094, 2), 2)</f>
        <v>2.54</v>
      </c>
      <c r="V264">
        <f>ROUND((157/100)*ROUND([85]Source!R1095, 2), 2)</f>
        <v>54.49</v>
      </c>
    </row>
    <row r="265" spans="1:22" ht="14.25" x14ac:dyDescent="0.2">
      <c r="A265" s="4"/>
      <c r="B265" s="4"/>
      <c r="C265" s="5"/>
      <c r="D265" s="5" t="s">
        <v>20</v>
      </c>
      <c r="E265" s="6"/>
      <c r="F265" s="2"/>
      <c r="G265" s="7">
        <f>[85]Source!AO1094</f>
        <v>826.61</v>
      </c>
      <c r="H265" s="8" t="str">
        <f>[85]Source!DG1094</f>
        <v>)*1,67</v>
      </c>
      <c r="I265" s="2">
        <f>[85]Source!AV1095</f>
        <v>1.0669999999999999</v>
      </c>
      <c r="J265" s="25">
        <f>[85]Source!S1094</f>
        <v>61.57</v>
      </c>
      <c r="K265" s="2">
        <f>IF([85]Source!BA1095&lt;&gt; 0, [85]Source!BA1095, 1)</f>
        <v>23.94</v>
      </c>
      <c r="L265" s="25">
        <f>[85]Source!S1095</f>
        <v>1473.99</v>
      </c>
    </row>
    <row r="266" spans="1:22" ht="14.25" x14ac:dyDescent="0.2">
      <c r="A266" s="4"/>
      <c r="B266" s="4"/>
      <c r="C266" s="5"/>
      <c r="D266" s="5" t="s">
        <v>21</v>
      </c>
      <c r="E266" s="6"/>
      <c r="F266" s="2"/>
      <c r="G266" s="7">
        <f>[85]Source!AM1094</f>
        <v>147.1</v>
      </c>
      <c r="H266" s="8" t="str">
        <f>[85]Source!DE1094</f>
        <v/>
      </c>
      <c r="I266" s="2">
        <f>[85]Source!AV1095</f>
        <v>1.0669999999999999</v>
      </c>
      <c r="J266" s="25">
        <f>[85]Source!Q1094-J276</f>
        <v>6.56</v>
      </c>
      <c r="K266" s="2">
        <f>IF([85]Source!BB1095&lt;&gt; 0, [85]Source!BB1095, 1)</f>
        <v>7.82</v>
      </c>
      <c r="L266" s="25">
        <f>[85]Source!Q1095-L276</f>
        <v>51.22</v>
      </c>
    </row>
    <row r="267" spans="1:22" ht="14.25" x14ac:dyDescent="0.2">
      <c r="A267" s="4"/>
      <c r="B267" s="4"/>
      <c r="C267" s="5"/>
      <c r="D267" s="5" t="s">
        <v>22</v>
      </c>
      <c r="E267" s="6"/>
      <c r="F267" s="2"/>
      <c r="G267" s="7">
        <f>[85]Source!AN1094</f>
        <v>19.53</v>
      </c>
      <c r="H267" s="8" t="str">
        <f>[85]Source!DE1094</f>
        <v/>
      </c>
      <c r="I267" s="2">
        <f>[85]Source!AV1095</f>
        <v>1.0669999999999999</v>
      </c>
      <c r="J267" s="10">
        <f>[85]Source!R1094-J277</f>
        <v>0.87</v>
      </c>
      <c r="K267" s="2">
        <f>IF([85]Source!BS1095&lt;&gt; 0, [85]Source!BS1095, 1)</f>
        <v>23.94</v>
      </c>
      <c r="L267" s="10">
        <f>[85]Source!R1095-L277</f>
        <v>20.74</v>
      </c>
    </row>
    <row r="268" spans="1:22" ht="14.25" x14ac:dyDescent="0.2">
      <c r="A268" s="4"/>
      <c r="B268" s="4"/>
      <c r="C268" s="5"/>
      <c r="D268" s="5" t="s">
        <v>23</v>
      </c>
      <c r="E268" s="6"/>
      <c r="F268" s="2"/>
      <c r="G268" s="7">
        <f>[85]Source!AL1094</f>
        <v>41.86</v>
      </c>
      <c r="H268" s="8" t="str">
        <f>[85]Source!DD1094</f>
        <v/>
      </c>
      <c r="I268" s="2">
        <f>[85]Source!AW1095</f>
        <v>1</v>
      </c>
      <c r="J268" s="25">
        <f>[85]Source!P1094</f>
        <v>1.75</v>
      </c>
      <c r="K268" s="2">
        <f>IF([85]Source!BC1095&lt;&gt; 0, [85]Source!BC1095, 1)</f>
        <v>5.54</v>
      </c>
      <c r="L268" s="25">
        <f>[85]Source!P1095</f>
        <v>9.6999999999999993</v>
      </c>
    </row>
    <row r="269" spans="1:22" ht="71.25" x14ac:dyDescent="0.2">
      <c r="A269" s="4">
        <v>35</v>
      </c>
      <c r="B269" s="4" t="str">
        <f>[85]Source!E1096</f>
        <v>302,1</v>
      </c>
      <c r="C269" s="5" t="str">
        <f>[85]Source!F1096</f>
        <v>1.12-6-112</v>
      </c>
      <c r="D269" s="5" t="s">
        <v>46</v>
      </c>
      <c r="E269" s="6" t="str">
        <f>[85]Source!H1096</f>
        <v>м</v>
      </c>
      <c r="F269" s="2">
        <f>[85]Source!I1096</f>
        <v>4.18</v>
      </c>
      <c r="G269" s="7">
        <f>[85]Source!AK1096</f>
        <v>37.869999999999997</v>
      </c>
      <c r="H269" s="36" t="s">
        <v>90</v>
      </c>
      <c r="I269" s="2">
        <f>[85]Source!AW1097</f>
        <v>1</v>
      </c>
      <c r="J269" s="25">
        <f>[85]Source!O1096</f>
        <v>158.30000000000001</v>
      </c>
      <c r="K269" s="2">
        <f>IF([85]Source!BC1097&lt;&gt; 0, [85]Source!BC1097, 1)</f>
        <v>8.43</v>
      </c>
      <c r="L269" s="25">
        <f>[85]Source!O1097</f>
        <v>1334.47</v>
      </c>
      <c r="Q269">
        <f>[85]Source!X1096</f>
        <v>0</v>
      </c>
      <c r="R269">
        <f>[85]Source!X1097</f>
        <v>0</v>
      </c>
      <c r="S269">
        <f>[85]Source!Y1096</f>
        <v>0</v>
      </c>
      <c r="T269">
        <f>[85]Source!Y1097</f>
        <v>0</v>
      </c>
      <c r="U269">
        <f>ROUND((175/100)*ROUND([85]Source!R1096, 2), 2)</f>
        <v>0</v>
      </c>
      <c r="V269">
        <f>ROUND((157/100)*ROUND([85]Source!R1097, 2), 2)</f>
        <v>0</v>
      </c>
    </row>
    <row r="270" spans="1:22" ht="14.25" x14ac:dyDescent="0.2">
      <c r="A270" s="4"/>
      <c r="B270" s="4"/>
      <c r="C270" s="5"/>
      <c r="D270" s="5" t="s">
        <v>24</v>
      </c>
      <c r="E270" s="6" t="s">
        <v>25</v>
      </c>
      <c r="F270" s="2">
        <f>[85]Source!DN1095</f>
        <v>125</v>
      </c>
      <c r="G270" s="7"/>
      <c r="H270" s="8"/>
      <c r="I270" s="2"/>
      <c r="J270" s="25">
        <f>SUM(Q264:Q269)</f>
        <v>76.959999999999994</v>
      </c>
      <c r="K270" s="2">
        <f>[85]Source!BZ1095</f>
        <v>100</v>
      </c>
      <c r="L270" s="25">
        <f>SUM(R264:R269)</f>
        <v>1473.99</v>
      </c>
    </row>
    <row r="271" spans="1:22" ht="14.25" x14ac:dyDescent="0.2">
      <c r="A271" s="4"/>
      <c r="B271" s="4"/>
      <c r="C271" s="5"/>
      <c r="D271" s="5" t="s">
        <v>26</v>
      </c>
      <c r="E271" s="6" t="s">
        <v>25</v>
      </c>
      <c r="F271" s="2">
        <f>[85]Source!DO1095</f>
        <v>94</v>
      </c>
      <c r="G271" s="7"/>
      <c r="H271" s="8"/>
      <c r="I271" s="2"/>
      <c r="J271" s="25">
        <f>SUM(S264:S270)</f>
        <v>57.88</v>
      </c>
      <c r="K271" s="2">
        <f>[85]Source!CA1095</f>
        <v>45</v>
      </c>
      <c r="L271" s="25">
        <f>SUM(T264:T270)</f>
        <v>663.3</v>
      </c>
    </row>
    <row r="272" spans="1:22" ht="14.25" x14ac:dyDescent="0.2">
      <c r="A272" s="4"/>
      <c r="B272" s="4"/>
      <c r="C272" s="5"/>
      <c r="D272" s="5" t="s">
        <v>27</v>
      </c>
      <c r="E272" s="6" t="s">
        <v>25</v>
      </c>
      <c r="F272" s="2">
        <f>175</f>
        <v>175</v>
      </c>
      <c r="G272" s="7"/>
      <c r="H272" s="8"/>
      <c r="I272" s="2"/>
      <c r="J272" s="25">
        <f>SUM(U264:U271)-J278</f>
        <v>1.52</v>
      </c>
      <c r="K272" s="2">
        <f>157</f>
        <v>157</v>
      </c>
      <c r="L272" s="25">
        <f>SUM(V264:V271)-L278</f>
        <v>32.56</v>
      </c>
    </row>
    <row r="273" spans="1:22" ht="14.25" x14ac:dyDescent="0.2">
      <c r="A273" s="4"/>
      <c r="B273" s="4"/>
      <c r="C273" s="5"/>
      <c r="D273" s="5" t="s">
        <v>28</v>
      </c>
      <c r="E273" s="6" t="s">
        <v>29</v>
      </c>
      <c r="F273" s="2">
        <f>[85]Source!AQ1094</f>
        <v>65.5</v>
      </c>
      <c r="G273" s="7"/>
      <c r="H273" s="8" t="str">
        <f>[85]Source!DI1094</f>
        <v/>
      </c>
      <c r="I273" s="2">
        <f>[85]Source!AV1095</f>
        <v>1.0669999999999999</v>
      </c>
      <c r="J273" s="25">
        <f>[85]Source!U1094</f>
        <v>2.92</v>
      </c>
      <c r="K273" s="2"/>
      <c r="L273" s="25"/>
    </row>
    <row r="274" spans="1:22" ht="15" x14ac:dyDescent="0.25">
      <c r="I274" s="525">
        <f>J265+J266+J268+J270+J271+J272+SUM(J269:J269)</f>
        <v>364.54</v>
      </c>
      <c r="J274" s="525"/>
      <c r="K274" s="525">
        <f>L265+L266+L268+L270+L271+L272+SUM(L269:L269)</f>
        <v>5039.2299999999996</v>
      </c>
      <c r="L274" s="525"/>
      <c r="O274" s="11">
        <f>J265+J266+J268+J270+J271+J272+SUM(J269:J269)</f>
        <v>364.54</v>
      </c>
      <c r="P274" s="11">
        <f>L265+L266+L268+L270+L271+L272+SUM(L269:L269)</f>
        <v>5039.2299999999996</v>
      </c>
    </row>
    <row r="275" spans="1:22" ht="28.5" x14ac:dyDescent="0.2">
      <c r="A275" s="12"/>
      <c r="B275" s="12"/>
      <c r="C275" s="13"/>
      <c r="D275" s="13" t="s">
        <v>30</v>
      </c>
      <c r="E275" s="6"/>
      <c r="F275" s="14"/>
      <c r="G275" s="15"/>
      <c r="H275" s="6"/>
      <c r="I275" s="14"/>
      <c r="J275" s="10"/>
      <c r="K275" s="14"/>
      <c r="L275" s="10"/>
    </row>
    <row r="276" spans="1:22" ht="14.25" x14ac:dyDescent="0.2">
      <c r="A276" s="12"/>
      <c r="B276" s="12"/>
      <c r="C276" s="13"/>
      <c r="D276" s="13" t="s">
        <v>21</v>
      </c>
      <c r="E276" s="6"/>
      <c r="F276" s="14"/>
      <c r="G276" s="15">
        <f t="shared" ref="G276:L276" si="11">G277</f>
        <v>19.53</v>
      </c>
      <c r="H276" s="16" t="str">
        <f t="shared" si="11"/>
        <v>)*(1.67-1)</v>
      </c>
      <c r="I276" s="14">
        <f t="shared" si="11"/>
        <v>1.0669999999999999</v>
      </c>
      <c r="J276" s="10">
        <f t="shared" si="11"/>
        <v>0.57999999999999996</v>
      </c>
      <c r="K276" s="14">
        <f t="shared" si="11"/>
        <v>23.94</v>
      </c>
      <c r="L276" s="10">
        <f t="shared" si="11"/>
        <v>13.97</v>
      </c>
    </row>
    <row r="277" spans="1:22" ht="14.25" x14ac:dyDescent="0.2">
      <c r="A277" s="12"/>
      <c r="B277" s="12"/>
      <c r="C277" s="13"/>
      <c r="D277" s="13" t="s">
        <v>22</v>
      </c>
      <c r="E277" s="6"/>
      <c r="F277" s="14"/>
      <c r="G277" s="15">
        <f>[85]Source!AN1094</f>
        <v>19.53</v>
      </c>
      <c r="H277" s="16" t="s">
        <v>31</v>
      </c>
      <c r="I277" s="14">
        <f>[85]Source!AV1095</f>
        <v>1.0669999999999999</v>
      </c>
      <c r="J277" s="10">
        <f>ROUND(F264*G277*I277*(1.67-1), 2)</f>
        <v>0.57999999999999996</v>
      </c>
      <c r="K277" s="14">
        <f>IF([85]Source!BS1095&lt;&gt; 0, [85]Source!BS1095, 1)</f>
        <v>23.94</v>
      </c>
      <c r="L277" s="10">
        <f>ROUND(F264*G277*I277*(1.67-1)*K277, 2)</f>
        <v>13.97</v>
      </c>
    </row>
    <row r="278" spans="1:22" ht="14.25" x14ac:dyDescent="0.2">
      <c r="A278" s="12"/>
      <c r="B278" s="12"/>
      <c r="C278" s="13"/>
      <c r="D278" s="13" t="s">
        <v>27</v>
      </c>
      <c r="E278" s="6" t="s">
        <v>25</v>
      </c>
      <c r="F278" s="14">
        <f>175</f>
        <v>175</v>
      </c>
      <c r="G278" s="15"/>
      <c r="H278" s="6"/>
      <c r="I278" s="14"/>
      <c r="J278" s="10">
        <f>ROUND(J277*(F278/100), 2)</f>
        <v>1.02</v>
      </c>
      <c r="K278" s="14">
        <f>157</f>
        <v>157</v>
      </c>
      <c r="L278" s="10">
        <f>ROUND(L277*(K278/100), 2)</f>
        <v>21.93</v>
      </c>
    </row>
    <row r="279" spans="1:22" ht="15" x14ac:dyDescent="0.25">
      <c r="I279" s="525">
        <f>J278+J277</f>
        <v>1.6</v>
      </c>
      <c r="J279" s="525"/>
      <c r="K279" s="525">
        <f>L278+L277</f>
        <v>35.9</v>
      </c>
      <c r="L279" s="525"/>
      <c r="O279" s="11">
        <f>I279</f>
        <v>1.6</v>
      </c>
      <c r="P279" s="11">
        <f>K279</f>
        <v>35.9</v>
      </c>
    </row>
    <row r="281" spans="1:22" ht="15" x14ac:dyDescent="0.25">
      <c r="A281" s="37"/>
      <c r="B281" s="37"/>
      <c r="C281" s="38"/>
      <c r="D281" s="38" t="s">
        <v>32</v>
      </c>
      <c r="E281" s="39"/>
      <c r="F281" s="40"/>
      <c r="G281" s="41"/>
      <c r="H281" s="42"/>
      <c r="I281" s="524">
        <f>I274+I279</f>
        <v>366.14</v>
      </c>
      <c r="J281" s="524"/>
      <c r="K281" s="524">
        <f>K274+K279</f>
        <v>5075.13</v>
      </c>
      <c r="L281" s="524"/>
    </row>
    <row r="282" spans="1:22" ht="42.75" x14ac:dyDescent="0.2">
      <c r="A282" s="4">
        <v>36</v>
      </c>
      <c r="B282" s="4" t="str">
        <f>[85]Source!E1098</f>
        <v>303</v>
      </c>
      <c r="C282" s="5" t="str">
        <f>[85]Source!F1098</f>
        <v>3.16-9-4</v>
      </c>
      <c r="D282" s="5" t="s">
        <v>138</v>
      </c>
      <c r="E282" s="6" t="str">
        <f>[85]Source!H1098</f>
        <v>100 м трубопровода</v>
      </c>
      <c r="F282" s="2">
        <f>[85]Source!I1098</f>
        <v>3.5000000000000003E-2</v>
      </c>
      <c r="G282" s="7"/>
      <c r="H282" s="8"/>
      <c r="I282" s="2"/>
      <c r="J282" s="25"/>
      <c r="K282" s="2"/>
      <c r="L282" s="25"/>
      <c r="Q282">
        <f>[85]Source!X1098</f>
        <v>71.33</v>
      </c>
      <c r="R282">
        <f>[85]Source!X1099</f>
        <v>1366.02</v>
      </c>
      <c r="S282">
        <f>[85]Source!Y1098</f>
        <v>53.64</v>
      </c>
      <c r="T282">
        <f>[85]Source!Y1099</f>
        <v>614.71</v>
      </c>
      <c r="U282">
        <f>ROUND((175/100)*ROUND([85]Source!R1098, 2), 2)</f>
        <v>3.4</v>
      </c>
      <c r="V282">
        <f>ROUND((157/100)*ROUND([85]Source!R1099, 2), 2)</f>
        <v>72.91</v>
      </c>
    </row>
    <row r="283" spans="1:22" ht="14.25" x14ac:dyDescent="0.2">
      <c r="A283" s="4"/>
      <c r="B283" s="4"/>
      <c r="C283" s="5"/>
      <c r="D283" s="5" t="s">
        <v>20</v>
      </c>
      <c r="E283" s="6"/>
      <c r="F283" s="2"/>
      <c r="G283" s="7">
        <f>[85]Source!AO1098</f>
        <v>914.95</v>
      </c>
      <c r="H283" s="8" t="str">
        <f>[85]Source!DG1098</f>
        <v>)*1,67</v>
      </c>
      <c r="I283" s="2">
        <f>[85]Source!AV1099</f>
        <v>1.0669999999999999</v>
      </c>
      <c r="J283" s="25">
        <f>[85]Source!S1098</f>
        <v>57.06</v>
      </c>
      <c r="K283" s="2">
        <f>IF([85]Source!BA1099&lt;&gt; 0, [85]Source!BA1099, 1)</f>
        <v>23.94</v>
      </c>
      <c r="L283" s="25">
        <f>[85]Source!S1099</f>
        <v>1366.02</v>
      </c>
    </row>
    <row r="284" spans="1:22" ht="14.25" x14ac:dyDescent="0.2">
      <c r="A284" s="4"/>
      <c r="B284" s="4"/>
      <c r="C284" s="5"/>
      <c r="D284" s="5" t="s">
        <v>21</v>
      </c>
      <c r="E284" s="6"/>
      <c r="F284" s="2"/>
      <c r="G284" s="7">
        <f>[85]Source!AM1098</f>
        <v>218.14</v>
      </c>
      <c r="H284" s="8" t="str">
        <f>[85]Source!DE1098</f>
        <v/>
      </c>
      <c r="I284" s="2">
        <f>[85]Source!AV1099</f>
        <v>1.0669999999999999</v>
      </c>
      <c r="J284" s="25">
        <f>[85]Source!Q1098-J294</f>
        <v>8.15</v>
      </c>
      <c r="K284" s="2">
        <f>IF([85]Source!BB1099&lt;&gt; 0, [85]Source!BB1099, 1)</f>
        <v>7.99</v>
      </c>
      <c r="L284" s="25">
        <f>[85]Source!Q1099-L294</f>
        <v>65.2</v>
      </c>
    </row>
    <row r="285" spans="1:22" ht="14.25" x14ac:dyDescent="0.2">
      <c r="A285" s="4"/>
      <c r="B285" s="4"/>
      <c r="C285" s="5"/>
      <c r="D285" s="5" t="s">
        <v>22</v>
      </c>
      <c r="E285" s="6"/>
      <c r="F285" s="2"/>
      <c r="G285" s="7">
        <f>[85]Source!AN1098</f>
        <v>31.03</v>
      </c>
      <c r="H285" s="8" t="str">
        <f>[85]Source!DE1098</f>
        <v/>
      </c>
      <c r="I285" s="2">
        <f>[85]Source!AV1099</f>
        <v>1.0669999999999999</v>
      </c>
      <c r="J285" s="10">
        <f>[85]Source!R1098-J295</f>
        <v>1.1599999999999999</v>
      </c>
      <c r="K285" s="2">
        <f>IF([85]Source!BS1099&lt;&gt; 0, [85]Source!BS1099, 1)</f>
        <v>23.94</v>
      </c>
      <c r="L285" s="10">
        <f>[85]Source!R1099-L295</f>
        <v>27.85</v>
      </c>
    </row>
    <row r="286" spans="1:22" ht="14.25" x14ac:dyDescent="0.2">
      <c r="A286" s="4"/>
      <c r="B286" s="4"/>
      <c r="C286" s="5"/>
      <c r="D286" s="5" t="s">
        <v>23</v>
      </c>
      <c r="E286" s="6"/>
      <c r="F286" s="2"/>
      <c r="G286" s="7">
        <f>[85]Source!AL1098</f>
        <v>51.59</v>
      </c>
      <c r="H286" s="8" t="str">
        <f>[85]Source!DD1098</f>
        <v/>
      </c>
      <c r="I286" s="2">
        <f>[85]Source!AW1099</f>
        <v>1</v>
      </c>
      <c r="J286" s="25">
        <f>[85]Source!P1098</f>
        <v>1.81</v>
      </c>
      <c r="K286" s="2">
        <f>IF([85]Source!BC1099&lt;&gt; 0, [85]Source!BC1099, 1)</f>
        <v>5.54</v>
      </c>
      <c r="L286" s="25">
        <f>[85]Source!P1099</f>
        <v>10.029999999999999</v>
      </c>
    </row>
    <row r="287" spans="1:22" ht="71.25" x14ac:dyDescent="0.2">
      <c r="A287" s="4">
        <v>37</v>
      </c>
      <c r="B287" s="4" t="str">
        <f>[85]Source!E1100</f>
        <v>303,1</v>
      </c>
      <c r="C287" s="5" t="str">
        <f>[85]Source!F1100</f>
        <v>1.12-6-163</v>
      </c>
      <c r="D287" s="5" t="s">
        <v>148</v>
      </c>
      <c r="E287" s="6" t="str">
        <f>[85]Source!H1100</f>
        <v>м</v>
      </c>
      <c r="F287" s="2">
        <f>[85]Source!I1100</f>
        <v>3.5</v>
      </c>
      <c r="G287" s="7">
        <f>[85]Source!AK1100</f>
        <v>113.39</v>
      </c>
      <c r="H287" s="36" t="s">
        <v>90</v>
      </c>
      <c r="I287" s="2">
        <f>[85]Source!AW1101</f>
        <v>1</v>
      </c>
      <c r="J287" s="25">
        <f>[85]Source!O1100</f>
        <v>396.87</v>
      </c>
      <c r="K287" s="2">
        <f>IF([85]Source!BC1101&lt;&gt; 0, [85]Source!BC1101, 1)</f>
        <v>6.12</v>
      </c>
      <c r="L287" s="25">
        <f>[85]Source!O1101</f>
        <v>2428.84</v>
      </c>
      <c r="Q287">
        <f>[85]Source!X1100</f>
        <v>0</v>
      </c>
      <c r="R287">
        <f>[85]Source!X1101</f>
        <v>0</v>
      </c>
      <c r="S287">
        <f>[85]Source!Y1100</f>
        <v>0</v>
      </c>
      <c r="T287">
        <f>[85]Source!Y1101</f>
        <v>0</v>
      </c>
      <c r="U287">
        <f>ROUND((175/100)*ROUND([85]Source!R1100, 2), 2)</f>
        <v>0</v>
      </c>
      <c r="V287">
        <f>ROUND((157/100)*ROUND([85]Source!R1101, 2), 2)</f>
        <v>0</v>
      </c>
    </row>
    <row r="288" spans="1:22" ht="14.25" x14ac:dyDescent="0.2">
      <c r="A288" s="4"/>
      <c r="B288" s="4"/>
      <c r="C288" s="5"/>
      <c r="D288" s="5" t="s">
        <v>24</v>
      </c>
      <c r="E288" s="6" t="s">
        <v>25</v>
      </c>
      <c r="F288" s="2">
        <f>[85]Source!DN1099</f>
        <v>125</v>
      </c>
      <c r="G288" s="7"/>
      <c r="H288" s="8"/>
      <c r="I288" s="2"/>
      <c r="J288" s="25">
        <f>SUM(Q282:Q287)</f>
        <v>71.33</v>
      </c>
      <c r="K288" s="2">
        <f>[85]Source!BZ1099</f>
        <v>100</v>
      </c>
      <c r="L288" s="25">
        <f>SUM(R282:R287)</f>
        <v>1366.02</v>
      </c>
    </row>
    <row r="289" spans="1:22" ht="14.25" x14ac:dyDescent="0.2">
      <c r="A289" s="4"/>
      <c r="B289" s="4"/>
      <c r="C289" s="5"/>
      <c r="D289" s="5" t="s">
        <v>26</v>
      </c>
      <c r="E289" s="6" t="s">
        <v>25</v>
      </c>
      <c r="F289" s="2">
        <f>[85]Source!DO1099</f>
        <v>94</v>
      </c>
      <c r="G289" s="7"/>
      <c r="H289" s="8"/>
      <c r="I289" s="2"/>
      <c r="J289" s="25">
        <f>SUM(S282:S288)</f>
        <v>53.64</v>
      </c>
      <c r="K289" s="2">
        <f>[85]Source!CA1099</f>
        <v>45</v>
      </c>
      <c r="L289" s="25">
        <f>SUM(T282:T288)</f>
        <v>614.71</v>
      </c>
    </row>
    <row r="290" spans="1:22" ht="14.25" x14ac:dyDescent="0.2">
      <c r="A290" s="4"/>
      <c r="B290" s="4"/>
      <c r="C290" s="5"/>
      <c r="D290" s="5" t="s">
        <v>27</v>
      </c>
      <c r="E290" s="6" t="s">
        <v>25</v>
      </c>
      <c r="F290" s="2">
        <f>175</f>
        <v>175</v>
      </c>
      <c r="G290" s="7"/>
      <c r="H290" s="8"/>
      <c r="I290" s="2"/>
      <c r="J290" s="25">
        <f>SUM(U282:U289)-J296</f>
        <v>2.0299999999999998</v>
      </c>
      <c r="K290" s="2">
        <f>157</f>
        <v>157</v>
      </c>
      <c r="L290" s="25">
        <f>SUM(V282:V289)-L296</f>
        <v>43.72</v>
      </c>
    </row>
    <row r="291" spans="1:22" ht="14.25" x14ac:dyDescent="0.2">
      <c r="A291" s="4"/>
      <c r="B291" s="4"/>
      <c r="C291" s="5"/>
      <c r="D291" s="5" t="s">
        <v>28</v>
      </c>
      <c r="E291" s="6" t="s">
        <v>29</v>
      </c>
      <c r="F291" s="2">
        <f>[85]Source!AQ1098</f>
        <v>72.5</v>
      </c>
      <c r="G291" s="7"/>
      <c r="H291" s="8" t="str">
        <f>[85]Source!DI1098</f>
        <v/>
      </c>
      <c r="I291" s="2">
        <f>[85]Source!AV1099</f>
        <v>1.0669999999999999</v>
      </c>
      <c r="J291" s="25">
        <f>[85]Source!U1098</f>
        <v>2.71</v>
      </c>
      <c r="K291" s="2"/>
      <c r="L291" s="25"/>
    </row>
    <row r="292" spans="1:22" ht="15" x14ac:dyDescent="0.25">
      <c r="I292" s="525">
        <f>J283+J284+J286+J288+J289+J290+SUM(J287:J287)</f>
        <v>590.89</v>
      </c>
      <c r="J292" s="525"/>
      <c r="K292" s="525">
        <f>L283+L284+L286+L288+L289+L290+SUM(L287:L287)</f>
        <v>5894.54</v>
      </c>
      <c r="L292" s="525"/>
      <c r="O292" s="11">
        <f>J283+J284+J286+J288+J289+J290+SUM(J287:J287)</f>
        <v>590.89</v>
      </c>
      <c r="P292" s="11">
        <f>L283+L284+L286+L288+L289+L290+SUM(L287:L287)</f>
        <v>5894.54</v>
      </c>
    </row>
    <row r="293" spans="1:22" ht="28.5" x14ac:dyDescent="0.2">
      <c r="A293" s="12"/>
      <c r="B293" s="12"/>
      <c r="C293" s="13"/>
      <c r="D293" s="13" t="s">
        <v>30</v>
      </c>
      <c r="E293" s="6"/>
      <c r="F293" s="14"/>
      <c r="G293" s="15"/>
      <c r="H293" s="6"/>
      <c r="I293" s="14"/>
      <c r="J293" s="10"/>
      <c r="K293" s="14"/>
      <c r="L293" s="10"/>
    </row>
    <row r="294" spans="1:22" ht="14.25" x14ac:dyDescent="0.2">
      <c r="A294" s="12"/>
      <c r="B294" s="12"/>
      <c r="C294" s="13"/>
      <c r="D294" s="13" t="s">
        <v>21</v>
      </c>
      <c r="E294" s="6"/>
      <c r="F294" s="14"/>
      <c r="G294" s="15">
        <f t="shared" ref="G294:L294" si="12">G295</f>
        <v>31.03</v>
      </c>
      <c r="H294" s="16" t="str">
        <f t="shared" si="12"/>
        <v>)*(1.67-1)</v>
      </c>
      <c r="I294" s="14">
        <f t="shared" si="12"/>
        <v>1.0669999999999999</v>
      </c>
      <c r="J294" s="10">
        <f t="shared" si="12"/>
        <v>0.78</v>
      </c>
      <c r="K294" s="14">
        <f t="shared" si="12"/>
        <v>23.94</v>
      </c>
      <c r="L294" s="10">
        <f t="shared" si="12"/>
        <v>18.59</v>
      </c>
    </row>
    <row r="295" spans="1:22" ht="14.25" x14ac:dyDescent="0.2">
      <c r="A295" s="12"/>
      <c r="B295" s="12"/>
      <c r="C295" s="13"/>
      <c r="D295" s="13" t="s">
        <v>22</v>
      </c>
      <c r="E295" s="6"/>
      <c r="F295" s="14"/>
      <c r="G295" s="15">
        <f>[85]Source!AN1098</f>
        <v>31.03</v>
      </c>
      <c r="H295" s="16" t="s">
        <v>31</v>
      </c>
      <c r="I295" s="14">
        <f>[85]Source!AV1099</f>
        <v>1.0669999999999999</v>
      </c>
      <c r="J295" s="10">
        <f>ROUND(F282*G295*I295*(1.67-1), 2)</f>
        <v>0.78</v>
      </c>
      <c r="K295" s="14">
        <f>IF([85]Source!BS1099&lt;&gt; 0, [85]Source!BS1099, 1)</f>
        <v>23.94</v>
      </c>
      <c r="L295" s="10">
        <f>ROUND(F282*G295*I295*(1.67-1)*K295, 2)</f>
        <v>18.59</v>
      </c>
    </row>
    <row r="296" spans="1:22" ht="14.25" x14ac:dyDescent="0.2">
      <c r="A296" s="12"/>
      <c r="B296" s="12"/>
      <c r="C296" s="13"/>
      <c r="D296" s="13" t="s">
        <v>27</v>
      </c>
      <c r="E296" s="6" t="s">
        <v>25</v>
      </c>
      <c r="F296" s="14">
        <f>175</f>
        <v>175</v>
      </c>
      <c r="G296" s="15"/>
      <c r="H296" s="6"/>
      <c r="I296" s="14"/>
      <c r="J296" s="10">
        <f>ROUND(J295*(F296/100), 2)</f>
        <v>1.37</v>
      </c>
      <c r="K296" s="14">
        <f>157</f>
        <v>157</v>
      </c>
      <c r="L296" s="10">
        <f>ROUND(L295*(K296/100), 2)</f>
        <v>29.19</v>
      </c>
    </row>
    <row r="297" spans="1:22" ht="15" x14ac:dyDescent="0.25">
      <c r="I297" s="525">
        <f>J296+J295</f>
        <v>2.15</v>
      </c>
      <c r="J297" s="525"/>
      <c r="K297" s="525">
        <f>L296+L295</f>
        <v>47.78</v>
      </c>
      <c r="L297" s="525"/>
      <c r="O297" s="11">
        <f>I297</f>
        <v>2.15</v>
      </c>
      <c r="P297" s="11">
        <f>K297</f>
        <v>47.78</v>
      </c>
    </row>
    <row r="299" spans="1:22" ht="15" x14ac:dyDescent="0.25">
      <c r="A299" s="37"/>
      <c r="B299" s="37"/>
      <c r="C299" s="38"/>
      <c r="D299" s="38" t="s">
        <v>32</v>
      </c>
      <c r="E299" s="39"/>
      <c r="F299" s="40"/>
      <c r="G299" s="41"/>
      <c r="H299" s="42"/>
      <c r="I299" s="524">
        <f>I292+I297</f>
        <v>593.04</v>
      </c>
      <c r="J299" s="524"/>
      <c r="K299" s="524">
        <f>K292+K297</f>
        <v>5942.32</v>
      </c>
      <c r="L299" s="524"/>
    </row>
    <row r="300" spans="1:22" ht="42.75" x14ac:dyDescent="0.2">
      <c r="A300" s="4">
        <v>38</v>
      </c>
      <c r="B300" s="4" t="str">
        <f>[85]Source!E1102</f>
        <v>304</v>
      </c>
      <c r="C300" s="5" t="str">
        <f>[85]Source!F1102</f>
        <v>3.16-9-7</v>
      </c>
      <c r="D300" s="5" t="s">
        <v>149</v>
      </c>
      <c r="E300" s="6" t="str">
        <f>[85]Source!H1102</f>
        <v>100 м трубопровода</v>
      </c>
      <c r="F300" s="2">
        <f>[85]Source!I1102</f>
        <v>2.3E-2</v>
      </c>
      <c r="G300" s="7"/>
      <c r="H300" s="8"/>
      <c r="I300" s="2"/>
      <c r="J300" s="25"/>
      <c r="K300" s="2"/>
      <c r="L300" s="25"/>
      <c r="Q300">
        <f>[85]Source!X1102</f>
        <v>104.85</v>
      </c>
      <c r="R300">
        <f>[85]Source!X1103</f>
        <v>2008.09</v>
      </c>
      <c r="S300">
        <f>[85]Source!Y1102</f>
        <v>78.849999999999994</v>
      </c>
      <c r="T300">
        <f>[85]Source!Y1103</f>
        <v>903.64</v>
      </c>
      <c r="U300">
        <f>ROUND((175/100)*ROUND([85]Source!R1102, 2), 2)</f>
        <v>4.5999999999999996</v>
      </c>
      <c r="V300">
        <f>ROUND((157/100)*ROUND([85]Source!R1103, 2), 2)</f>
        <v>98.85</v>
      </c>
    </row>
    <row r="301" spans="1:22" ht="14.25" x14ac:dyDescent="0.2">
      <c r="A301" s="4"/>
      <c r="B301" s="4"/>
      <c r="C301" s="5"/>
      <c r="D301" s="5" t="s">
        <v>20</v>
      </c>
      <c r="E301" s="6"/>
      <c r="F301" s="2"/>
      <c r="G301" s="7">
        <f>[85]Source!AO1102</f>
        <v>2046.78</v>
      </c>
      <c r="H301" s="8" t="str">
        <f>[85]Source!DG1102</f>
        <v>)*1,67</v>
      </c>
      <c r="I301" s="2">
        <f>[85]Source!AV1103</f>
        <v>1.0669999999999999</v>
      </c>
      <c r="J301" s="25">
        <f>[85]Source!S1102</f>
        <v>83.88</v>
      </c>
      <c r="K301" s="2">
        <f>IF([85]Source!BA1103&lt;&gt; 0, [85]Source!BA1103, 1)</f>
        <v>23.94</v>
      </c>
      <c r="L301" s="25">
        <f>[85]Source!S1103</f>
        <v>2008.09</v>
      </c>
    </row>
    <row r="302" spans="1:22" ht="14.25" x14ac:dyDescent="0.2">
      <c r="A302" s="4"/>
      <c r="B302" s="4"/>
      <c r="C302" s="5"/>
      <c r="D302" s="5" t="s">
        <v>21</v>
      </c>
      <c r="E302" s="6"/>
      <c r="F302" s="2"/>
      <c r="G302" s="7">
        <f>[85]Source!AM1102</f>
        <v>393.06</v>
      </c>
      <c r="H302" s="8" t="str">
        <f>[85]Source!DE1102</f>
        <v/>
      </c>
      <c r="I302" s="2">
        <f>[85]Source!AV1103</f>
        <v>1.0669999999999999</v>
      </c>
      <c r="J302" s="25">
        <f>[85]Source!Q1102-J312</f>
        <v>9.65</v>
      </c>
      <c r="K302" s="2">
        <f>IF([85]Source!BB1103&lt;&gt; 0, [85]Source!BB1103, 1)</f>
        <v>8.3800000000000008</v>
      </c>
      <c r="L302" s="25">
        <f>[85]Source!Q1103-L312</f>
        <v>80.760000000000005</v>
      </c>
    </row>
    <row r="303" spans="1:22" ht="14.25" x14ac:dyDescent="0.2">
      <c r="A303" s="4"/>
      <c r="B303" s="4"/>
      <c r="C303" s="5"/>
      <c r="D303" s="5" t="s">
        <v>22</v>
      </c>
      <c r="E303" s="6"/>
      <c r="F303" s="2"/>
      <c r="G303" s="7">
        <f>[85]Source!AN1102</f>
        <v>64.14</v>
      </c>
      <c r="H303" s="8" t="str">
        <f>[85]Source!DE1102</f>
        <v/>
      </c>
      <c r="I303" s="2">
        <f>[85]Source!AV1103</f>
        <v>1.0669999999999999</v>
      </c>
      <c r="J303" s="10">
        <f>[85]Source!R1102-J313</f>
        <v>1.58</v>
      </c>
      <c r="K303" s="2">
        <f>IF([85]Source!BS1103&lt;&gt; 0, [85]Source!BS1103, 1)</f>
        <v>23.94</v>
      </c>
      <c r="L303" s="10">
        <f>[85]Source!R1103-L313</f>
        <v>37.71</v>
      </c>
    </row>
    <row r="304" spans="1:22" ht="14.25" x14ac:dyDescent="0.2">
      <c r="A304" s="4"/>
      <c r="B304" s="4"/>
      <c r="C304" s="5"/>
      <c r="D304" s="5" t="s">
        <v>23</v>
      </c>
      <c r="E304" s="6"/>
      <c r="F304" s="2"/>
      <c r="G304" s="7">
        <f>[85]Source!AL1102</f>
        <v>5583.75</v>
      </c>
      <c r="H304" s="8" t="str">
        <f>[85]Source!DD1102</f>
        <v/>
      </c>
      <c r="I304" s="2">
        <f>[85]Source!AW1103</f>
        <v>1</v>
      </c>
      <c r="J304" s="25">
        <f>[85]Source!P1102</f>
        <v>128.43</v>
      </c>
      <c r="K304" s="2">
        <f>IF([85]Source!BC1103&lt;&gt; 0, [85]Source!BC1103, 1)</f>
        <v>3.98</v>
      </c>
      <c r="L304" s="25">
        <f>[85]Source!P1103</f>
        <v>511.15</v>
      </c>
    </row>
    <row r="305" spans="1:22" ht="71.25" x14ac:dyDescent="0.2">
      <c r="A305" s="4">
        <v>39</v>
      </c>
      <c r="B305" s="4" t="str">
        <f>[85]Source!E1104</f>
        <v>304,1</v>
      </c>
      <c r="C305" s="5" t="str">
        <f>[85]Source!F1104</f>
        <v>1.12-6-208</v>
      </c>
      <c r="D305" s="5" t="s">
        <v>150</v>
      </c>
      <c r="E305" s="6" t="str">
        <f>[85]Source!H1104</f>
        <v>м</v>
      </c>
      <c r="F305" s="2">
        <f>[85]Source!I1104</f>
        <v>2.2999999999999998</v>
      </c>
      <c r="G305" s="7">
        <f>[85]Source!AK1104</f>
        <v>172.83</v>
      </c>
      <c r="H305" s="36" t="s">
        <v>90</v>
      </c>
      <c r="I305" s="2">
        <f>[85]Source!AW1105</f>
        <v>1</v>
      </c>
      <c r="J305" s="25">
        <f>[85]Source!O1104</f>
        <v>397.51</v>
      </c>
      <c r="K305" s="2">
        <f>IF([85]Source!BC1105&lt;&gt; 0, [85]Source!BC1105, 1)</f>
        <v>6.62</v>
      </c>
      <c r="L305" s="25">
        <f>[85]Source!O1105</f>
        <v>2631.52</v>
      </c>
      <c r="Q305">
        <f>[85]Source!X1104</f>
        <v>0</v>
      </c>
      <c r="R305">
        <f>[85]Source!X1105</f>
        <v>0</v>
      </c>
      <c r="S305">
        <f>[85]Source!Y1104</f>
        <v>0</v>
      </c>
      <c r="T305">
        <f>[85]Source!Y1105</f>
        <v>0</v>
      </c>
      <c r="U305">
        <f>ROUND((175/100)*ROUND([85]Source!R1104, 2), 2)</f>
        <v>0</v>
      </c>
      <c r="V305">
        <f>ROUND((157/100)*ROUND([85]Source!R1105, 2), 2)</f>
        <v>0</v>
      </c>
    </row>
    <row r="306" spans="1:22" ht="14.25" x14ac:dyDescent="0.2">
      <c r="A306" s="4"/>
      <c r="B306" s="4"/>
      <c r="C306" s="5"/>
      <c r="D306" s="5" t="s">
        <v>24</v>
      </c>
      <c r="E306" s="6" t="s">
        <v>25</v>
      </c>
      <c r="F306" s="2">
        <f>[85]Source!DN1103</f>
        <v>125</v>
      </c>
      <c r="G306" s="7"/>
      <c r="H306" s="8"/>
      <c r="I306" s="2"/>
      <c r="J306" s="25">
        <f>SUM(Q300:Q305)</f>
        <v>104.85</v>
      </c>
      <c r="K306" s="2">
        <f>[85]Source!BZ1103</f>
        <v>100</v>
      </c>
      <c r="L306" s="25">
        <f>SUM(R300:R305)</f>
        <v>2008.09</v>
      </c>
    </row>
    <row r="307" spans="1:22" ht="14.25" x14ac:dyDescent="0.2">
      <c r="A307" s="4"/>
      <c r="B307" s="4"/>
      <c r="C307" s="5"/>
      <c r="D307" s="5" t="s">
        <v>26</v>
      </c>
      <c r="E307" s="6" t="s">
        <v>25</v>
      </c>
      <c r="F307" s="2">
        <f>[85]Source!DO1103</f>
        <v>94</v>
      </c>
      <c r="G307" s="7"/>
      <c r="H307" s="8"/>
      <c r="I307" s="2"/>
      <c r="J307" s="25">
        <f>SUM(S300:S306)</f>
        <v>78.849999999999994</v>
      </c>
      <c r="K307" s="2">
        <f>[85]Source!CA1103</f>
        <v>45</v>
      </c>
      <c r="L307" s="25">
        <f>SUM(T300:T306)</f>
        <v>903.64</v>
      </c>
    </row>
    <row r="308" spans="1:22" ht="14.25" x14ac:dyDescent="0.2">
      <c r="A308" s="4"/>
      <c r="B308" s="4"/>
      <c r="C308" s="5"/>
      <c r="D308" s="5" t="s">
        <v>27</v>
      </c>
      <c r="E308" s="6" t="s">
        <v>25</v>
      </c>
      <c r="F308" s="2">
        <f>175</f>
        <v>175</v>
      </c>
      <c r="G308" s="7"/>
      <c r="H308" s="8"/>
      <c r="I308" s="2"/>
      <c r="J308" s="25">
        <f>SUM(U300:U307)-J314</f>
        <v>2.76</v>
      </c>
      <c r="K308" s="2">
        <f>157</f>
        <v>157</v>
      </c>
      <c r="L308" s="25">
        <f>SUM(V300:V307)-L314</f>
        <v>59.21</v>
      </c>
    </row>
    <row r="309" spans="1:22" ht="14.25" x14ac:dyDescent="0.2">
      <c r="A309" s="4"/>
      <c r="B309" s="4"/>
      <c r="C309" s="5"/>
      <c r="D309" s="5" t="s">
        <v>28</v>
      </c>
      <c r="E309" s="6" t="s">
        <v>29</v>
      </c>
      <c r="F309" s="2">
        <f>[85]Source!AQ1102</f>
        <v>166</v>
      </c>
      <c r="G309" s="7"/>
      <c r="H309" s="8" t="str">
        <f>[85]Source!DI1102</f>
        <v/>
      </c>
      <c r="I309" s="2">
        <f>[85]Source!AV1103</f>
        <v>1.0669999999999999</v>
      </c>
      <c r="J309" s="25">
        <f>[85]Source!U1102</f>
        <v>4.07</v>
      </c>
      <c r="K309" s="2"/>
      <c r="L309" s="25"/>
    </row>
    <row r="310" spans="1:22" ht="15" x14ac:dyDescent="0.25">
      <c r="I310" s="525">
        <f>J301+J302+J304+J306+J307+J308+SUM(J305:J305)</f>
        <v>805.93</v>
      </c>
      <c r="J310" s="525"/>
      <c r="K310" s="525">
        <f>L301+L302+L304+L306+L307+L308+SUM(L305:L305)</f>
        <v>8202.4599999999991</v>
      </c>
      <c r="L310" s="525"/>
      <c r="O310" s="11">
        <f>J301+J302+J304+J306+J307+J308+SUM(J305:J305)</f>
        <v>805.93</v>
      </c>
      <c r="P310" s="11">
        <f>L301+L302+L304+L306+L307+L308+SUM(L305:L305)</f>
        <v>8202.4599999999991</v>
      </c>
    </row>
    <row r="311" spans="1:22" ht="28.5" x14ac:dyDescent="0.2">
      <c r="A311" s="12"/>
      <c r="B311" s="12"/>
      <c r="C311" s="13"/>
      <c r="D311" s="13" t="s">
        <v>30</v>
      </c>
      <c r="E311" s="6"/>
      <c r="F311" s="14"/>
      <c r="G311" s="15"/>
      <c r="H311" s="6"/>
      <c r="I311" s="14"/>
      <c r="J311" s="10"/>
      <c r="K311" s="14"/>
      <c r="L311" s="10"/>
    </row>
    <row r="312" spans="1:22" ht="14.25" x14ac:dyDescent="0.2">
      <c r="A312" s="12"/>
      <c r="B312" s="12"/>
      <c r="C312" s="13"/>
      <c r="D312" s="13" t="s">
        <v>21</v>
      </c>
      <c r="E312" s="6"/>
      <c r="F312" s="14"/>
      <c r="G312" s="15">
        <f t="shared" ref="G312:L312" si="13">G313</f>
        <v>64.14</v>
      </c>
      <c r="H312" s="16" t="str">
        <f t="shared" si="13"/>
        <v>)*(1.67-1)</v>
      </c>
      <c r="I312" s="14">
        <f t="shared" si="13"/>
        <v>1.0669999999999999</v>
      </c>
      <c r="J312" s="10">
        <f t="shared" si="13"/>
        <v>1.05</v>
      </c>
      <c r="K312" s="14">
        <f t="shared" si="13"/>
        <v>23.94</v>
      </c>
      <c r="L312" s="10">
        <f t="shared" si="13"/>
        <v>25.25</v>
      </c>
    </row>
    <row r="313" spans="1:22" ht="14.25" x14ac:dyDescent="0.2">
      <c r="A313" s="12"/>
      <c r="B313" s="12"/>
      <c r="C313" s="13"/>
      <c r="D313" s="13" t="s">
        <v>22</v>
      </c>
      <c r="E313" s="6"/>
      <c r="F313" s="14"/>
      <c r="G313" s="15">
        <f>[85]Source!AN1102</f>
        <v>64.14</v>
      </c>
      <c r="H313" s="16" t="s">
        <v>31</v>
      </c>
      <c r="I313" s="14">
        <f>[85]Source!AV1103</f>
        <v>1.0669999999999999</v>
      </c>
      <c r="J313" s="10">
        <f>ROUND(F300*G313*I313*(1.67-1), 2)</f>
        <v>1.05</v>
      </c>
      <c r="K313" s="14">
        <f>IF([85]Source!BS1103&lt;&gt; 0, [85]Source!BS1103, 1)</f>
        <v>23.94</v>
      </c>
      <c r="L313" s="10">
        <f>ROUND(F300*G313*I313*(1.67-1)*K313, 2)</f>
        <v>25.25</v>
      </c>
    </row>
    <row r="314" spans="1:22" ht="14.25" x14ac:dyDescent="0.2">
      <c r="A314" s="12"/>
      <c r="B314" s="12"/>
      <c r="C314" s="13"/>
      <c r="D314" s="13" t="s">
        <v>27</v>
      </c>
      <c r="E314" s="6" t="s">
        <v>25</v>
      </c>
      <c r="F314" s="14">
        <f>175</f>
        <v>175</v>
      </c>
      <c r="G314" s="15"/>
      <c r="H314" s="6"/>
      <c r="I314" s="14"/>
      <c r="J314" s="10">
        <f>ROUND(J313*(F314/100), 2)</f>
        <v>1.84</v>
      </c>
      <c r="K314" s="14">
        <f>157</f>
        <v>157</v>
      </c>
      <c r="L314" s="10">
        <f>ROUND(L313*(K314/100), 2)</f>
        <v>39.64</v>
      </c>
    </row>
    <row r="315" spans="1:22" ht="15" x14ac:dyDescent="0.25">
      <c r="I315" s="525">
        <f>J314+J313</f>
        <v>2.89</v>
      </c>
      <c r="J315" s="525"/>
      <c r="K315" s="525">
        <f>L314+L313</f>
        <v>64.89</v>
      </c>
      <c r="L315" s="525"/>
      <c r="O315" s="11">
        <f>I315</f>
        <v>2.89</v>
      </c>
      <c r="P315" s="11">
        <f>K315</f>
        <v>64.89</v>
      </c>
    </row>
    <row r="317" spans="1:22" ht="15" x14ac:dyDescent="0.25">
      <c r="A317" s="37"/>
      <c r="B317" s="37"/>
      <c r="C317" s="38"/>
      <c r="D317" s="38" t="s">
        <v>32</v>
      </c>
      <c r="E317" s="39"/>
      <c r="F317" s="40"/>
      <c r="G317" s="41"/>
      <c r="H317" s="42"/>
      <c r="I317" s="524">
        <f>I310+I315</f>
        <v>808.82</v>
      </c>
      <c r="J317" s="524"/>
      <c r="K317" s="524">
        <f>K310+K315</f>
        <v>8267.35</v>
      </c>
      <c r="L317" s="524"/>
    </row>
    <row r="318" spans="1:22" ht="84" customHeight="1" x14ac:dyDescent="0.2">
      <c r="A318" s="4">
        <v>40</v>
      </c>
      <c r="B318" s="4" t="str">
        <f>[85]Source!E1122</f>
        <v>312</v>
      </c>
      <c r="C318" s="5" t="str">
        <f>[85]Source!F1122</f>
        <v>1.12-11-2</v>
      </c>
      <c r="D318" s="5" t="s">
        <v>151</v>
      </c>
      <c r="E318" s="6" t="str">
        <f>[85]Source!H1122</f>
        <v>шт.</v>
      </c>
      <c r="F318" s="2">
        <f>[85]Source!I1122</f>
        <v>1</v>
      </c>
      <c r="G318" s="7">
        <f>[85]Source!AL1122</f>
        <v>15.61</v>
      </c>
      <c r="H318" s="8" t="str">
        <f>[85]Source!DD1122</f>
        <v/>
      </c>
      <c r="I318" s="2">
        <f>[85]Source!AW1123</f>
        <v>1</v>
      </c>
      <c r="J318" s="25">
        <f>[85]Source!P1122</f>
        <v>15.61</v>
      </c>
      <c r="K318" s="2">
        <f>IF([85]Source!BC1123&lt;&gt; 0, [85]Source!BC1123, 1)</f>
        <v>3.35</v>
      </c>
      <c r="L318" s="25">
        <f>[85]Source!P1123</f>
        <v>52.29</v>
      </c>
      <c r="Q318">
        <f>[85]Source!X1122</f>
        <v>0</v>
      </c>
      <c r="R318">
        <f>[85]Source!X1123</f>
        <v>0</v>
      </c>
      <c r="S318">
        <f>[85]Source!Y1122</f>
        <v>0</v>
      </c>
      <c r="T318">
        <f>[85]Source!Y1123</f>
        <v>0</v>
      </c>
      <c r="U318">
        <f>ROUND((175/100)*ROUND([85]Source!R1122, 2), 2)</f>
        <v>0</v>
      </c>
      <c r="V318">
        <f>ROUND((157/100)*ROUND([85]Source!R1123, 2), 2)</f>
        <v>0</v>
      </c>
    </row>
    <row r="319" spans="1:22" ht="15" x14ac:dyDescent="0.25">
      <c r="A319" s="35"/>
      <c r="B319" s="35"/>
      <c r="C319" s="35"/>
      <c r="D319" s="35"/>
      <c r="E319" s="35"/>
      <c r="F319" s="35"/>
      <c r="G319" s="35"/>
      <c r="H319" s="35"/>
      <c r="I319" s="524">
        <f>J318</f>
        <v>15.61</v>
      </c>
      <c r="J319" s="524"/>
      <c r="K319" s="524">
        <f>L318</f>
        <v>52.29</v>
      </c>
      <c r="L319" s="524"/>
      <c r="O319" s="11">
        <f>J318</f>
        <v>15.61</v>
      </c>
      <c r="P319" s="11">
        <f>L318</f>
        <v>52.29</v>
      </c>
    </row>
    <row r="320" spans="1:22" ht="86.25" customHeight="1" x14ac:dyDescent="0.2">
      <c r="A320" s="4">
        <v>41</v>
      </c>
      <c r="B320" s="4" t="str">
        <f>[85]Source!E1124</f>
        <v>313</v>
      </c>
      <c r="C320" s="5" t="str">
        <f>[85]Source!F1124</f>
        <v>1.12-11-5</v>
      </c>
      <c r="D320" s="5" t="s">
        <v>139</v>
      </c>
      <c r="E320" s="6" t="str">
        <f>[85]Source!H1124</f>
        <v>шт.</v>
      </c>
      <c r="F320" s="2">
        <f>[85]Source!I1124</f>
        <v>1</v>
      </c>
      <c r="G320" s="7">
        <f>[85]Source!AL1124</f>
        <v>51.01</v>
      </c>
      <c r="H320" s="8" t="str">
        <f>[85]Source!DD1124</f>
        <v/>
      </c>
      <c r="I320" s="2">
        <f>[85]Source!AW1125</f>
        <v>1</v>
      </c>
      <c r="J320" s="25">
        <f>[85]Source!P1124</f>
        <v>51.01</v>
      </c>
      <c r="K320" s="2">
        <f>IF([85]Source!BC1125&lt;&gt; 0, [85]Source!BC1125, 1)</f>
        <v>4.2</v>
      </c>
      <c r="L320" s="25">
        <f>[85]Source!P1125</f>
        <v>214.24</v>
      </c>
      <c r="Q320">
        <f>[85]Source!X1124</f>
        <v>0</v>
      </c>
      <c r="R320">
        <f>[85]Source!X1125</f>
        <v>0</v>
      </c>
      <c r="S320">
        <f>[85]Source!Y1124</f>
        <v>0</v>
      </c>
      <c r="T320">
        <f>[85]Source!Y1125</f>
        <v>0</v>
      </c>
      <c r="U320">
        <f>ROUND((175/100)*ROUND([85]Source!R1124, 2), 2)</f>
        <v>0</v>
      </c>
      <c r="V320">
        <f>ROUND((157/100)*ROUND([85]Source!R1125, 2), 2)</f>
        <v>0</v>
      </c>
    </row>
    <row r="321" spans="1:22" ht="15" x14ac:dyDescent="0.25">
      <c r="A321" s="35"/>
      <c r="B321" s="35"/>
      <c r="C321" s="35"/>
      <c r="D321" s="35"/>
      <c r="E321" s="35"/>
      <c r="F321" s="35"/>
      <c r="G321" s="35"/>
      <c r="H321" s="35"/>
      <c r="I321" s="524">
        <f>J320</f>
        <v>51.01</v>
      </c>
      <c r="J321" s="524"/>
      <c r="K321" s="524">
        <f>L320</f>
        <v>214.24</v>
      </c>
      <c r="L321" s="524"/>
      <c r="O321" s="11">
        <f>J320</f>
        <v>51.01</v>
      </c>
      <c r="P321" s="11">
        <f>L320</f>
        <v>214.24</v>
      </c>
    </row>
    <row r="322" spans="1:22" ht="63.75" customHeight="1" x14ac:dyDescent="0.2">
      <c r="A322" s="4">
        <v>42</v>
      </c>
      <c r="B322" s="4" t="str">
        <f>[85]Source!E1128</f>
        <v>315</v>
      </c>
      <c r="C322" s="5" t="str">
        <f>[85]Source!F1128</f>
        <v>1.12-11-104</v>
      </c>
      <c r="D322" s="5" t="s">
        <v>152</v>
      </c>
      <c r="E322" s="6" t="str">
        <f>[85]Source!H1128</f>
        <v>шт.</v>
      </c>
      <c r="F322" s="2">
        <f>[85]Source!I1128</f>
        <v>3</v>
      </c>
      <c r="G322" s="7">
        <f>[85]Source!AL1128</f>
        <v>297.01</v>
      </c>
      <c r="H322" s="8" t="str">
        <f>[85]Source!DD1128</f>
        <v/>
      </c>
      <c r="I322" s="2">
        <f>[85]Source!AW1129</f>
        <v>1</v>
      </c>
      <c r="J322" s="25">
        <f>[85]Source!P1128</f>
        <v>891.03</v>
      </c>
      <c r="K322" s="2">
        <f>IF([85]Source!BC1129&lt;&gt; 0, [85]Source!BC1129, 1)</f>
        <v>3.01</v>
      </c>
      <c r="L322" s="25">
        <f>[85]Source!P1129</f>
        <v>2682</v>
      </c>
      <c r="Q322">
        <f>[85]Source!X1128</f>
        <v>0</v>
      </c>
      <c r="R322">
        <f>[85]Source!X1129</f>
        <v>0</v>
      </c>
      <c r="S322">
        <f>[85]Source!Y1128</f>
        <v>0</v>
      </c>
      <c r="T322">
        <f>[85]Source!Y1129</f>
        <v>0</v>
      </c>
      <c r="U322">
        <f>ROUND((175/100)*ROUND([85]Source!R1128, 2), 2)</f>
        <v>0</v>
      </c>
      <c r="V322">
        <f>ROUND((157/100)*ROUND([85]Source!R1129, 2), 2)</f>
        <v>0</v>
      </c>
    </row>
    <row r="323" spans="1:22" ht="15" x14ac:dyDescent="0.25">
      <c r="A323" s="35"/>
      <c r="B323" s="35"/>
      <c r="C323" s="35"/>
      <c r="D323" s="35"/>
      <c r="E323" s="35"/>
      <c r="F323" s="35"/>
      <c r="G323" s="35"/>
      <c r="H323" s="35"/>
      <c r="I323" s="524">
        <f>J322</f>
        <v>891.03</v>
      </c>
      <c r="J323" s="524"/>
      <c r="K323" s="524">
        <f>L322</f>
        <v>2682</v>
      </c>
      <c r="L323" s="524"/>
      <c r="O323" s="11">
        <f>J322</f>
        <v>891.03</v>
      </c>
      <c r="P323" s="11">
        <f>L322</f>
        <v>2682</v>
      </c>
    </row>
    <row r="324" spans="1:22" ht="75.75" customHeight="1" x14ac:dyDescent="0.2">
      <c r="A324" s="4">
        <v>43</v>
      </c>
      <c r="B324" s="4" t="str">
        <f>[85]Source!E1132</f>
        <v>317</v>
      </c>
      <c r="C324" s="5" t="str">
        <f>[85]Source!F1132</f>
        <v>1.12-11-153</v>
      </c>
      <c r="D324" s="5" t="s">
        <v>153</v>
      </c>
      <c r="E324" s="6" t="str">
        <f>[85]Source!H1132</f>
        <v>шт.</v>
      </c>
      <c r="F324" s="2">
        <f>[85]Source!I1132</f>
        <v>2</v>
      </c>
      <c r="G324" s="7">
        <f>[85]Source!AL1132</f>
        <v>108</v>
      </c>
      <c r="H324" s="8" t="str">
        <f>[85]Source!DD1132</f>
        <v/>
      </c>
      <c r="I324" s="2">
        <f>[85]Source!AW1133</f>
        <v>1</v>
      </c>
      <c r="J324" s="25">
        <f>[85]Source!P1132</f>
        <v>216</v>
      </c>
      <c r="K324" s="2">
        <f>IF([85]Source!BC1133&lt;&gt; 0, [85]Source!BC1133, 1)</f>
        <v>0.84</v>
      </c>
      <c r="L324" s="25">
        <f>[85]Source!P1133</f>
        <v>181.44</v>
      </c>
      <c r="Q324">
        <f>[85]Source!X1132</f>
        <v>0</v>
      </c>
      <c r="R324">
        <f>[85]Source!X1133</f>
        <v>0</v>
      </c>
      <c r="S324">
        <f>[85]Source!Y1132</f>
        <v>0</v>
      </c>
      <c r="T324">
        <f>[85]Source!Y1133</f>
        <v>0</v>
      </c>
      <c r="U324">
        <f>ROUND((175/100)*ROUND([85]Source!R1132, 2), 2)</f>
        <v>0</v>
      </c>
      <c r="V324">
        <f>ROUND((157/100)*ROUND([85]Source!R1133, 2), 2)</f>
        <v>0</v>
      </c>
    </row>
    <row r="325" spans="1:22" ht="15" x14ac:dyDescent="0.25">
      <c r="A325" s="35"/>
      <c r="B325" s="35"/>
      <c r="C325" s="35"/>
      <c r="D325" s="35"/>
      <c r="E325" s="35"/>
      <c r="F325" s="35"/>
      <c r="G325" s="35"/>
      <c r="H325" s="35"/>
      <c r="I325" s="524">
        <f>J324</f>
        <v>216</v>
      </c>
      <c r="J325" s="524"/>
      <c r="K325" s="524">
        <f>L324</f>
        <v>181.44</v>
      </c>
      <c r="L325" s="524"/>
      <c r="O325" s="11">
        <f>J324</f>
        <v>216</v>
      </c>
      <c r="P325" s="11">
        <f>L324</f>
        <v>181.44</v>
      </c>
    </row>
    <row r="326" spans="1:22" ht="82.5" customHeight="1" x14ac:dyDescent="0.2">
      <c r="A326" s="4">
        <v>44</v>
      </c>
      <c r="B326" s="4" t="str">
        <f>[85]Source!E1136</f>
        <v>319</v>
      </c>
      <c r="C326" s="5" t="str">
        <f>[85]Source!F1136</f>
        <v>1.12-11-161</v>
      </c>
      <c r="D326" s="5" t="s">
        <v>154</v>
      </c>
      <c r="E326" s="6" t="str">
        <f>[85]Source!H1136</f>
        <v>шт.</v>
      </c>
      <c r="F326" s="2">
        <f>[85]Source!I1136</f>
        <v>2</v>
      </c>
      <c r="G326" s="7">
        <f>[85]Source!AL1136</f>
        <v>216</v>
      </c>
      <c r="H326" s="8" t="str">
        <f>[85]Source!DD1136</f>
        <v/>
      </c>
      <c r="I326" s="2">
        <f>[85]Source!AW1137</f>
        <v>1</v>
      </c>
      <c r="J326" s="25">
        <f>[85]Source!P1136</f>
        <v>432</v>
      </c>
      <c r="K326" s="2">
        <f>IF([85]Source!BC1137&lt;&gt; 0, [85]Source!BC1137, 1)</f>
        <v>1.05</v>
      </c>
      <c r="L326" s="25">
        <f>[85]Source!P1137</f>
        <v>453.6</v>
      </c>
      <c r="Q326">
        <f>[85]Source!X1136</f>
        <v>0</v>
      </c>
      <c r="R326">
        <f>[85]Source!X1137</f>
        <v>0</v>
      </c>
      <c r="S326">
        <f>[85]Source!Y1136</f>
        <v>0</v>
      </c>
      <c r="T326">
        <f>[85]Source!Y1137</f>
        <v>0</v>
      </c>
      <c r="U326">
        <f>ROUND((175/100)*ROUND([85]Source!R1136, 2), 2)</f>
        <v>0</v>
      </c>
      <c r="V326">
        <f>ROUND((157/100)*ROUND([85]Source!R1137, 2), 2)</f>
        <v>0</v>
      </c>
    </row>
    <row r="327" spans="1:22" ht="15" x14ac:dyDescent="0.25">
      <c r="A327" s="35"/>
      <c r="B327" s="35"/>
      <c r="C327" s="35"/>
      <c r="D327" s="35"/>
      <c r="E327" s="35"/>
      <c r="F327" s="35"/>
      <c r="G327" s="35"/>
      <c r="H327" s="35"/>
      <c r="I327" s="524">
        <f>J326</f>
        <v>432</v>
      </c>
      <c r="J327" s="524"/>
      <c r="K327" s="524">
        <f>L326</f>
        <v>453.6</v>
      </c>
      <c r="L327" s="524"/>
      <c r="O327" s="11">
        <f>J326</f>
        <v>432</v>
      </c>
      <c r="P327" s="11">
        <f>L326</f>
        <v>453.6</v>
      </c>
    </row>
    <row r="328" spans="1:22" ht="103.5" customHeight="1" x14ac:dyDescent="0.2">
      <c r="A328" s="4">
        <v>45</v>
      </c>
      <c r="B328" s="4" t="str">
        <f>[85]Source!E1138</f>
        <v>320</v>
      </c>
      <c r="C328" s="5" t="str">
        <f>[85]Source!F1138</f>
        <v>1.12-9-97</v>
      </c>
      <c r="D328" s="5" t="s">
        <v>155</v>
      </c>
      <c r="E328" s="6" t="str">
        <f>[85]Source!H1138</f>
        <v>КОМПЛЕКТ</v>
      </c>
      <c r="F328" s="2">
        <f>[85]Source!I1138</f>
        <v>1</v>
      </c>
      <c r="G328" s="7">
        <f>[85]Source!AL1138</f>
        <v>846</v>
      </c>
      <c r="H328" s="8" t="str">
        <f>[85]Source!DD1138</f>
        <v/>
      </c>
      <c r="I328" s="2">
        <f>[85]Source!AW1139</f>
        <v>1</v>
      </c>
      <c r="J328" s="25">
        <f>[85]Source!P1138</f>
        <v>846</v>
      </c>
      <c r="K328" s="2">
        <f>IF([85]Source!BC1139&lt;&gt; 0, [85]Source!BC1139, 1)</f>
        <v>4.24</v>
      </c>
      <c r="L328" s="25">
        <f>[85]Source!P1139</f>
        <v>3587.04</v>
      </c>
      <c r="Q328">
        <f>[85]Source!X1138</f>
        <v>0</v>
      </c>
      <c r="R328">
        <f>[85]Source!X1139</f>
        <v>0</v>
      </c>
      <c r="S328">
        <f>[85]Source!Y1138</f>
        <v>0</v>
      </c>
      <c r="T328">
        <f>[85]Source!Y1139</f>
        <v>0</v>
      </c>
      <c r="U328">
        <f>ROUND((175/100)*ROUND([85]Source!R1138, 2), 2)</f>
        <v>0</v>
      </c>
      <c r="V328">
        <f>ROUND((157/100)*ROUND([85]Source!R1139, 2), 2)</f>
        <v>0</v>
      </c>
    </row>
    <row r="329" spans="1:22" ht="15" x14ac:dyDescent="0.25">
      <c r="A329" s="35"/>
      <c r="B329" s="35"/>
      <c r="C329" s="35"/>
      <c r="D329" s="35"/>
      <c r="E329" s="35"/>
      <c r="F329" s="35"/>
      <c r="G329" s="35"/>
      <c r="H329" s="35"/>
      <c r="I329" s="524">
        <f>J328</f>
        <v>846</v>
      </c>
      <c r="J329" s="524"/>
      <c r="K329" s="524">
        <f>L328</f>
        <v>3587.04</v>
      </c>
      <c r="L329" s="524"/>
      <c r="O329" s="11">
        <f>J328</f>
        <v>846</v>
      </c>
      <c r="P329" s="11">
        <f>L328</f>
        <v>3587.04</v>
      </c>
    </row>
    <row r="330" spans="1:22" ht="123" customHeight="1" x14ac:dyDescent="0.2">
      <c r="A330" s="4">
        <v>46</v>
      </c>
      <c r="B330" s="4" t="str">
        <f>[85]Source!E1140</f>
        <v>321</v>
      </c>
      <c r="C330" s="5" t="str">
        <f>[85]Source!F1140</f>
        <v>1.12-9-99</v>
      </c>
      <c r="D330" s="5" t="s">
        <v>156</v>
      </c>
      <c r="E330" s="6" t="str">
        <f>[85]Source!H1140</f>
        <v>КОМПЛЕКТ</v>
      </c>
      <c r="F330" s="2">
        <f>[85]Source!I1140</f>
        <v>1</v>
      </c>
      <c r="G330" s="7">
        <f>[85]Source!AL1140</f>
        <v>1170.02</v>
      </c>
      <c r="H330" s="8" t="str">
        <f>[85]Source!DD1140</f>
        <v/>
      </c>
      <c r="I330" s="2">
        <f>[85]Source!AW1141</f>
        <v>1</v>
      </c>
      <c r="J330" s="25">
        <f>[85]Source!P1140</f>
        <v>1170.02</v>
      </c>
      <c r="K330" s="2">
        <f>IF([85]Source!BC1141&lt;&gt; 0, [85]Source!BC1141, 1)</f>
        <v>4.6399999999999997</v>
      </c>
      <c r="L330" s="25">
        <f>[85]Source!P1141</f>
        <v>5428.89</v>
      </c>
      <c r="Q330">
        <f>[85]Source!X1140</f>
        <v>0</v>
      </c>
      <c r="R330">
        <f>[85]Source!X1141</f>
        <v>0</v>
      </c>
      <c r="S330">
        <f>[85]Source!Y1140</f>
        <v>0</v>
      </c>
      <c r="T330">
        <f>[85]Source!Y1141</f>
        <v>0</v>
      </c>
      <c r="U330">
        <f>ROUND((175/100)*ROUND([85]Source!R1140, 2), 2)</f>
        <v>0</v>
      </c>
      <c r="V330">
        <f>ROUND((157/100)*ROUND([85]Source!R1141, 2), 2)</f>
        <v>0</v>
      </c>
    </row>
    <row r="331" spans="1:22" ht="15" x14ac:dyDescent="0.25">
      <c r="A331" s="35"/>
      <c r="B331" s="35"/>
      <c r="C331" s="35"/>
      <c r="D331" s="35"/>
      <c r="E331" s="35"/>
      <c r="F331" s="35"/>
      <c r="G331" s="35"/>
      <c r="H331" s="35"/>
      <c r="I331" s="524">
        <f>J330</f>
        <v>1170.02</v>
      </c>
      <c r="J331" s="524"/>
      <c r="K331" s="524">
        <f>L330</f>
        <v>5428.89</v>
      </c>
      <c r="L331" s="524"/>
      <c r="O331" s="11">
        <f>J330</f>
        <v>1170.02</v>
      </c>
      <c r="P331" s="11">
        <f>L330</f>
        <v>5428.89</v>
      </c>
    </row>
    <row r="332" spans="1:22" ht="50.25" customHeight="1" x14ac:dyDescent="0.2">
      <c r="A332" s="4">
        <v>47</v>
      </c>
      <c r="B332" s="4" t="str">
        <f>[85]Source!E1142</f>
        <v>322</v>
      </c>
      <c r="C332" s="5" t="str">
        <f>[85]Source!F1142</f>
        <v>1.1-1-3650</v>
      </c>
      <c r="D332" s="5" t="s">
        <v>157</v>
      </c>
      <c r="E332" s="6" t="str">
        <f>[85]Source!H1142</f>
        <v>т</v>
      </c>
      <c r="F332" s="2">
        <f>[85]Source!I1142</f>
        <v>2.6159999999999999E-2</v>
      </c>
      <c r="G332" s="7">
        <f>[85]Source!AL1142</f>
        <v>19487.98</v>
      </c>
      <c r="H332" s="8" t="str">
        <f>[85]Source!DD1142</f>
        <v/>
      </c>
      <c r="I332" s="2">
        <f>[85]Source!AW1143</f>
        <v>1</v>
      </c>
      <c r="J332" s="25">
        <f>[85]Source!P1142</f>
        <v>509.81</v>
      </c>
      <c r="K332" s="2">
        <f>IF([85]Source!BC1143&lt;&gt; 0, [85]Source!BC1143, 1)</f>
        <v>3.39</v>
      </c>
      <c r="L332" s="25">
        <f>[85]Source!P1143</f>
        <v>1728.26</v>
      </c>
      <c r="Q332">
        <f>[85]Source!X1142</f>
        <v>0</v>
      </c>
      <c r="R332">
        <f>[85]Source!X1143</f>
        <v>0</v>
      </c>
      <c r="S332">
        <f>[85]Source!Y1142</f>
        <v>0</v>
      </c>
      <c r="T332">
        <f>[85]Source!Y1143</f>
        <v>0</v>
      </c>
      <c r="U332">
        <f>ROUND((175/100)*ROUND([85]Source!R1142, 2), 2)</f>
        <v>0</v>
      </c>
      <c r="V332">
        <f>ROUND((157/100)*ROUND([85]Source!R1143, 2), 2)</f>
        <v>0</v>
      </c>
    </row>
    <row r="333" spans="1:22" ht="15" x14ac:dyDescent="0.25">
      <c r="A333" s="35"/>
      <c r="B333" s="35"/>
      <c r="C333" s="35"/>
      <c r="D333" s="35"/>
      <c r="E333" s="35"/>
      <c r="F333" s="35"/>
      <c r="G333" s="35"/>
      <c r="H333" s="35"/>
      <c r="I333" s="524">
        <f>J332</f>
        <v>509.81</v>
      </c>
      <c r="J333" s="524"/>
      <c r="K333" s="524">
        <f>L332</f>
        <v>1728.26</v>
      </c>
      <c r="L333" s="524"/>
      <c r="O333" s="11">
        <f>J332</f>
        <v>509.81</v>
      </c>
      <c r="P333" s="11">
        <f>L332</f>
        <v>1728.26</v>
      </c>
    </row>
    <row r="335" spans="1:22" ht="16.5" x14ac:dyDescent="0.25">
      <c r="A335" s="514" t="str">
        <f>CONCATENATE("Подраздел: ",IF([85]Source!G1159&lt;&gt;"Новый подраздел", [85]Source!G1159, ""))</f>
        <v>Подраздел: ОБОРУДОВАНИЕ</v>
      </c>
      <c r="B335" s="514"/>
      <c r="C335" s="514"/>
      <c r="D335" s="514"/>
      <c r="E335" s="514"/>
      <c r="F335" s="514"/>
      <c r="G335" s="514"/>
      <c r="H335" s="514"/>
      <c r="I335" s="514"/>
      <c r="J335" s="514"/>
      <c r="K335" s="514"/>
      <c r="L335" s="514"/>
    </row>
    <row r="336" spans="1:22" ht="137.25" customHeight="1" x14ac:dyDescent="0.2">
      <c r="A336" s="4">
        <v>48</v>
      </c>
      <c r="B336" s="4" t="str">
        <f>[85]Source!E1163</f>
        <v>329</v>
      </c>
      <c r="C336" s="5" t="str">
        <f>[85]Source!F1163</f>
        <v>МКЭ-33-85/7-4 от 21.04.2017г.</v>
      </c>
      <c r="D336" s="5" t="s">
        <v>181</v>
      </c>
      <c r="E336" s="6" t="str">
        <f>[85]Source!H1163</f>
        <v>шт.</v>
      </c>
      <c r="F336" s="2">
        <f>[85]Source!I1163</f>
        <v>1</v>
      </c>
      <c r="G336" s="25">
        <f>[85]Source!AL1163</f>
        <v>8138.51</v>
      </c>
      <c r="H336" s="8" t="str">
        <f>[85]Source!DD1163</f>
        <v>*1,02</v>
      </c>
      <c r="I336" s="2">
        <f>[85]Source!AW1164</f>
        <v>1</v>
      </c>
      <c r="J336" s="25">
        <f>L336/K336</f>
        <v>8301.2800000000007</v>
      </c>
      <c r="K336" s="2">
        <f>IF([85]Source!BC1164&lt;&gt; 0, [85]Source!BC1164, 1)</f>
        <v>5.48</v>
      </c>
      <c r="L336" s="25">
        <f>F336*1.02*44599.01</f>
        <v>45490.99</v>
      </c>
      <c r="Q336">
        <f>[85]Source!X1163</f>
        <v>0</v>
      </c>
      <c r="R336">
        <f>[85]Source!X1164</f>
        <v>0</v>
      </c>
      <c r="S336">
        <f>[85]Source!Y1163</f>
        <v>0</v>
      </c>
      <c r="T336">
        <f>[85]Source!Y1164</f>
        <v>0</v>
      </c>
      <c r="U336">
        <f>ROUND((175/100)*ROUND([85]Source!R1163, 2), 2)</f>
        <v>0</v>
      </c>
      <c r="V336">
        <f>ROUND((157/100)*ROUND([85]Source!R1164, 2), 2)</f>
        <v>0</v>
      </c>
    </row>
    <row r="337" spans="1:22" ht="15" x14ac:dyDescent="0.25">
      <c r="A337" s="35"/>
      <c r="B337" s="35"/>
      <c r="C337" s="35"/>
      <c r="D337" s="35"/>
      <c r="E337" s="35"/>
      <c r="F337" s="35"/>
      <c r="G337" s="69"/>
      <c r="H337" s="35"/>
      <c r="I337" s="524">
        <f>J336</f>
        <v>8301.2800000000007</v>
      </c>
      <c r="J337" s="524"/>
      <c r="K337" s="524">
        <f>L336</f>
        <v>45490.99</v>
      </c>
      <c r="L337" s="524"/>
      <c r="O337" s="11">
        <f>J336</f>
        <v>8301.2800000000007</v>
      </c>
      <c r="P337" s="11">
        <f>L336</f>
        <v>45490.99</v>
      </c>
    </row>
    <row r="338" spans="1:22" ht="102.75" customHeight="1" x14ac:dyDescent="0.2">
      <c r="A338" s="4">
        <v>49</v>
      </c>
      <c r="B338" s="4" t="str">
        <f>[85]Source!E1165</f>
        <v>330</v>
      </c>
      <c r="C338" s="5" t="str">
        <f>[85]Source!F1165</f>
        <v>МКЭ-28-832/6-1 от 07.04.2016г.</v>
      </c>
      <c r="D338" s="5" t="s">
        <v>182</v>
      </c>
      <c r="E338" s="6" t="str">
        <f>[85]Source!H1165</f>
        <v>шт.</v>
      </c>
      <c r="F338" s="2">
        <f>[85]Source!I1165</f>
        <v>2</v>
      </c>
      <c r="G338" s="25">
        <f>[85]Source!AL1165</f>
        <v>2591.86</v>
      </c>
      <c r="H338" s="8" t="str">
        <f>[85]Source!DD1165</f>
        <v>*1,02</v>
      </c>
      <c r="I338" s="2">
        <f>[85]Source!AW1166</f>
        <v>1</v>
      </c>
      <c r="J338" s="25">
        <f>L338/K338</f>
        <v>5287.39</v>
      </c>
      <c r="K338" s="2">
        <f>IF([85]Source!BC1166&lt;&gt; 0, [85]Source!BC1166, 1)</f>
        <v>5.48</v>
      </c>
      <c r="L338" s="25">
        <f>F338*1.02*14203.38</f>
        <v>28974.9</v>
      </c>
      <c r="Q338">
        <f>[85]Source!X1165</f>
        <v>0</v>
      </c>
      <c r="R338">
        <f>[85]Source!X1166</f>
        <v>0</v>
      </c>
      <c r="S338">
        <f>[85]Source!Y1165</f>
        <v>0</v>
      </c>
      <c r="T338">
        <f>[85]Source!Y1166</f>
        <v>0</v>
      </c>
      <c r="U338">
        <f>ROUND((175/100)*ROUND([85]Source!R1165, 2), 2)</f>
        <v>0</v>
      </c>
      <c r="V338">
        <f>ROUND((157/100)*ROUND([85]Source!R1166, 2), 2)</f>
        <v>0</v>
      </c>
    </row>
    <row r="339" spans="1:22" ht="15" x14ac:dyDescent="0.25">
      <c r="A339" s="35"/>
      <c r="B339" s="35"/>
      <c r="C339" s="35"/>
      <c r="D339" s="35"/>
      <c r="E339" s="35"/>
      <c r="F339" s="35"/>
      <c r="G339" s="35"/>
      <c r="H339" s="35"/>
      <c r="I339" s="524">
        <f>J338</f>
        <v>5287.39</v>
      </c>
      <c r="J339" s="524"/>
      <c r="K339" s="524">
        <f>L338</f>
        <v>28974.9</v>
      </c>
      <c r="L339" s="524"/>
      <c r="O339" s="11">
        <f>J338</f>
        <v>5287.39</v>
      </c>
      <c r="P339" s="11">
        <f>L338</f>
        <v>28974.9</v>
      </c>
    </row>
    <row r="341" spans="1:22" ht="15" x14ac:dyDescent="0.25">
      <c r="A341" s="528" t="str">
        <f>CONCATENATE("Итого по подразделу: ",IF([85]Source!G1172&lt;&gt;"Новый подраздел", [85]Source!G1172, ""))</f>
        <v>Итого по подразделу: ОБОРУДОВАНИЕ</v>
      </c>
      <c r="B341" s="528"/>
      <c r="C341" s="528"/>
      <c r="D341" s="528"/>
      <c r="E341" s="528"/>
      <c r="F341" s="528"/>
      <c r="G341" s="528"/>
      <c r="H341" s="528"/>
      <c r="I341" s="526">
        <f>SUM(O335:O340)</f>
        <v>13588.67</v>
      </c>
      <c r="J341" s="527"/>
      <c r="K341" s="526">
        <f>SUM(P335:P340)</f>
        <v>74465.89</v>
      </c>
      <c r="L341" s="527"/>
    </row>
    <row r="342" spans="1:22" hidden="1" x14ac:dyDescent="0.2">
      <c r="A342" t="s">
        <v>48</v>
      </c>
      <c r="J342">
        <f>SUM(W335:W341)</f>
        <v>0</v>
      </c>
      <c r="K342">
        <f>SUM(X335:X341)</f>
        <v>0</v>
      </c>
    </row>
    <row r="343" spans="1:22" hidden="1" x14ac:dyDescent="0.2">
      <c r="A343" t="s">
        <v>49</v>
      </c>
      <c r="J343">
        <f>SUM(Y335:Y342)</f>
        <v>0</v>
      </c>
      <c r="K343">
        <f>SUM(Z335:Z342)</f>
        <v>0</v>
      </c>
    </row>
    <row r="345" spans="1:22" ht="15" x14ac:dyDescent="0.25">
      <c r="A345" s="528" t="str">
        <f>CONCATENATE("Итого по разделу: ",IF([85]Source!G1201&lt;&gt;"Новый раздел", [85]Source!G1201, ""))</f>
        <v>Итого по разделу: Канализационная насосная станция (пом. 4.23)</v>
      </c>
      <c r="B345" s="528"/>
      <c r="C345" s="528"/>
      <c r="D345" s="528"/>
      <c r="E345" s="528"/>
      <c r="F345" s="528"/>
      <c r="G345" s="528"/>
      <c r="H345" s="528"/>
      <c r="I345" s="526">
        <f>SUM(O164:O344)</f>
        <v>32366.65</v>
      </c>
      <c r="J345" s="527"/>
      <c r="K345" s="526">
        <f>SUM(P164:P344)</f>
        <v>207530.2</v>
      </c>
      <c r="L345" s="527"/>
    </row>
    <row r="346" spans="1:22" hidden="1" x14ac:dyDescent="0.2">
      <c r="A346" t="s">
        <v>48</v>
      </c>
      <c r="J346">
        <f>SUM(W164:W345)</f>
        <v>0</v>
      </c>
      <c r="K346">
        <f>SUM(X164:X345)</f>
        <v>0</v>
      </c>
    </row>
    <row r="347" spans="1:22" hidden="1" x14ac:dyDescent="0.2">
      <c r="A347" t="s">
        <v>49</v>
      </c>
      <c r="J347">
        <f>SUM(Y164:Y346)</f>
        <v>0</v>
      </c>
      <c r="K347">
        <f>SUM(Z164:Z346)</f>
        <v>0</v>
      </c>
    </row>
    <row r="349" spans="1:22" ht="16.5" x14ac:dyDescent="0.25">
      <c r="A349" s="514" t="str">
        <f>CONCATENATE("Раздел: ",IF([85]Source!G1230&lt;&gt;"Новый раздел", [85]Source!G1230, ""))</f>
        <v>Раздел: Водоотвод из помещения КНС (пом. 4.23) (К1Н)</v>
      </c>
      <c r="B349" s="514"/>
      <c r="C349" s="514"/>
      <c r="D349" s="514"/>
      <c r="E349" s="514"/>
      <c r="F349" s="514"/>
      <c r="G349" s="514"/>
      <c r="H349" s="514"/>
      <c r="I349" s="514"/>
      <c r="J349" s="514"/>
      <c r="K349" s="514"/>
      <c r="L349" s="514"/>
    </row>
    <row r="350" spans="1:22" ht="71.25" x14ac:dyDescent="0.2">
      <c r="A350" s="4">
        <v>50</v>
      </c>
      <c r="B350" s="4" t="str">
        <f>[85]Source!E1238</f>
        <v>335</v>
      </c>
      <c r="C350" s="5" t="str">
        <f>[85]Source!F1238</f>
        <v>3.16-16-1</v>
      </c>
      <c r="D350" s="5" t="s">
        <v>141</v>
      </c>
      <c r="E350" s="6" t="str">
        <f>[85]Source!H1238</f>
        <v>1  ШТ.</v>
      </c>
      <c r="F350" s="2">
        <f>[85]Source!I1238</f>
        <v>1</v>
      </c>
      <c r="G350" s="7"/>
      <c r="H350" s="8"/>
      <c r="I350" s="2"/>
      <c r="J350" s="25"/>
      <c r="K350" s="2"/>
      <c r="L350" s="25"/>
      <c r="Q350">
        <f>[85]Source!X1238</f>
        <v>23.85</v>
      </c>
      <c r="R350">
        <f>[85]Source!X1239</f>
        <v>456.78</v>
      </c>
      <c r="S350">
        <f>[85]Source!Y1238</f>
        <v>17.940000000000001</v>
      </c>
      <c r="T350">
        <f>[85]Source!Y1239</f>
        <v>205.55</v>
      </c>
      <c r="U350">
        <f>ROUND((175/100)*ROUND([85]Source!R1238, 2), 2)</f>
        <v>4.24</v>
      </c>
      <c r="V350">
        <f>ROUND((157/100)*ROUND([85]Source!R1239, 2), 2)</f>
        <v>90.95</v>
      </c>
    </row>
    <row r="351" spans="1:22" ht="14.25" x14ac:dyDescent="0.2">
      <c r="A351" s="4"/>
      <c r="B351" s="4"/>
      <c r="C351" s="5"/>
      <c r="D351" s="5" t="s">
        <v>20</v>
      </c>
      <c r="E351" s="6"/>
      <c r="F351" s="2"/>
      <c r="G351" s="7">
        <f>[85]Source!AO1238</f>
        <v>10.71</v>
      </c>
      <c r="H351" s="8" t="str">
        <f>[85]Source!DG1238</f>
        <v>*1,67</v>
      </c>
      <c r="I351" s="2">
        <f>[85]Source!AV1239</f>
        <v>1.0669999999999999</v>
      </c>
      <c r="J351" s="25">
        <f>[85]Source!S1238</f>
        <v>19.079999999999998</v>
      </c>
      <c r="K351" s="2">
        <f>IF([85]Source!BA1239&lt;&gt; 0, [85]Source!BA1239, 1)</f>
        <v>23.94</v>
      </c>
      <c r="L351" s="25">
        <f>[85]Source!S1239</f>
        <v>456.78</v>
      </c>
    </row>
    <row r="352" spans="1:22" ht="14.25" x14ac:dyDescent="0.2">
      <c r="A352" s="4"/>
      <c r="B352" s="4"/>
      <c r="C352" s="5"/>
      <c r="D352" s="5" t="s">
        <v>21</v>
      </c>
      <c r="E352" s="6"/>
      <c r="F352" s="2"/>
      <c r="G352" s="7">
        <f>[85]Source!AM1238</f>
        <v>5.49</v>
      </c>
      <c r="H352" s="8" t="str">
        <f>[85]Source!DE1238</f>
        <v/>
      </c>
      <c r="I352" s="2">
        <f>[85]Source!AV1239</f>
        <v>1.0669999999999999</v>
      </c>
      <c r="J352" s="25">
        <f>[85]Source!Q1238-J361</f>
        <v>5.86</v>
      </c>
      <c r="K352" s="2">
        <f>IF([85]Source!BB1239&lt;&gt; 0, [85]Source!BB1239, 1)</f>
        <v>9.9499999999999993</v>
      </c>
      <c r="L352" s="25">
        <f>[85]Source!Q1239-L361</f>
        <v>58.25</v>
      </c>
    </row>
    <row r="353" spans="1:22" ht="14.25" x14ac:dyDescent="0.2">
      <c r="A353" s="4"/>
      <c r="B353" s="4"/>
      <c r="C353" s="5"/>
      <c r="D353" s="5" t="s">
        <v>22</v>
      </c>
      <c r="E353" s="6"/>
      <c r="F353" s="2"/>
      <c r="G353" s="7">
        <f>[85]Source!AN1238</f>
        <v>1.36</v>
      </c>
      <c r="H353" s="8" t="str">
        <f>[85]Source!DE1238</f>
        <v/>
      </c>
      <c r="I353" s="2">
        <f>[85]Source!AV1239</f>
        <v>1.0669999999999999</v>
      </c>
      <c r="J353" s="10">
        <f>[85]Source!R1238-J362</f>
        <v>1.45</v>
      </c>
      <c r="K353" s="2">
        <f>IF([85]Source!BS1239&lt;&gt; 0, [85]Source!BS1239, 1)</f>
        <v>23.94</v>
      </c>
      <c r="L353" s="10">
        <f>[85]Source!R1239-L362</f>
        <v>34.65</v>
      </c>
    </row>
    <row r="354" spans="1:22" ht="14.25" x14ac:dyDescent="0.2">
      <c r="A354" s="4"/>
      <c r="B354" s="4"/>
      <c r="C354" s="5"/>
      <c r="D354" s="5" t="s">
        <v>23</v>
      </c>
      <c r="E354" s="6"/>
      <c r="F354" s="2"/>
      <c r="G354" s="7">
        <f>[85]Source!AL1238</f>
        <v>19.8</v>
      </c>
      <c r="H354" s="8" t="str">
        <f>[85]Source!DD1238</f>
        <v/>
      </c>
      <c r="I354" s="2">
        <f>[85]Source!AW1239</f>
        <v>1</v>
      </c>
      <c r="J354" s="25">
        <f>[85]Source!P1238</f>
        <v>19.8</v>
      </c>
      <c r="K354" s="2">
        <f>IF([85]Source!BC1239&lt;&gt; 0, [85]Source!BC1239, 1)</f>
        <v>4.22</v>
      </c>
      <c r="L354" s="25">
        <f>[85]Source!P1239</f>
        <v>83.56</v>
      </c>
    </row>
    <row r="355" spans="1:22" ht="14.25" x14ac:dyDescent="0.2">
      <c r="A355" s="4"/>
      <c r="B355" s="4"/>
      <c r="C355" s="5"/>
      <c r="D355" s="5" t="s">
        <v>24</v>
      </c>
      <c r="E355" s="6" t="s">
        <v>25</v>
      </c>
      <c r="F355" s="2">
        <f>[85]Source!DN1239</f>
        <v>125</v>
      </c>
      <c r="G355" s="7"/>
      <c r="H355" s="8"/>
      <c r="I355" s="2"/>
      <c r="J355" s="25">
        <f>SUM(Q350:Q354)</f>
        <v>23.85</v>
      </c>
      <c r="K355" s="2">
        <f>[85]Source!BZ1239</f>
        <v>100</v>
      </c>
      <c r="L355" s="25">
        <f>SUM(R350:R354)</f>
        <v>456.78</v>
      </c>
    </row>
    <row r="356" spans="1:22" ht="14.25" x14ac:dyDescent="0.2">
      <c r="A356" s="4"/>
      <c r="B356" s="4"/>
      <c r="C356" s="5"/>
      <c r="D356" s="5" t="s">
        <v>26</v>
      </c>
      <c r="E356" s="6" t="s">
        <v>25</v>
      </c>
      <c r="F356" s="2">
        <f>[85]Source!DO1239</f>
        <v>94</v>
      </c>
      <c r="G356" s="7"/>
      <c r="H356" s="8"/>
      <c r="I356" s="2"/>
      <c r="J356" s="25">
        <f>SUM(S350:S355)</f>
        <v>17.940000000000001</v>
      </c>
      <c r="K356" s="2">
        <f>[85]Source!CA1239</f>
        <v>45</v>
      </c>
      <c r="L356" s="25">
        <f>SUM(T350:T355)</f>
        <v>205.55</v>
      </c>
    </row>
    <row r="357" spans="1:22" ht="14.25" x14ac:dyDescent="0.2">
      <c r="A357" s="4"/>
      <c r="B357" s="4"/>
      <c r="C357" s="5"/>
      <c r="D357" s="5" t="s">
        <v>27</v>
      </c>
      <c r="E357" s="6" t="s">
        <v>25</v>
      </c>
      <c r="F357" s="2">
        <f>175</f>
        <v>175</v>
      </c>
      <c r="G357" s="7"/>
      <c r="H357" s="8"/>
      <c r="I357" s="2"/>
      <c r="J357" s="25">
        <f>SUM(U350:U356)-J363</f>
        <v>2.54</v>
      </c>
      <c r="K357" s="2">
        <f>157</f>
        <v>157</v>
      </c>
      <c r="L357" s="25">
        <f>SUM(V350:V356)-L363</f>
        <v>54.4</v>
      </c>
    </row>
    <row r="358" spans="1:22" ht="14.25" x14ac:dyDescent="0.2">
      <c r="A358" s="4"/>
      <c r="B358" s="4"/>
      <c r="C358" s="5"/>
      <c r="D358" s="5" t="s">
        <v>28</v>
      </c>
      <c r="E358" s="6" t="s">
        <v>29</v>
      </c>
      <c r="F358" s="2">
        <f>[85]Source!AQ1238</f>
        <v>0.9</v>
      </c>
      <c r="G358" s="7"/>
      <c r="H358" s="8" t="str">
        <f>[85]Source!DI1238</f>
        <v/>
      </c>
      <c r="I358" s="2">
        <f>[85]Source!AV1239</f>
        <v>1.0669999999999999</v>
      </c>
      <c r="J358" s="25">
        <f>[85]Source!U1238</f>
        <v>0.96</v>
      </c>
      <c r="K358" s="2"/>
      <c r="L358" s="25"/>
    </row>
    <row r="359" spans="1:22" ht="15" x14ac:dyDescent="0.25">
      <c r="I359" s="525">
        <f>J351+J352+J354+J355+J356+J357</f>
        <v>89.07</v>
      </c>
      <c r="J359" s="525"/>
      <c r="K359" s="525">
        <f>L351+L352+L354+L355+L356+L357</f>
        <v>1315.32</v>
      </c>
      <c r="L359" s="525"/>
      <c r="O359" s="11">
        <f>J351+J352+J354+J355+J356+J357</f>
        <v>89.07</v>
      </c>
      <c r="P359" s="11">
        <f>L351+L352+L354+L355+L356+L357</f>
        <v>1315.32</v>
      </c>
    </row>
    <row r="360" spans="1:22" ht="28.5" x14ac:dyDescent="0.2">
      <c r="A360" s="12"/>
      <c r="B360" s="12"/>
      <c r="C360" s="13"/>
      <c r="D360" s="13" t="s">
        <v>30</v>
      </c>
      <c r="E360" s="6"/>
      <c r="F360" s="14"/>
      <c r="G360" s="15"/>
      <c r="H360" s="6"/>
      <c r="I360" s="14"/>
      <c r="J360" s="10"/>
      <c r="K360" s="14"/>
      <c r="L360" s="10"/>
    </row>
    <row r="361" spans="1:22" ht="14.25" x14ac:dyDescent="0.2">
      <c r="A361" s="12"/>
      <c r="B361" s="12"/>
      <c r="C361" s="13"/>
      <c r="D361" s="13" t="s">
        <v>21</v>
      </c>
      <c r="E361" s="6"/>
      <c r="F361" s="14"/>
      <c r="G361" s="15">
        <f t="shared" ref="G361:L361" si="14">G362</f>
        <v>1.36</v>
      </c>
      <c r="H361" s="16" t="str">
        <f t="shared" si="14"/>
        <v>)*(1.67-1)</v>
      </c>
      <c r="I361" s="14">
        <f t="shared" si="14"/>
        <v>1.0669999999999999</v>
      </c>
      <c r="J361" s="10">
        <f t="shared" si="14"/>
        <v>0.97</v>
      </c>
      <c r="K361" s="14">
        <f t="shared" si="14"/>
        <v>23.94</v>
      </c>
      <c r="L361" s="10">
        <f t="shared" si="14"/>
        <v>23.28</v>
      </c>
    </row>
    <row r="362" spans="1:22" ht="14.25" x14ac:dyDescent="0.2">
      <c r="A362" s="12"/>
      <c r="B362" s="12"/>
      <c r="C362" s="13"/>
      <c r="D362" s="13" t="s">
        <v>22</v>
      </c>
      <c r="E362" s="6"/>
      <c r="F362" s="14"/>
      <c r="G362" s="15">
        <f>[85]Source!AN1238</f>
        <v>1.36</v>
      </c>
      <c r="H362" s="16" t="s">
        <v>31</v>
      </c>
      <c r="I362" s="14">
        <f>[85]Source!AV1239</f>
        <v>1.0669999999999999</v>
      </c>
      <c r="J362" s="10">
        <f>ROUND(F350*G362*I362*(1.67-1), 2)</f>
        <v>0.97</v>
      </c>
      <c r="K362" s="14">
        <f>IF([85]Source!BS1239&lt;&gt; 0, [85]Source!BS1239, 1)</f>
        <v>23.94</v>
      </c>
      <c r="L362" s="10">
        <f>ROUND(F350*G362*I362*(1.67-1)*K362, 2)</f>
        <v>23.28</v>
      </c>
    </row>
    <row r="363" spans="1:22" ht="14.25" x14ac:dyDescent="0.2">
      <c r="A363" s="12"/>
      <c r="B363" s="12"/>
      <c r="C363" s="13"/>
      <c r="D363" s="13" t="s">
        <v>27</v>
      </c>
      <c r="E363" s="6" t="s">
        <v>25</v>
      </c>
      <c r="F363" s="14">
        <f>175</f>
        <v>175</v>
      </c>
      <c r="G363" s="15"/>
      <c r="H363" s="6"/>
      <c r="I363" s="14"/>
      <c r="J363" s="10">
        <f>ROUND(J362*(F363/100), 2)</f>
        <v>1.7</v>
      </c>
      <c r="K363" s="14">
        <f>157</f>
        <v>157</v>
      </c>
      <c r="L363" s="10">
        <f>ROUND(L362*(K363/100), 2)</f>
        <v>36.549999999999997</v>
      </c>
    </row>
    <row r="364" spans="1:22" ht="15" x14ac:dyDescent="0.25">
      <c r="I364" s="525">
        <f>J363+J362</f>
        <v>2.67</v>
      </c>
      <c r="J364" s="525"/>
      <c r="K364" s="525">
        <f>L363+L362</f>
        <v>59.83</v>
      </c>
      <c r="L364" s="525"/>
      <c r="O364" s="11">
        <f>I364</f>
        <v>2.67</v>
      </c>
      <c r="P364" s="11">
        <f>K364</f>
        <v>59.83</v>
      </c>
    </row>
    <row r="366" spans="1:22" ht="15" x14ac:dyDescent="0.25">
      <c r="A366" s="37"/>
      <c r="B366" s="37"/>
      <c r="C366" s="38"/>
      <c r="D366" s="38" t="s">
        <v>32</v>
      </c>
      <c r="E366" s="39"/>
      <c r="F366" s="40"/>
      <c r="G366" s="41"/>
      <c r="H366" s="42"/>
      <c r="I366" s="524">
        <f>I359+I364</f>
        <v>91.74</v>
      </c>
      <c r="J366" s="524"/>
      <c r="K366" s="524">
        <f>K359+K364</f>
        <v>1375.15</v>
      </c>
      <c r="L366" s="524"/>
    </row>
    <row r="367" spans="1:22" ht="130.5" customHeight="1" x14ac:dyDescent="0.2">
      <c r="A367" s="4">
        <v>51</v>
      </c>
      <c r="B367" s="4" t="str">
        <f>[85]Source!E1240</f>
        <v>336</v>
      </c>
      <c r="C367" s="5" t="str">
        <f>[85]Source!F1240</f>
        <v>МКЭ-33-2104/7-3 от 14.12.2017г.</v>
      </c>
      <c r="D367" s="5" t="s">
        <v>177</v>
      </c>
      <c r="E367" s="6" t="str">
        <f>[85]Source!H1240</f>
        <v>шт.</v>
      </c>
      <c r="F367" s="2">
        <f>[85]Source!I1240</f>
        <v>1</v>
      </c>
      <c r="G367" s="25">
        <f>[85]Source!AL1240</f>
        <v>958.8</v>
      </c>
      <c r="H367" s="8" t="str">
        <f>[85]Source!DD1240</f>
        <v>*1,02</v>
      </c>
      <c r="I367" s="2">
        <f>[85]Source!AW1241</f>
        <v>1</v>
      </c>
      <c r="J367" s="25">
        <f>L367/K367</f>
        <v>977.98</v>
      </c>
      <c r="K367" s="2">
        <f>IF([85]Source!BC1241&lt;&gt; 0, [85]Source!BC1241, 1)</f>
        <v>5.48</v>
      </c>
      <c r="L367" s="25">
        <f>F367*5254.23*1.02</f>
        <v>5359.31</v>
      </c>
      <c r="Q367">
        <f>[85]Source!X1240</f>
        <v>0</v>
      </c>
      <c r="R367">
        <f>[85]Source!X1241</f>
        <v>0</v>
      </c>
      <c r="S367">
        <f>[85]Source!Y1240</f>
        <v>0</v>
      </c>
      <c r="T367">
        <f>[85]Source!Y1241</f>
        <v>0</v>
      </c>
      <c r="U367">
        <f>ROUND((175/100)*ROUND([85]Source!R1240, 2), 2)</f>
        <v>0</v>
      </c>
      <c r="V367">
        <f>ROUND((157/100)*ROUND([85]Source!R1241, 2), 2)</f>
        <v>0</v>
      </c>
    </row>
    <row r="368" spans="1:22" ht="15" x14ac:dyDescent="0.25">
      <c r="A368" s="35"/>
      <c r="B368" s="35"/>
      <c r="C368" s="35"/>
      <c r="D368" s="35"/>
      <c r="E368" s="35"/>
      <c r="F368" s="35"/>
      <c r="G368" s="35"/>
      <c r="H368" s="35"/>
      <c r="I368" s="524">
        <f>J367</f>
        <v>977.98</v>
      </c>
      <c r="J368" s="524"/>
      <c r="K368" s="524">
        <f>L367</f>
        <v>5359.31</v>
      </c>
      <c r="L368" s="524"/>
      <c r="O368" s="11">
        <f>J367</f>
        <v>977.98</v>
      </c>
      <c r="P368" s="11">
        <f>L367</f>
        <v>5359.31</v>
      </c>
    </row>
    <row r="369" spans="1:22" ht="104.25" customHeight="1" x14ac:dyDescent="0.2">
      <c r="A369" s="4">
        <v>52</v>
      </c>
      <c r="B369" s="4" t="str">
        <f>[85]Source!E1242</f>
        <v>337</v>
      </c>
      <c r="C369" s="5" t="str">
        <f>[85]Source!F1242</f>
        <v>1.12-9-4</v>
      </c>
      <c r="D369" s="5" t="s">
        <v>142</v>
      </c>
      <c r="E369" s="6" t="str">
        <f>[85]Source!H1242</f>
        <v>шт.</v>
      </c>
      <c r="F369" s="2">
        <f>[85]Source!I1242</f>
        <v>2</v>
      </c>
      <c r="G369" s="7">
        <f>[85]Source!AL1242</f>
        <v>45.95</v>
      </c>
      <c r="H369" s="8" t="str">
        <f>[85]Source!DD1242</f>
        <v/>
      </c>
      <c r="I369" s="2">
        <f>[85]Source!AW1243</f>
        <v>1</v>
      </c>
      <c r="J369" s="25">
        <f>[85]Source!P1242</f>
        <v>91.9</v>
      </c>
      <c r="K369" s="2">
        <f>IF([85]Source!BC1243&lt;&gt; 0, [85]Source!BC1243, 1)</f>
        <v>4.08</v>
      </c>
      <c r="L369" s="25">
        <f>[85]Source!P1243</f>
        <v>374.95</v>
      </c>
      <c r="Q369">
        <f>[85]Source!X1242</f>
        <v>0</v>
      </c>
      <c r="R369">
        <f>[85]Source!X1243</f>
        <v>0</v>
      </c>
      <c r="S369">
        <f>[85]Source!Y1242</f>
        <v>0</v>
      </c>
      <c r="T369">
        <f>[85]Source!Y1243</f>
        <v>0</v>
      </c>
      <c r="U369">
        <f>ROUND((175/100)*ROUND([85]Source!R1242, 2), 2)</f>
        <v>0</v>
      </c>
      <c r="V369">
        <f>ROUND((157/100)*ROUND([85]Source!R1243, 2), 2)</f>
        <v>0</v>
      </c>
    </row>
    <row r="370" spans="1:22" ht="15" x14ac:dyDescent="0.25">
      <c r="A370" s="35"/>
      <c r="B370" s="35"/>
      <c r="C370" s="35"/>
      <c r="D370" s="35"/>
      <c r="E370" s="35"/>
      <c r="F370" s="35"/>
      <c r="G370" s="35"/>
      <c r="H370" s="35"/>
      <c r="I370" s="524">
        <f>J369</f>
        <v>91.9</v>
      </c>
      <c r="J370" s="524"/>
      <c r="K370" s="524">
        <f>L369</f>
        <v>374.95</v>
      </c>
      <c r="L370" s="524"/>
      <c r="O370" s="11">
        <f>J369</f>
        <v>91.9</v>
      </c>
      <c r="P370" s="11">
        <f>L369</f>
        <v>374.95</v>
      </c>
    </row>
    <row r="371" spans="1:22" ht="71.25" x14ac:dyDescent="0.2">
      <c r="A371" s="4">
        <v>53</v>
      </c>
      <c r="B371" s="4" t="str">
        <f>[85]Source!E1244</f>
        <v>338</v>
      </c>
      <c r="C371" s="5" t="str">
        <f>[85]Source!F1244</f>
        <v>3.16-16-1</v>
      </c>
      <c r="D371" s="5" t="s">
        <v>141</v>
      </c>
      <c r="E371" s="6" t="str">
        <f>[85]Source!H1244</f>
        <v>1  ШТ.</v>
      </c>
      <c r="F371" s="2">
        <f>[85]Source!I1244</f>
        <v>1</v>
      </c>
      <c r="G371" s="7"/>
      <c r="H371" s="8"/>
      <c r="I371" s="2"/>
      <c r="J371" s="25"/>
      <c r="K371" s="2"/>
      <c r="L371" s="25"/>
      <c r="Q371">
        <f>[85]Source!X1244</f>
        <v>23.85</v>
      </c>
      <c r="R371">
        <f>[85]Source!X1245</f>
        <v>456.78</v>
      </c>
      <c r="S371">
        <f>[85]Source!Y1244</f>
        <v>17.940000000000001</v>
      </c>
      <c r="T371">
        <f>[85]Source!Y1245</f>
        <v>205.55</v>
      </c>
      <c r="U371">
        <f>ROUND((175/100)*ROUND([85]Source!R1244, 2), 2)</f>
        <v>4.24</v>
      </c>
      <c r="V371">
        <f>ROUND((157/100)*ROUND([85]Source!R1245, 2), 2)</f>
        <v>90.95</v>
      </c>
    </row>
    <row r="372" spans="1:22" ht="14.25" x14ac:dyDescent="0.2">
      <c r="A372" s="4"/>
      <c r="B372" s="4"/>
      <c r="C372" s="5"/>
      <c r="D372" s="5" t="s">
        <v>20</v>
      </c>
      <c r="E372" s="6"/>
      <c r="F372" s="2"/>
      <c r="G372" s="7">
        <f>[85]Source!AO1244</f>
        <v>10.71</v>
      </c>
      <c r="H372" s="8" t="str">
        <f>[85]Source!DG1244</f>
        <v>*1,67</v>
      </c>
      <c r="I372" s="2">
        <f>[85]Source!AV1245</f>
        <v>1.0669999999999999</v>
      </c>
      <c r="J372" s="25">
        <f>[85]Source!S1244</f>
        <v>19.079999999999998</v>
      </c>
      <c r="K372" s="2">
        <f>IF([85]Source!BA1245&lt;&gt; 0, [85]Source!BA1245, 1)</f>
        <v>23.94</v>
      </c>
      <c r="L372" s="25">
        <f>[85]Source!S1245</f>
        <v>456.78</v>
      </c>
    </row>
    <row r="373" spans="1:22" ht="14.25" x14ac:dyDescent="0.2">
      <c r="A373" s="4"/>
      <c r="B373" s="4"/>
      <c r="C373" s="5"/>
      <c r="D373" s="5" t="s">
        <v>21</v>
      </c>
      <c r="E373" s="6"/>
      <c r="F373" s="2"/>
      <c r="G373" s="7">
        <f>[85]Source!AM1244</f>
        <v>5.49</v>
      </c>
      <c r="H373" s="8" t="str">
        <f>[85]Source!DE1244</f>
        <v/>
      </c>
      <c r="I373" s="2">
        <f>[85]Source!AV1245</f>
        <v>1.0669999999999999</v>
      </c>
      <c r="J373" s="25">
        <f>[85]Source!Q1244-J382</f>
        <v>5.86</v>
      </c>
      <c r="K373" s="2">
        <f>IF([85]Source!BB1245&lt;&gt; 0, [85]Source!BB1245, 1)</f>
        <v>9.9499999999999993</v>
      </c>
      <c r="L373" s="25">
        <f>[85]Source!Q1245-L382</f>
        <v>58.25</v>
      </c>
    </row>
    <row r="374" spans="1:22" ht="14.25" x14ac:dyDescent="0.2">
      <c r="A374" s="4"/>
      <c r="B374" s="4"/>
      <c r="C374" s="5"/>
      <c r="D374" s="5" t="s">
        <v>22</v>
      </c>
      <c r="E374" s="6"/>
      <c r="F374" s="2"/>
      <c r="G374" s="7">
        <f>[85]Source!AN1244</f>
        <v>1.36</v>
      </c>
      <c r="H374" s="8" t="str">
        <f>[85]Source!DE1244</f>
        <v/>
      </c>
      <c r="I374" s="2">
        <f>[85]Source!AV1245</f>
        <v>1.0669999999999999</v>
      </c>
      <c r="J374" s="10">
        <f>[85]Source!R1244-J383</f>
        <v>1.45</v>
      </c>
      <c r="K374" s="2">
        <f>IF([85]Source!BS1245&lt;&gt; 0, [85]Source!BS1245, 1)</f>
        <v>23.94</v>
      </c>
      <c r="L374" s="10">
        <f>[85]Source!R1245-L383</f>
        <v>34.65</v>
      </c>
    </row>
    <row r="375" spans="1:22" ht="14.25" x14ac:dyDescent="0.2">
      <c r="A375" s="4"/>
      <c r="B375" s="4"/>
      <c r="C375" s="5"/>
      <c r="D375" s="5" t="s">
        <v>23</v>
      </c>
      <c r="E375" s="6"/>
      <c r="F375" s="2"/>
      <c r="G375" s="7">
        <f>[85]Source!AL1244</f>
        <v>19.8</v>
      </c>
      <c r="H375" s="8" t="str">
        <f>[85]Source!DD1244</f>
        <v/>
      </c>
      <c r="I375" s="2">
        <f>[85]Source!AW1245</f>
        <v>1</v>
      </c>
      <c r="J375" s="25">
        <f>[85]Source!P1244</f>
        <v>19.8</v>
      </c>
      <c r="K375" s="2">
        <f>IF([85]Source!BC1245&lt;&gt; 0, [85]Source!BC1245, 1)</f>
        <v>4.22</v>
      </c>
      <c r="L375" s="25">
        <f>[85]Source!P1245</f>
        <v>83.56</v>
      </c>
    </row>
    <row r="376" spans="1:22" ht="14.25" x14ac:dyDescent="0.2">
      <c r="A376" s="4"/>
      <c r="B376" s="4"/>
      <c r="C376" s="5"/>
      <c r="D376" s="5" t="s">
        <v>24</v>
      </c>
      <c r="E376" s="6" t="s">
        <v>25</v>
      </c>
      <c r="F376" s="2">
        <f>[85]Source!DN1245</f>
        <v>125</v>
      </c>
      <c r="G376" s="7"/>
      <c r="H376" s="8"/>
      <c r="I376" s="2"/>
      <c r="J376" s="25">
        <f>SUM(Q371:Q375)</f>
        <v>23.85</v>
      </c>
      <c r="K376" s="2">
        <f>[85]Source!BZ1245</f>
        <v>100</v>
      </c>
      <c r="L376" s="25">
        <f>SUM(R371:R375)</f>
        <v>456.78</v>
      </c>
    </row>
    <row r="377" spans="1:22" ht="14.25" x14ac:dyDescent="0.2">
      <c r="A377" s="4"/>
      <c r="B377" s="4"/>
      <c r="C377" s="5"/>
      <c r="D377" s="5" t="s">
        <v>26</v>
      </c>
      <c r="E377" s="6" t="s">
        <v>25</v>
      </c>
      <c r="F377" s="2">
        <f>[85]Source!DO1245</f>
        <v>94</v>
      </c>
      <c r="G377" s="7"/>
      <c r="H377" s="8"/>
      <c r="I377" s="2"/>
      <c r="J377" s="25">
        <f>SUM(S371:S376)</f>
        <v>17.940000000000001</v>
      </c>
      <c r="K377" s="2">
        <f>[85]Source!CA1245</f>
        <v>45</v>
      </c>
      <c r="L377" s="25">
        <f>SUM(T371:T376)</f>
        <v>205.55</v>
      </c>
    </row>
    <row r="378" spans="1:22" ht="14.25" x14ac:dyDescent="0.2">
      <c r="A378" s="4"/>
      <c r="B378" s="4"/>
      <c r="C378" s="5"/>
      <c r="D378" s="5" t="s">
        <v>27</v>
      </c>
      <c r="E378" s="6" t="s">
        <v>25</v>
      </c>
      <c r="F378" s="2">
        <f>175</f>
        <v>175</v>
      </c>
      <c r="G378" s="7"/>
      <c r="H378" s="8"/>
      <c r="I378" s="2"/>
      <c r="J378" s="25">
        <f>SUM(U371:U377)-J384</f>
        <v>2.54</v>
      </c>
      <c r="K378" s="2">
        <f>157</f>
        <v>157</v>
      </c>
      <c r="L378" s="25">
        <f>SUM(V371:V377)-L384</f>
        <v>54.4</v>
      </c>
    </row>
    <row r="379" spans="1:22" ht="14.25" x14ac:dyDescent="0.2">
      <c r="A379" s="4"/>
      <c r="B379" s="4"/>
      <c r="C379" s="5"/>
      <c r="D379" s="5" t="s">
        <v>28</v>
      </c>
      <c r="E379" s="6" t="s">
        <v>29</v>
      </c>
      <c r="F379" s="2">
        <f>[85]Source!AQ1244</f>
        <v>0.9</v>
      </c>
      <c r="G379" s="7"/>
      <c r="H379" s="8" t="str">
        <f>[85]Source!DI1244</f>
        <v/>
      </c>
      <c r="I379" s="2">
        <f>[85]Source!AV1245</f>
        <v>1.0669999999999999</v>
      </c>
      <c r="J379" s="25">
        <f>[85]Source!U1244</f>
        <v>0.96</v>
      </c>
      <c r="K379" s="2"/>
      <c r="L379" s="25"/>
    </row>
    <row r="380" spans="1:22" ht="15" x14ac:dyDescent="0.25">
      <c r="I380" s="525">
        <f>J372+J373+J375+J376+J377+J378</f>
        <v>89.07</v>
      </c>
      <c r="J380" s="525"/>
      <c r="K380" s="525">
        <f>L372+L373+L375+L376+L377+L378</f>
        <v>1315.32</v>
      </c>
      <c r="L380" s="525"/>
      <c r="O380" s="11">
        <f>J372+J373+J375+J376+J377+J378</f>
        <v>89.07</v>
      </c>
      <c r="P380" s="11">
        <f>L372+L373+L375+L376+L377+L378</f>
        <v>1315.32</v>
      </c>
    </row>
    <row r="381" spans="1:22" ht="28.5" x14ac:dyDescent="0.2">
      <c r="A381" s="12"/>
      <c r="B381" s="12"/>
      <c r="C381" s="13"/>
      <c r="D381" s="13" t="s">
        <v>30</v>
      </c>
      <c r="E381" s="6"/>
      <c r="F381" s="14"/>
      <c r="G381" s="15"/>
      <c r="H381" s="6"/>
      <c r="I381" s="14"/>
      <c r="J381" s="10"/>
      <c r="K381" s="14"/>
      <c r="L381" s="10"/>
    </row>
    <row r="382" spans="1:22" ht="14.25" x14ac:dyDescent="0.2">
      <c r="A382" s="12"/>
      <c r="B382" s="12"/>
      <c r="C382" s="13"/>
      <c r="D382" s="13" t="s">
        <v>21</v>
      </c>
      <c r="E382" s="6"/>
      <c r="F382" s="14"/>
      <c r="G382" s="15">
        <f t="shared" ref="G382:L382" si="15">G383</f>
        <v>1.36</v>
      </c>
      <c r="H382" s="16" t="str">
        <f t="shared" si="15"/>
        <v>)*(1.67-1)</v>
      </c>
      <c r="I382" s="14">
        <f t="shared" si="15"/>
        <v>1.0669999999999999</v>
      </c>
      <c r="J382" s="10">
        <f t="shared" si="15"/>
        <v>0.97</v>
      </c>
      <c r="K382" s="14">
        <f t="shared" si="15"/>
        <v>23.94</v>
      </c>
      <c r="L382" s="10">
        <f t="shared" si="15"/>
        <v>23.28</v>
      </c>
    </row>
    <row r="383" spans="1:22" ht="14.25" x14ac:dyDescent="0.2">
      <c r="A383" s="12"/>
      <c r="B383" s="12"/>
      <c r="C383" s="13"/>
      <c r="D383" s="13" t="s">
        <v>22</v>
      </c>
      <c r="E383" s="6"/>
      <c r="F383" s="14"/>
      <c r="G383" s="15">
        <f>[85]Source!AN1244</f>
        <v>1.36</v>
      </c>
      <c r="H383" s="16" t="s">
        <v>31</v>
      </c>
      <c r="I383" s="14">
        <f>[85]Source!AV1245</f>
        <v>1.0669999999999999</v>
      </c>
      <c r="J383" s="10">
        <f>ROUND(F371*G383*I383*(1.67-1), 2)</f>
        <v>0.97</v>
      </c>
      <c r="K383" s="14">
        <f>IF([85]Source!BS1245&lt;&gt; 0, [85]Source!BS1245, 1)</f>
        <v>23.94</v>
      </c>
      <c r="L383" s="10">
        <f>ROUND(F371*G383*I383*(1.67-1)*K383, 2)</f>
        <v>23.28</v>
      </c>
    </row>
    <row r="384" spans="1:22" ht="14.25" x14ac:dyDescent="0.2">
      <c r="A384" s="12"/>
      <c r="B384" s="12"/>
      <c r="C384" s="13"/>
      <c r="D384" s="13" t="s">
        <v>27</v>
      </c>
      <c r="E384" s="6" t="s">
        <v>25</v>
      </c>
      <c r="F384" s="14">
        <f>175</f>
        <v>175</v>
      </c>
      <c r="G384" s="15"/>
      <c r="H384" s="6"/>
      <c r="I384" s="14"/>
      <c r="J384" s="10">
        <f>ROUND(J383*(F384/100), 2)</f>
        <v>1.7</v>
      </c>
      <c r="K384" s="14">
        <f>157</f>
        <v>157</v>
      </c>
      <c r="L384" s="10">
        <f>ROUND(L383*(K384/100), 2)</f>
        <v>36.549999999999997</v>
      </c>
    </row>
    <row r="385" spans="1:22" ht="15" x14ac:dyDescent="0.25">
      <c r="I385" s="525">
        <f>J384+J383</f>
        <v>2.67</v>
      </c>
      <c r="J385" s="525"/>
      <c r="K385" s="525">
        <f>L384+L383</f>
        <v>59.83</v>
      </c>
      <c r="L385" s="525"/>
      <c r="O385" s="11">
        <f>I385</f>
        <v>2.67</v>
      </c>
      <c r="P385" s="11">
        <f>K385</f>
        <v>59.83</v>
      </c>
    </row>
    <row r="387" spans="1:22" ht="15" x14ac:dyDescent="0.25">
      <c r="A387" s="37"/>
      <c r="B387" s="37"/>
      <c r="C387" s="38"/>
      <c r="D387" s="38" t="s">
        <v>32</v>
      </c>
      <c r="E387" s="39"/>
      <c r="F387" s="40"/>
      <c r="G387" s="41"/>
      <c r="H387" s="42"/>
      <c r="I387" s="524">
        <f>I380+I385</f>
        <v>91.74</v>
      </c>
      <c r="J387" s="524"/>
      <c r="K387" s="524">
        <f>K380+K385</f>
        <v>1375.15</v>
      </c>
      <c r="L387" s="524"/>
    </row>
    <row r="388" spans="1:22" ht="91.5" customHeight="1" x14ac:dyDescent="0.2">
      <c r="A388" s="4">
        <v>54</v>
      </c>
      <c r="B388" s="4" t="str">
        <f>[85]Source!E1246</f>
        <v>339</v>
      </c>
      <c r="C388" s="5" t="str">
        <f>[85]Source!F1246</f>
        <v>МКЭ-28-2585/6-1 от 22.11.2016г.</v>
      </c>
      <c r="D388" s="5" t="s">
        <v>183</v>
      </c>
      <c r="E388" s="6" t="str">
        <f>[85]Source!H1246</f>
        <v>шт.</v>
      </c>
      <c r="F388" s="2">
        <f>[85]Source!I1246</f>
        <v>1</v>
      </c>
      <c r="G388" s="25">
        <v>621.98</v>
      </c>
      <c r="H388" s="8" t="str">
        <f>[85]Source!DD1246</f>
        <v>*1,02</v>
      </c>
      <c r="I388" s="2">
        <f>[85]Source!AW1247</f>
        <v>1</v>
      </c>
      <c r="J388" s="25">
        <f>L388/K388</f>
        <v>634.41999999999996</v>
      </c>
      <c r="K388" s="2">
        <f>IF([85]Source!BC1247&lt;&gt; 0, [85]Source!BC1247, 1)</f>
        <v>5.48</v>
      </c>
      <c r="L388" s="25">
        <f>F388*1.02*3408.47</f>
        <v>3476.64</v>
      </c>
      <c r="Q388">
        <f>[85]Source!X1246</f>
        <v>0</v>
      </c>
      <c r="R388">
        <f>[85]Source!X1247</f>
        <v>0</v>
      </c>
      <c r="S388">
        <f>[85]Source!Y1246</f>
        <v>0</v>
      </c>
      <c r="T388">
        <f>[85]Source!Y1247</f>
        <v>0</v>
      </c>
      <c r="U388">
        <f>ROUND((175/100)*ROUND([85]Source!R1246, 2), 2)</f>
        <v>0</v>
      </c>
      <c r="V388">
        <f>ROUND((157/100)*ROUND([85]Source!R1247, 2), 2)</f>
        <v>0</v>
      </c>
    </row>
    <row r="389" spans="1:22" ht="15" x14ac:dyDescent="0.25">
      <c r="A389" s="35"/>
      <c r="B389" s="35"/>
      <c r="C389" s="35"/>
      <c r="D389" s="35"/>
      <c r="E389" s="35"/>
      <c r="F389" s="35"/>
      <c r="G389" s="35"/>
      <c r="H389" s="35"/>
      <c r="I389" s="524">
        <f>J388</f>
        <v>634.41999999999996</v>
      </c>
      <c r="J389" s="524"/>
      <c r="K389" s="524">
        <f>L388</f>
        <v>3476.64</v>
      </c>
      <c r="L389" s="524"/>
      <c r="O389" s="11">
        <f>J388</f>
        <v>634.41999999999996</v>
      </c>
      <c r="P389" s="11">
        <f>L388</f>
        <v>3476.64</v>
      </c>
    </row>
    <row r="390" spans="1:22" ht="71.25" x14ac:dyDescent="0.2">
      <c r="A390" s="4">
        <v>55</v>
      </c>
      <c r="B390" s="4" t="str">
        <f>[85]Source!E1248</f>
        <v>340</v>
      </c>
      <c r="C390" s="5" t="str">
        <f>[85]Source!F1248</f>
        <v>1.12-9-4</v>
      </c>
      <c r="D390" s="5" t="s">
        <v>142</v>
      </c>
      <c r="E390" s="6" t="str">
        <f>[85]Source!H1248</f>
        <v>шт.</v>
      </c>
      <c r="F390" s="2">
        <f>[85]Source!I1248</f>
        <v>2</v>
      </c>
      <c r="G390" s="7">
        <f>[85]Source!AL1248</f>
        <v>45.95</v>
      </c>
      <c r="H390" s="8" t="str">
        <f>[85]Source!DD1248</f>
        <v/>
      </c>
      <c r="I390" s="2">
        <f>[85]Source!AW1249</f>
        <v>1</v>
      </c>
      <c r="J390" s="25">
        <f>[85]Source!P1248</f>
        <v>91.9</v>
      </c>
      <c r="K390" s="2">
        <f>IF([85]Source!BC1249&lt;&gt; 0, [85]Source!BC1249, 1)</f>
        <v>4.08</v>
      </c>
      <c r="L390" s="25">
        <f>[85]Source!P1249</f>
        <v>374.95</v>
      </c>
      <c r="Q390">
        <f>[85]Source!X1248</f>
        <v>0</v>
      </c>
      <c r="R390">
        <f>[85]Source!X1249</f>
        <v>0</v>
      </c>
      <c r="S390">
        <f>[85]Source!Y1248</f>
        <v>0</v>
      </c>
      <c r="T390">
        <f>[85]Source!Y1249</f>
        <v>0</v>
      </c>
      <c r="U390">
        <f>ROUND((175/100)*ROUND([85]Source!R1248, 2), 2)</f>
        <v>0</v>
      </c>
      <c r="V390">
        <f>ROUND((157/100)*ROUND([85]Source!R1249, 2), 2)</f>
        <v>0</v>
      </c>
    </row>
    <row r="391" spans="1:22" ht="15" x14ac:dyDescent="0.25">
      <c r="A391" s="35"/>
      <c r="B391" s="35"/>
      <c r="C391" s="35"/>
      <c r="D391" s="35"/>
      <c r="E391" s="35"/>
      <c r="F391" s="35"/>
      <c r="G391" s="35"/>
      <c r="H391" s="35"/>
      <c r="I391" s="524">
        <f>J390</f>
        <v>91.9</v>
      </c>
      <c r="J391" s="524"/>
      <c r="K391" s="524">
        <f>L390</f>
        <v>374.95</v>
      </c>
      <c r="L391" s="524"/>
      <c r="O391" s="11">
        <f>J390</f>
        <v>91.9</v>
      </c>
      <c r="P391" s="11">
        <f>L390</f>
        <v>374.95</v>
      </c>
    </row>
    <row r="392" spans="1:22" ht="42.75" x14ac:dyDescent="0.2">
      <c r="A392" s="4">
        <v>56</v>
      </c>
      <c r="B392" s="4" t="str">
        <f>[85]Source!E1256</f>
        <v>344</v>
      </c>
      <c r="C392" s="5" t="str">
        <f>[85]Source!F1256</f>
        <v>3.16-9-2</v>
      </c>
      <c r="D392" s="5" t="s">
        <v>147</v>
      </c>
      <c r="E392" s="6" t="str">
        <f>[85]Source!H1256</f>
        <v>100 м трубопровода</v>
      </c>
      <c r="F392" s="2">
        <f>[85]Source!I1256</f>
        <v>0.02</v>
      </c>
      <c r="G392" s="7"/>
      <c r="H392" s="8"/>
      <c r="I392" s="2"/>
      <c r="J392" s="25"/>
      <c r="K392" s="2"/>
      <c r="L392" s="25"/>
      <c r="Q392">
        <f>[85]Source!X1256</f>
        <v>36.83</v>
      </c>
      <c r="R392">
        <f>[85]Source!X1257</f>
        <v>705.27</v>
      </c>
      <c r="S392">
        <f>[85]Source!Y1256</f>
        <v>27.69</v>
      </c>
      <c r="T392">
        <f>[85]Source!Y1257</f>
        <v>317.37</v>
      </c>
      <c r="U392">
        <f>ROUND((175/100)*ROUND([85]Source!R1256, 2), 2)</f>
        <v>1.23</v>
      </c>
      <c r="V392">
        <f>ROUND((157/100)*ROUND([85]Source!R1257, 2), 2)</f>
        <v>26.31</v>
      </c>
    </row>
    <row r="393" spans="1:22" ht="14.25" x14ac:dyDescent="0.2">
      <c r="A393" s="4"/>
      <c r="B393" s="4"/>
      <c r="C393" s="5"/>
      <c r="D393" s="5" t="s">
        <v>20</v>
      </c>
      <c r="E393" s="6"/>
      <c r="F393" s="2"/>
      <c r="G393" s="7">
        <f>[85]Source!AO1256</f>
        <v>826.61</v>
      </c>
      <c r="H393" s="8" t="str">
        <f>[85]Source!DG1256</f>
        <v>)*1,67</v>
      </c>
      <c r="I393" s="2">
        <f>[85]Source!AV1257</f>
        <v>1.0669999999999999</v>
      </c>
      <c r="J393" s="25">
        <f>[85]Source!S1256</f>
        <v>29.46</v>
      </c>
      <c r="K393" s="2">
        <f>IF([85]Source!BA1257&lt;&gt; 0, [85]Source!BA1257, 1)</f>
        <v>23.94</v>
      </c>
      <c r="L393" s="25">
        <f>[85]Source!S1257</f>
        <v>705.27</v>
      </c>
    </row>
    <row r="394" spans="1:22" ht="14.25" x14ac:dyDescent="0.2">
      <c r="A394" s="4"/>
      <c r="B394" s="4"/>
      <c r="C394" s="5"/>
      <c r="D394" s="5" t="s">
        <v>21</v>
      </c>
      <c r="E394" s="6"/>
      <c r="F394" s="2"/>
      <c r="G394" s="7">
        <f>[85]Source!AM1256</f>
        <v>147.1</v>
      </c>
      <c r="H394" s="8" t="str">
        <f>[85]Source!DE1256</f>
        <v/>
      </c>
      <c r="I394" s="2">
        <f>[85]Source!AV1257</f>
        <v>1.0669999999999999</v>
      </c>
      <c r="J394" s="25">
        <f>[85]Source!Q1256-J404</f>
        <v>3.14</v>
      </c>
      <c r="K394" s="2">
        <f>IF([85]Source!BB1257&lt;&gt; 0, [85]Source!BB1257, 1)</f>
        <v>7.82</v>
      </c>
      <c r="L394" s="25">
        <f>[85]Source!Q1257-L404</f>
        <v>24.57</v>
      </c>
    </row>
    <row r="395" spans="1:22" ht="14.25" x14ac:dyDescent="0.2">
      <c r="A395" s="4"/>
      <c r="B395" s="4"/>
      <c r="C395" s="5"/>
      <c r="D395" s="5" t="s">
        <v>22</v>
      </c>
      <c r="E395" s="6"/>
      <c r="F395" s="2"/>
      <c r="G395" s="7">
        <f>[85]Source!AN1256</f>
        <v>19.53</v>
      </c>
      <c r="H395" s="8" t="str">
        <f>[85]Source!DE1256</f>
        <v/>
      </c>
      <c r="I395" s="2">
        <f>[85]Source!AV1257</f>
        <v>1.0669999999999999</v>
      </c>
      <c r="J395" s="10">
        <f>[85]Source!R1256-J405</f>
        <v>0.42</v>
      </c>
      <c r="K395" s="2">
        <f>IF([85]Source!BS1257&lt;&gt; 0, [85]Source!BS1257, 1)</f>
        <v>23.94</v>
      </c>
      <c r="L395" s="10">
        <f>[85]Source!R1257-L405</f>
        <v>10.08</v>
      </c>
    </row>
    <row r="396" spans="1:22" ht="14.25" x14ac:dyDescent="0.2">
      <c r="A396" s="4"/>
      <c r="B396" s="4"/>
      <c r="C396" s="5"/>
      <c r="D396" s="5" t="s">
        <v>23</v>
      </c>
      <c r="E396" s="6"/>
      <c r="F396" s="2"/>
      <c r="G396" s="7">
        <f>[85]Source!AL1256</f>
        <v>41.86</v>
      </c>
      <c r="H396" s="8" t="str">
        <f>[85]Source!DD1256</f>
        <v/>
      </c>
      <c r="I396" s="2">
        <f>[85]Source!AW1257</f>
        <v>1</v>
      </c>
      <c r="J396" s="25">
        <f>[85]Source!P1256</f>
        <v>0.84</v>
      </c>
      <c r="K396" s="2">
        <f>IF([85]Source!BC1257&lt;&gt; 0, [85]Source!BC1257, 1)</f>
        <v>5.54</v>
      </c>
      <c r="L396" s="25">
        <f>[85]Source!P1257</f>
        <v>4.6500000000000004</v>
      </c>
    </row>
    <row r="397" spans="1:22" ht="71.25" x14ac:dyDescent="0.2">
      <c r="A397" s="4">
        <v>57</v>
      </c>
      <c r="B397" s="4" t="str">
        <f>[85]Source!E1258</f>
        <v>344,1</v>
      </c>
      <c r="C397" s="5" t="str">
        <f>[85]Source!F1258</f>
        <v>1.12-6-112</v>
      </c>
      <c r="D397" s="5" t="s">
        <v>46</v>
      </c>
      <c r="E397" s="6" t="str">
        <f>[85]Source!H1258</f>
        <v>м</v>
      </c>
      <c r="F397" s="2">
        <f>[85]Source!I1258</f>
        <v>2</v>
      </c>
      <c r="G397" s="7">
        <f>[85]Source!AK1258</f>
        <v>37.869999999999997</v>
      </c>
      <c r="H397" s="36" t="s">
        <v>90</v>
      </c>
      <c r="I397" s="2">
        <f>[85]Source!AW1259</f>
        <v>1</v>
      </c>
      <c r="J397" s="25">
        <f>[85]Source!O1258</f>
        <v>75.739999999999995</v>
      </c>
      <c r="K397" s="2">
        <f>IF([85]Source!BC1259&lt;&gt; 0, [85]Source!BC1259, 1)</f>
        <v>8.43</v>
      </c>
      <c r="L397" s="25">
        <f>[85]Source!O1259</f>
        <v>638.49</v>
      </c>
      <c r="Q397">
        <f>[85]Source!X1258</f>
        <v>0</v>
      </c>
      <c r="R397">
        <f>[85]Source!X1259</f>
        <v>0</v>
      </c>
      <c r="S397">
        <f>[85]Source!Y1258</f>
        <v>0</v>
      </c>
      <c r="T397">
        <f>[85]Source!Y1259</f>
        <v>0</v>
      </c>
      <c r="U397">
        <f>ROUND((175/100)*ROUND([85]Source!R1258, 2), 2)</f>
        <v>0</v>
      </c>
      <c r="V397">
        <f>ROUND((157/100)*ROUND([85]Source!R1259, 2), 2)</f>
        <v>0</v>
      </c>
    </row>
    <row r="398" spans="1:22" ht="14.25" x14ac:dyDescent="0.2">
      <c r="A398" s="4"/>
      <c r="B398" s="4"/>
      <c r="C398" s="5"/>
      <c r="D398" s="5" t="s">
        <v>24</v>
      </c>
      <c r="E398" s="6" t="s">
        <v>25</v>
      </c>
      <c r="F398" s="2">
        <f>[85]Source!DN1257</f>
        <v>125</v>
      </c>
      <c r="G398" s="7"/>
      <c r="H398" s="8"/>
      <c r="I398" s="2"/>
      <c r="J398" s="25">
        <f>SUM(Q392:Q397)</f>
        <v>36.83</v>
      </c>
      <c r="K398" s="2">
        <f>[85]Source!BZ1257</f>
        <v>100</v>
      </c>
      <c r="L398" s="25">
        <f>SUM(R392:R397)</f>
        <v>705.27</v>
      </c>
    </row>
    <row r="399" spans="1:22" ht="14.25" x14ac:dyDescent="0.2">
      <c r="A399" s="4"/>
      <c r="B399" s="4"/>
      <c r="C399" s="5"/>
      <c r="D399" s="5" t="s">
        <v>26</v>
      </c>
      <c r="E399" s="6" t="s">
        <v>25</v>
      </c>
      <c r="F399" s="2">
        <f>[85]Source!DO1257</f>
        <v>94</v>
      </c>
      <c r="G399" s="7"/>
      <c r="H399" s="8"/>
      <c r="I399" s="2"/>
      <c r="J399" s="25">
        <f>SUM(S392:S398)</f>
        <v>27.69</v>
      </c>
      <c r="K399" s="2">
        <f>[85]Source!CA1257</f>
        <v>45</v>
      </c>
      <c r="L399" s="25">
        <f>SUM(T392:T398)</f>
        <v>317.37</v>
      </c>
    </row>
    <row r="400" spans="1:22" ht="14.25" x14ac:dyDescent="0.2">
      <c r="A400" s="4"/>
      <c r="B400" s="4"/>
      <c r="C400" s="5"/>
      <c r="D400" s="5" t="s">
        <v>27</v>
      </c>
      <c r="E400" s="6" t="s">
        <v>25</v>
      </c>
      <c r="F400" s="2">
        <f>175</f>
        <v>175</v>
      </c>
      <c r="G400" s="7"/>
      <c r="H400" s="8"/>
      <c r="I400" s="2"/>
      <c r="J400" s="25">
        <f>SUM(U392:U399)-J406</f>
        <v>0.74</v>
      </c>
      <c r="K400" s="2">
        <f>157</f>
        <v>157</v>
      </c>
      <c r="L400" s="25">
        <f>SUM(V392:V399)-L406</f>
        <v>15.82</v>
      </c>
    </row>
    <row r="401" spans="1:22" ht="14.25" x14ac:dyDescent="0.2">
      <c r="A401" s="4"/>
      <c r="B401" s="4"/>
      <c r="C401" s="5"/>
      <c r="D401" s="5" t="s">
        <v>28</v>
      </c>
      <c r="E401" s="6" t="s">
        <v>29</v>
      </c>
      <c r="F401" s="2">
        <f>[85]Source!AQ1256</f>
        <v>65.5</v>
      </c>
      <c r="G401" s="7"/>
      <c r="H401" s="8" t="str">
        <f>[85]Source!DI1256</f>
        <v/>
      </c>
      <c r="I401" s="2">
        <f>[85]Source!AV1257</f>
        <v>1.0669999999999999</v>
      </c>
      <c r="J401" s="25">
        <f>[85]Source!U1256</f>
        <v>1.4</v>
      </c>
      <c r="K401" s="2"/>
      <c r="L401" s="25"/>
    </row>
    <row r="402" spans="1:22" ht="15" x14ac:dyDescent="0.25">
      <c r="I402" s="525">
        <f>J393+J394+J396+J398+J399+J400+SUM(J397:J397)</f>
        <v>174.44</v>
      </c>
      <c r="J402" s="525"/>
      <c r="K402" s="525">
        <f>L393+L394+L396+L398+L399+L400+SUM(L397:L397)</f>
        <v>2411.44</v>
      </c>
      <c r="L402" s="525"/>
      <c r="O402" s="11">
        <f>J393+J394+J396+J398+J399+J400+SUM(J397:J397)</f>
        <v>174.44</v>
      </c>
      <c r="P402" s="11">
        <f>L393+L394+L396+L398+L399+L400+SUM(L397:L397)</f>
        <v>2411.44</v>
      </c>
    </row>
    <row r="403" spans="1:22" ht="28.5" x14ac:dyDescent="0.2">
      <c r="A403" s="12"/>
      <c r="B403" s="12"/>
      <c r="C403" s="13"/>
      <c r="D403" s="13" t="s">
        <v>30</v>
      </c>
      <c r="E403" s="6"/>
      <c r="F403" s="14"/>
      <c r="G403" s="15"/>
      <c r="H403" s="6"/>
      <c r="I403" s="14"/>
      <c r="J403" s="10"/>
      <c r="K403" s="14"/>
      <c r="L403" s="10"/>
    </row>
    <row r="404" spans="1:22" ht="14.25" x14ac:dyDescent="0.2">
      <c r="A404" s="12"/>
      <c r="B404" s="12"/>
      <c r="C404" s="13"/>
      <c r="D404" s="13" t="s">
        <v>21</v>
      </c>
      <c r="E404" s="6"/>
      <c r="F404" s="14"/>
      <c r="G404" s="15">
        <f t="shared" ref="G404:L404" si="16">G405</f>
        <v>19.53</v>
      </c>
      <c r="H404" s="16" t="str">
        <f t="shared" si="16"/>
        <v>)*(1.67-1)</v>
      </c>
      <c r="I404" s="14">
        <f t="shared" si="16"/>
        <v>1.0669999999999999</v>
      </c>
      <c r="J404" s="10">
        <f t="shared" si="16"/>
        <v>0.28000000000000003</v>
      </c>
      <c r="K404" s="14">
        <f t="shared" si="16"/>
        <v>23.94</v>
      </c>
      <c r="L404" s="10">
        <f t="shared" si="16"/>
        <v>6.68</v>
      </c>
    </row>
    <row r="405" spans="1:22" ht="14.25" x14ac:dyDescent="0.2">
      <c r="A405" s="12"/>
      <c r="B405" s="12"/>
      <c r="C405" s="13"/>
      <c r="D405" s="13" t="s">
        <v>22</v>
      </c>
      <c r="E405" s="6"/>
      <c r="F405" s="14"/>
      <c r="G405" s="15">
        <f>[85]Source!AN1256</f>
        <v>19.53</v>
      </c>
      <c r="H405" s="16" t="s">
        <v>31</v>
      </c>
      <c r="I405" s="14">
        <f>[85]Source!AV1257</f>
        <v>1.0669999999999999</v>
      </c>
      <c r="J405" s="10">
        <f>ROUND(F392*G405*I405*(1.67-1), 2)</f>
        <v>0.28000000000000003</v>
      </c>
      <c r="K405" s="14">
        <f>IF([85]Source!BS1257&lt;&gt; 0, [85]Source!BS1257, 1)</f>
        <v>23.94</v>
      </c>
      <c r="L405" s="10">
        <f>ROUND(F392*G405*I405*(1.67-1)*K405, 2)</f>
        <v>6.68</v>
      </c>
    </row>
    <row r="406" spans="1:22" ht="14.25" x14ac:dyDescent="0.2">
      <c r="A406" s="12"/>
      <c r="B406" s="12"/>
      <c r="C406" s="13"/>
      <c r="D406" s="13" t="s">
        <v>27</v>
      </c>
      <c r="E406" s="6" t="s">
        <v>25</v>
      </c>
      <c r="F406" s="14">
        <f>175</f>
        <v>175</v>
      </c>
      <c r="G406" s="15"/>
      <c r="H406" s="6"/>
      <c r="I406" s="14"/>
      <c r="J406" s="10">
        <f>ROUND(J405*(F406/100), 2)</f>
        <v>0.49</v>
      </c>
      <c r="K406" s="14">
        <f>157</f>
        <v>157</v>
      </c>
      <c r="L406" s="10">
        <f>ROUND(L405*(K406/100), 2)</f>
        <v>10.49</v>
      </c>
    </row>
    <row r="407" spans="1:22" ht="15" x14ac:dyDescent="0.25">
      <c r="I407" s="525">
        <f>J406+J405</f>
        <v>0.77</v>
      </c>
      <c r="J407" s="525"/>
      <c r="K407" s="525">
        <f>L406+L405</f>
        <v>17.170000000000002</v>
      </c>
      <c r="L407" s="525"/>
      <c r="O407" s="11">
        <f>I407</f>
        <v>0.77</v>
      </c>
      <c r="P407" s="11">
        <f>K407</f>
        <v>17.170000000000002</v>
      </c>
    </row>
    <row r="409" spans="1:22" ht="15" x14ac:dyDescent="0.25">
      <c r="A409" s="37"/>
      <c r="B409" s="37"/>
      <c r="C409" s="38"/>
      <c r="D409" s="38" t="s">
        <v>32</v>
      </c>
      <c r="E409" s="39"/>
      <c r="F409" s="40"/>
      <c r="G409" s="41"/>
      <c r="H409" s="42"/>
      <c r="I409" s="524">
        <f>I402+I407</f>
        <v>175.21</v>
      </c>
      <c r="J409" s="524"/>
      <c r="K409" s="524">
        <f>K402+K407</f>
        <v>2428.61</v>
      </c>
      <c r="L409" s="524"/>
    </row>
    <row r="410" spans="1:22" ht="57" x14ac:dyDescent="0.2">
      <c r="A410" s="4">
        <v>58</v>
      </c>
      <c r="B410" s="4" t="str">
        <f>[85]Source!E1262</f>
        <v>346</v>
      </c>
      <c r="C410" s="5" t="str">
        <f>[85]Source!F1262</f>
        <v>1.12-11-2</v>
      </c>
      <c r="D410" s="5" t="s">
        <v>151</v>
      </c>
      <c r="E410" s="6" t="str">
        <f>[85]Source!H1262</f>
        <v>шт.</v>
      </c>
      <c r="F410" s="2">
        <f>[85]Source!I1262</f>
        <v>1</v>
      </c>
      <c r="G410" s="7">
        <f>[85]Source!AL1262</f>
        <v>15.61</v>
      </c>
      <c r="H410" s="8" t="str">
        <f>[85]Source!DD1262</f>
        <v/>
      </c>
      <c r="I410" s="2">
        <f>[85]Source!AW1263</f>
        <v>1</v>
      </c>
      <c r="J410" s="25">
        <f>[85]Source!P1262</f>
        <v>15.61</v>
      </c>
      <c r="K410" s="2">
        <f>IF([85]Source!BC1263&lt;&gt; 0, [85]Source!BC1263, 1)</f>
        <v>3.35</v>
      </c>
      <c r="L410" s="25">
        <f>[85]Source!P1263</f>
        <v>52.29</v>
      </c>
      <c r="Q410">
        <f>[85]Source!X1262</f>
        <v>0</v>
      </c>
      <c r="R410">
        <f>[85]Source!X1263</f>
        <v>0</v>
      </c>
      <c r="S410">
        <f>[85]Source!Y1262</f>
        <v>0</v>
      </c>
      <c r="T410">
        <f>[85]Source!Y1263</f>
        <v>0</v>
      </c>
      <c r="U410">
        <f>ROUND((175/100)*ROUND([85]Source!R1262, 2), 2)</f>
        <v>0</v>
      </c>
      <c r="V410">
        <f>ROUND((157/100)*ROUND([85]Source!R1263, 2), 2)</f>
        <v>0</v>
      </c>
    </row>
    <row r="411" spans="1:22" ht="15" x14ac:dyDescent="0.25">
      <c r="A411" s="35"/>
      <c r="B411" s="35"/>
      <c r="C411" s="35"/>
      <c r="D411" s="35"/>
      <c r="E411" s="35"/>
      <c r="F411" s="35"/>
      <c r="G411" s="35"/>
      <c r="H411" s="35"/>
      <c r="I411" s="524">
        <f>J410</f>
        <v>15.61</v>
      </c>
      <c r="J411" s="524"/>
      <c r="K411" s="524">
        <f>L410</f>
        <v>52.29</v>
      </c>
      <c r="L411" s="524"/>
      <c r="O411" s="11">
        <f>J410</f>
        <v>15.61</v>
      </c>
      <c r="P411" s="11">
        <f>L410</f>
        <v>52.29</v>
      </c>
    </row>
    <row r="413" spans="1:22" ht="15" x14ac:dyDescent="0.25">
      <c r="A413" s="528" t="str">
        <f>CONCATENATE("Итого по разделу: ",IF([85]Source!G1283&lt;&gt;"Новый раздел", [85]Source!G1283, ""))</f>
        <v>Итого по разделу: Водоотвод из помещения КНС (пом. 4.23) (К1Н)</v>
      </c>
      <c r="B413" s="528"/>
      <c r="C413" s="528"/>
      <c r="D413" s="528"/>
      <c r="E413" s="528"/>
      <c r="F413" s="528"/>
      <c r="G413" s="528"/>
      <c r="H413" s="528"/>
      <c r="I413" s="526">
        <f>SUM(O349:O412)</f>
        <v>2170.5</v>
      </c>
      <c r="J413" s="527"/>
      <c r="K413" s="526">
        <f>SUM(P349:P412)</f>
        <v>14817.05</v>
      </c>
      <c r="L413" s="527"/>
    </row>
    <row r="414" spans="1:22" hidden="1" x14ac:dyDescent="0.2">
      <c r="A414" t="s">
        <v>48</v>
      </c>
      <c r="J414">
        <f>SUM(W349:W413)</f>
        <v>0</v>
      </c>
      <c r="K414">
        <f>SUM(X349:X413)</f>
        <v>0</v>
      </c>
    </row>
    <row r="415" spans="1:22" hidden="1" x14ac:dyDescent="0.2">
      <c r="A415" t="s">
        <v>49</v>
      </c>
      <c r="J415">
        <f>SUM(Y349:Y414)</f>
        <v>0</v>
      </c>
      <c r="K415">
        <f>SUM(Z349:Z414)</f>
        <v>0</v>
      </c>
    </row>
    <row r="417" spans="1:22" ht="16.5" x14ac:dyDescent="0.25">
      <c r="A417" s="514" t="str">
        <f>CONCATENATE("Раздел: ",IF([85]Source!G1312&lt;&gt;"Новый раздел", [85]Source!G1312, ""))</f>
        <v>Раздел: Водоотвод самотечный (К2)</v>
      </c>
      <c r="B417" s="514"/>
      <c r="C417" s="514"/>
      <c r="D417" s="514"/>
      <c r="E417" s="514"/>
      <c r="F417" s="514"/>
      <c r="G417" s="514"/>
      <c r="H417" s="514"/>
      <c r="I417" s="514"/>
      <c r="J417" s="514"/>
      <c r="K417" s="514"/>
      <c r="L417" s="514"/>
    </row>
    <row r="418" spans="1:22" ht="57" x14ac:dyDescent="0.2">
      <c r="A418" s="4">
        <v>59</v>
      </c>
      <c r="B418" s="4" t="str">
        <f>[85]Source!E1316</f>
        <v>354</v>
      </c>
      <c r="C418" s="5" t="str">
        <f>[85]Source!F1316</f>
        <v>3.16-5-2</v>
      </c>
      <c r="D418" s="5" t="s">
        <v>132</v>
      </c>
      <c r="E418" s="6" t="str">
        <f>[85]Source!H1316</f>
        <v>100 м трубопровода</v>
      </c>
      <c r="F418" s="2">
        <f>[85]Source!I1316</f>
        <v>0.48299999999999998</v>
      </c>
      <c r="G418" s="7"/>
      <c r="H418" s="8"/>
      <c r="I418" s="2"/>
      <c r="J418" s="25"/>
      <c r="K418" s="2"/>
      <c r="L418" s="25"/>
      <c r="Q418">
        <f>[85]Source!X1316</f>
        <v>1093.46</v>
      </c>
      <c r="R418">
        <f>[85]Source!X1317</f>
        <v>20941.990000000002</v>
      </c>
      <c r="S418">
        <f>[85]Source!Y1316</f>
        <v>822.28</v>
      </c>
      <c r="T418">
        <f>[85]Source!Y1317</f>
        <v>9423.9</v>
      </c>
      <c r="U418">
        <f>ROUND((175/100)*ROUND([85]Source!R1316, 2), 2)</f>
        <v>45.03</v>
      </c>
      <c r="V418">
        <f>ROUND((157/100)*ROUND([85]Source!R1317, 2), 2)</f>
        <v>967.09</v>
      </c>
    </row>
    <row r="419" spans="1:22" ht="14.25" x14ac:dyDescent="0.2">
      <c r="A419" s="4"/>
      <c r="B419" s="4"/>
      <c r="C419" s="5"/>
      <c r="D419" s="5" t="s">
        <v>20</v>
      </c>
      <c r="E419" s="6"/>
      <c r="F419" s="2"/>
      <c r="G419" s="7">
        <f>[85]Source!AO1316</f>
        <v>1016.4</v>
      </c>
      <c r="H419" s="8" t="str">
        <f>[85]Source!DG1316</f>
        <v>)*1,67</v>
      </c>
      <c r="I419" s="2">
        <f>[85]Source!AV1317</f>
        <v>1.0669999999999999</v>
      </c>
      <c r="J419" s="25">
        <f>[85]Source!S1316</f>
        <v>874.77</v>
      </c>
      <c r="K419" s="2">
        <f>IF([85]Source!BA1317&lt;&gt; 0, [85]Source!BA1317, 1)</f>
        <v>23.94</v>
      </c>
      <c r="L419" s="25">
        <f>[85]Source!S1317</f>
        <v>20941.990000000002</v>
      </c>
    </row>
    <row r="420" spans="1:22" ht="14.25" x14ac:dyDescent="0.2">
      <c r="A420" s="4"/>
      <c r="B420" s="4"/>
      <c r="C420" s="5"/>
      <c r="D420" s="5" t="s">
        <v>21</v>
      </c>
      <c r="E420" s="6"/>
      <c r="F420" s="2"/>
      <c r="G420" s="7">
        <f>[85]Source!AM1316</f>
        <v>126.55</v>
      </c>
      <c r="H420" s="8" t="str">
        <f>[85]Source!DE1316</f>
        <v/>
      </c>
      <c r="I420" s="2">
        <f>[85]Source!AV1317</f>
        <v>1.0669999999999999</v>
      </c>
      <c r="J420" s="25">
        <f>[85]Source!Q1316-J430</f>
        <v>65.22</v>
      </c>
      <c r="K420" s="2">
        <f>IF([85]Source!BB1317&lt;&gt; 0, [85]Source!BB1317, 1)</f>
        <v>9.74</v>
      </c>
      <c r="L420" s="25">
        <f>[85]Source!Q1317-L430</f>
        <v>635.14</v>
      </c>
    </row>
    <row r="421" spans="1:22" ht="14.25" x14ac:dyDescent="0.2">
      <c r="A421" s="4"/>
      <c r="B421" s="4"/>
      <c r="C421" s="5"/>
      <c r="D421" s="5" t="s">
        <v>22</v>
      </c>
      <c r="E421" s="6"/>
      <c r="F421" s="2"/>
      <c r="G421" s="7">
        <f>[85]Source!AN1316</f>
        <v>29.9</v>
      </c>
      <c r="H421" s="8" t="str">
        <f>[85]Source!DE1316</f>
        <v/>
      </c>
      <c r="I421" s="2">
        <f>[85]Source!AV1317</f>
        <v>1.0669999999999999</v>
      </c>
      <c r="J421" s="10">
        <f>[85]Source!R1316-J431</f>
        <v>15.41</v>
      </c>
      <c r="K421" s="2">
        <f>IF([85]Source!BS1317&lt;&gt; 0, [85]Source!BS1317, 1)</f>
        <v>23.94</v>
      </c>
      <c r="L421" s="10">
        <f>[85]Source!R1317-L431</f>
        <v>368.82</v>
      </c>
    </row>
    <row r="422" spans="1:22" ht="14.25" x14ac:dyDescent="0.2">
      <c r="A422" s="4"/>
      <c r="B422" s="4"/>
      <c r="C422" s="5"/>
      <c r="D422" s="5" t="s">
        <v>23</v>
      </c>
      <c r="E422" s="6"/>
      <c r="F422" s="2"/>
      <c r="G422" s="7">
        <f>[85]Source!AL1316</f>
        <v>197.05</v>
      </c>
      <c r="H422" s="8" t="str">
        <f>[85]Source!DD1316</f>
        <v/>
      </c>
      <c r="I422" s="2">
        <f>[85]Source!AW1317</f>
        <v>1</v>
      </c>
      <c r="J422" s="25">
        <f>[85]Source!P1316</f>
        <v>95.18</v>
      </c>
      <c r="K422" s="2">
        <f>IF([85]Source!BC1317&lt;&gt; 0, [85]Source!BC1317, 1)</f>
        <v>5.54</v>
      </c>
      <c r="L422" s="25">
        <f>[85]Source!P1317</f>
        <v>527.29999999999995</v>
      </c>
    </row>
    <row r="423" spans="1:22" ht="57" x14ac:dyDescent="0.2">
      <c r="A423" s="4">
        <v>60</v>
      </c>
      <c r="B423" s="4" t="str">
        <f>[85]Source!E1318</f>
        <v>354,1</v>
      </c>
      <c r="C423" s="5" t="str">
        <f>[85]Source!F1318</f>
        <v>1.12-1-69</v>
      </c>
      <c r="D423" s="5" t="s">
        <v>133</v>
      </c>
      <c r="E423" s="6" t="str">
        <f>[85]Source!H1318</f>
        <v>м</v>
      </c>
      <c r="F423" s="2">
        <f>[85]Source!I1318</f>
        <v>48.203400000000002</v>
      </c>
      <c r="G423" s="7">
        <f>[85]Source!AK1318</f>
        <v>129.19</v>
      </c>
      <c r="H423" s="36" t="s">
        <v>90</v>
      </c>
      <c r="I423" s="2">
        <f>[85]Source!AW1319</f>
        <v>1</v>
      </c>
      <c r="J423" s="25">
        <f>[85]Source!O1318</f>
        <v>6227.4</v>
      </c>
      <c r="K423" s="2">
        <f>IF([85]Source!BC1319&lt;&gt; 0, [85]Source!BC1319, 1)</f>
        <v>6.89</v>
      </c>
      <c r="L423" s="25">
        <f>[85]Source!O1319</f>
        <v>42906.79</v>
      </c>
      <c r="Q423">
        <f>[85]Source!X1318</f>
        <v>0</v>
      </c>
      <c r="R423">
        <f>[85]Source!X1319</f>
        <v>0</v>
      </c>
      <c r="S423">
        <f>[85]Source!Y1318</f>
        <v>0</v>
      </c>
      <c r="T423">
        <f>[85]Source!Y1319</f>
        <v>0</v>
      </c>
      <c r="U423">
        <f>ROUND((175/100)*ROUND([85]Source!R1318, 2), 2)</f>
        <v>0</v>
      </c>
      <c r="V423">
        <f>ROUND((157/100)*ROUND([85]Source!R1319, 2), 2)</f>
        <v>0</v>
      </c>
    </row>
    <row r="424" spans="1:22" ht="14.25" x14ac:dyDescent="0.2">
      <c r="A424" s="4"/>
      <c r="B424" s="4"/>
      <c r="C424" s="5"/>
      <c r="D424" s="5" t="s">
        <v>24</v>
      </c>
      <c r="E424" s="6" t="s">
        <v>25</v>
      </c>
      <c r="F424" s="2">
        <f>[85]Source!DN1317</f>
        <v>125</v>
      </c>
      <c r="G424" s="7"/>
      <c r="H424" s="8"/>
      <c r="I424" s="2"/>
      <c r="J424" s="25">
        <f>SUM(Q418:Q423)</f>
        <v>1093.46</v>
      </c>
      <c r="K424" s="2">
        <f>[85]Source!BZ1317</f>
        <v>100</v>
      </c>
      <c r="L424" s="25">
        <f>SUM(R418:R423)</f>
        <v>20941.990000000002</v>
      </c>
    </row>
    <row r="425" spans="1:22" ht="14.25" x14ac:dyDescent="0.2">
      <c r="A425" s="4"/>
      <c r="B425" s="4"/>
      <c r="C425" s="5"/>
      <c r="D425" s="5" t="s">
        <v>26</v>
      </c>
      <c r="E425" s="6" t="s">
        <v>25</v>
      </c>
      <c r="F425" s="2">
        <f>[85]Source!DO1317</f>
        <v>94</v>
      </c>
      <c r="G425" s="7"/>
      <c r="H425" s="8"/>
      <c r="I425" s="2"/>
      <c r="J425" s="25">
        <f>SUM(S418:S424)</f>
        <v>822.28</v>
      </c>
      <c r="K425" s="2">
        <f>[85]Source!CA1317</f>
        <v>45</v>
      </c>
      <c r="L425" s="25">
        <f>SUM(T418:T424)</f>
        <v>9423.9</v>
      </c>
    </row>
    <row r="426" spans="1:22" ht="14.25" x14ac:dyDescent="0.2">
      <c r="A426" s="4"/>
      <c r="B426" s="4"/>
      <c r="C426" s="5"/>
      <c r="D426" s="5" t="s">
        <v>27</v>
      </c>
      <c r="E426" s="6" t="s">
        <v>25</v>
      </c>
      <c r="F426" s="2">
        <f>175</f>
        <v>175</v>
      </c>
      <c r="G426" s="7"/>
      <c r="H426" s="8"/>
      <c r="I426" s="2"/>
      <c r="J426" s="25">
        <f>SUM(U418:U425)-J432</f>
        <v>26.97</v>
      </c>
      <c r="K426" s="2">
        <f>157</f>
        <v>157</v>
      </c>
      <c r="L426" s="25">
        <f>SUM(V418:V425)-L432</f>
        <v>579.04999999999995</v>
      </c>
    </row>
    <row r="427" spans="1:22" ht="14.25" x14ac:dyDescent="0.2">
      <c r="A427" s="4"/>
      <c r="B427" s="4"/>
      <c r="C427" s="5"/>
      <c r="D427" s="5" t="s">
        <v>28</v>
      </c>
      <c r="E427" s="6" t="s">
        <v>29</v>
      </c>
      <c r="F427" s="2">
        <f>[85]Source!AQ1316</f>
        <v>77</v>
      </c>
      <c r="G427" s="7"/>
      <c r="H427" s="8" t="str">
        <f>[85]Source!DI1316</f>
        <v/>
      </c>
      <c r="I427" s="2">
        <f>[85]Source!AV1317</f>
        <v>1.0669999999999999</v>
      </c>
      <c r="J427" s="25">
        <f>[85]Source!U1316</f>
        <v>39.68</v>
      </c>
      <c r="K427" s="2"/>
      <c r="L427" s="25"/>
    </row>
    <row r="428" spans="1:22" ht="15" x14ac:dyDescent="0.25">
      <c r="I428" s="525">
        <f>J419+J420+J422+J424+J425+J426+SUM(J423:J423)</f>
        <v>9205.2800000000007</v>
      </c>
      <c r="J428" s="525"/>
      <c r="K428" s="525">
        <f>L419+L420+L422+L424+L425+L426+SUM(L423:L423)</f>
        <v>95956.160000000003</v>
      </c>
      <c r="L428" s="525"/>
      <c r="O428" s="11">
        <f>J419+J420+J422+J424+J425+J426+SUM(J423:J423)</f>
        <v>9205.2800000000007</v>
      </c>
      <c r="P428" s="11">
        <f>L419+L420+L422+L424+L425+L426+SUM(L423:L423)</f>
        <v>95956.160000000003</v>
      </c>
    </row>
    <row r="429" spans="1:22" ht="28.5" x14ac:dyDescent="0.2">
      <c r="A429" s="12"/>
      <c r="B429" s="12"/>
      <c r="C429" s="13"/>
      <c r="D429" s="13" t="s">
        <v>30</v>
      </c>
      <c r="E429" s="6"/>
      <c r="F429" s="14"/>
      <c r="G429" s="15"/>
      <c r="H429" s="6"/>
      <c r="I429" s="14"/>
      <c r="J429" s="10"/>
      <c r="K429" s="14"/>
      <c r="L429" s="10"/>
    </row>
    <row r="430" spans="1:22" ht="14.25" x14ac:dyDescent="0.2">
      <c r="A430" s="12"/>
      <c r="B430" s="12"/>
      <c r="C430" s="13"/>
      <c r="D430" s="13" t="s">
        <v>21</v>
      </c>
      <c r="E430" s="6"/>
      <c r="F430" s="14"/>
      <c r="G430" s="15">
        <f t="shared" ref="G430:L430" si="17">G431</f>
        <v>29.9</v>
      </c>
      <c r="H430" s="16" t="str">
        <f t="shared" si="17"/>
        <v>)*(1.67-1)</v>
      </c>
      <c r="I430" s="14">
        <f t="shared" si="17"/>
        <v>1.0669999999999999</v>
      </c>
      <c r="J430" s="10">
        <f t="shared" si="17"/>
        <v>10.32</v>
      </c>
      <c r="K430" s="14">
        <f t="shared" si="17"/>
        <v>23.94</v>
      </c>
      <c r="L430" s="10">
        <f t="shared" si="17"/>
        <v>247.16</v>
      </c>
    </row>
    <row r="431" spans="1:22" ht="14.25" x14ac:dyDescent="0.2">
      <c r="A431" s="12"/>
      <c r="B431" s="12"/>
      <c r="C431" s="13"/>
      <c r="D431" s="13" t="s">
        <v>22</v>
      </c>
      <c r="E431" s="6"/>
      <c r="F431" s="14"/>
      <c r="G431" s="15">
        <f>[85]Source!AN1316</f>
        <v>29.9</v>
      </c>
      <c r="H431" s="16" t="s">
        <v>31</v>
      </c>
      <c r="I431" s="14">
        <f>[85]Source!AV1317</f>
        <v>1.0669999999999999</v>
      </c>
      <c r="J431" s="10">
        <f>ROUND(F418*G431*I431*(1.67-1), 2)</f>
        <v>10.32</v>
      </c>
      <c r="K431" s="14">
        <f>IF([85]Source!BS1317&lt;&gt; 0, [85]Source!BS1317, 1)</f>
        <v>23.94</v>
      </c>
      <c r="L431" s="10">
        <f>ROUND(F418*G431*I431*(1.67-1)*K431, 2)</f>
        <v>247.16</v>
      </c>
    </row>
    <row r="432" spans="1:22" ht="14.25" x14ac:dyDescent="0.2">
      <c r="A432" s="12"/>
      <c r="B432" s="12"/>
      <c r="C432" s="13"/>
      <c r="D432" s="13" t="s">
        <v>27</v>
      </c>
      <c r="E432" s="6" t="s">
        <v>25</v>
      </c>
      <c r="F432" s="14">
        <f>175</f>
        <v>175</v>
      </c>
      <c r="G432" s="15"/>
      <c r="H432" s="6"/>
      <c r="I432" s="14"/>
      <c r="J432" s="10">
        <f>ROUND(J431*(F432/100), 2)</f>
        <v>18.059999999999999</v>
      </c>
      <c r="K432" s="14">
        <f>157</f>
        <v>157</v>
      </c>
      <c r="L432" s="10">
        <f>ROUND(L431*(K432/100), 2)</f>
        <v>388.04</v>
      </c>
    </row>
    <row r="433" spans="1:22" ht="15" x14ac:dyDescent="0.25">
      <c r="I433" s="525">
        <f>J432+J431</f>
        <v>28.38</v>
      </c>
      <c r="J433" s="525"/>
      <c r="K433" s="525">
        <f>L432+L431</f>
        <v>635.20000000000005</v>
      </c>
      <c r="L433" s="525"/>
      <c r="O433" s="11">
        <f>I433</f>
        <v>28.38</v>
      </c>
      <c r="P433" s="11">
        <f>K433</f>
        <v>635.20000000000005</v>
      </c>
    </row>
    <row r="435" spans="1:22" ht="15" x14ac:dyDescent="0.25">
      <c r="A435" s="37"/>
      <c r="B435" s="37"/>
      <c r="C435" s="38"/>
      <c r="D435" s="38" t="s">
        <v>32</v>
      </c>
      <c r="E435" s="39"/>
      <c r="F435" s="40"/>
      <c r="G435" s="41"/>
      <c r="H435" s="42"/>
      <c r="I435" s="524">
        <f>I428+I433</f>
        <v>9233.66</v>
      </c>
      <c r="J435" s="524"/>
      <c r="K435" s="524">
        <f>K428+K433</f>
        <v>96591.360000000001</v>
      </c>
      <c r="L435" s="524"/>
    </row>
    <row r="436" spans="1:22" ht="42.75" x14ac:dyDescent="0.2">
      <c r="A436" s="4">
        <v>61</v>
      </c>
      <c r="B436" s="4" t="str">
        <f>[85]Source!E1340</f>
        <v>363</v>
      </c>
      <c r="C436" s="5" t="str">
        <f>[85]Source!F1340</f>
        <v>3.13-11-3</v>
      </c>
      <c r="D436" s="5" t="s">
        <v>158</v>
      </c>
      <c r="E436" s="6" t="str">
        <f>[85]Source!H1340</f>
        <v>100 м2</v>
      </c>
      <c r="F436" s="2">
        <f>[85]Source!I1340</f>
        <v>0.11</v>
      </c>
      <c r="G436" s="7"/>
      <c r="H436" s="8"/>
      <c r="I436" s="2"/>
      <c r="J436" s="25"/>
      <c r="K436" s="2"/>
      <c r="L436" s="25"/>
      <c r="Q436">
        <f>[85]Source!X1340</f>
        <v>11.92</v>
      </c>
      <c r="R436">
        <f>[85]Source!X1341</f>
        <v>230.96</v>
      </c>
      <c r="S436">
        <f>[85]Source!Y1340</f>
        <v>8.74</v>
      </c>
      <c r="T436">
        <f>[85]Source!Y1341</f>
        <v>111.41</v>
      </c>
      <c r="U436">
        <f>ROUND((175/100)*ROUND([85]Source!R1340, 2), 2)</f>
        <v>0.95</v>
      </c>
      <c r="V436">
        <f>ROUND((157/100)*ROUND([85]Source!R1341, 2), 2)</f>
        <v>20.3</v>
      </c>
    </row>
    <row r="437" spans="1:22" ht="14.25" x14ac:dyDescent="0.2">
      <c r="A437" s="4"/>
      <c r="B437" s="4"/>
      <c r="C437" s="5"/>
      <c r="D437" s="5" t="s">
        <v>20</v>
      </c>
      <c r="E437" s="6"/>
      <c r="F437" s="2"/>
      <c r="G437" s="7">
        <f>[85]Source!AO1340</f>
        <v>29.51</v>
      </c>
      <c r="H437" s="8" t="str">
        <f>[85]Source!DG1340</f>
        <v>*1,67*2</v>
      </c>
      <c r="I437" s="2">
        <f>[85]Source!AV1341</f>
        <v>1.0469999999999999</v>
      </c>
      <c r="J437" s="25">
        <f>[85]Source!S1340</f>
        <v>11.35</v>
      </c>
      <c r="K437" s="2">
        <f>IF([85]Source!BA1341&lt;&gt; 0, [85]Source!BA1341, 1)</f>
        <v>23.94</v>
      </c>
      <c r="L437" s="25">
        <f>[85]Source!S1341</f>
        <v>271.72000000000003</v>
      </c>
    </row>
    <row r="438" spans="1:22" ht="14.25" x14ac:dyDescent="0.2">
      <c r="A438" s="4"/>
      <c r="B438" s="4"/>
      <c r="C438" s="5"/>
      <c r="D438" s="5" t="s">
        <v>21</v>
      </c>
      <c r="E438" s="6"/>
      <c r="F438" s="2"/>
      <c r="G438" s="7">
        <f>[85]Source!AM1340</f>
        <v>13.49</v>
      </c>
      <c r="H438" s="8" t="str">
        <f>[85]Source!DE1340</f>
        <v>*2</v>
      </c>
      <c r="I438" s="2">
        <f>[85]Source!AV1341</f>
        <v>1.0469999999999999</v>
      </c>
      <c r="J438" s="25">
        <f>[85]Source!Q1340-J448</f>
        <v>3.11</v>
      </c>
      <c r="K438" s="2">
        <f>IF([85]Source!BB1341&lt;&gt; 0, [85]Source!BB1341, 1)</f>
        <v>6.41</v>
      </c>
      <c r="L438" s="25">
        <f>[85]Source!Q1341-L448</f>
        <v>20</v>
      </c>
    </row>
    <row r="439" spans="1:22" ht="14.25" x14ac:dyDescent="0.2">
      <c r="A439" s="4"/>
      <c r="B439" s="4"/>
      <c r="C439" s="5"/>
      <c r="D439" s="5" t="s">
        <v>22</v>
      </c>
      <c r="E439" s="6"/>
      <c r="F439" s="2"/>
      <c r="G439" s="7">
        <f>[85]Source!AN1340</f>
        <v>1.41</v>
      </c>
      <c r="H439" s="8" t="str">
        <f>[85]Source!DE1340</f>
        <v>*2</v>
      </c>
      <c r="I439" s="2">
        <f>[85]Source!AV1341</f>
        <v>1.0469999999999999</v>
      </c>
      <c r="J439" s="10">
        <f>[85]Source!R1340-J449</f>
        <v>0.32</v>
      </c>
      <c r="K439" s="2">
        <f>IF([85]Source!BS1341&lt;&gt; 0, [85]Source!BS1341, 1)</f>
        <v>23.94</v>
      </c>
      <c r="L439" s="10">
        <f>[85]Source!R1341-L449</f>
        <v>7.72</v>
      </c>
    </row>
    <row r="440" spans="1:22" ht="14.25" x14ac:dyDescent="0.2">
      <c r="A440" s="4"/>
      <c r="B440" s="4"/>
      <c r="C440" s="5"/>
      <c r="D440" s="5" t="s">
        <v>23</v>
      </c>
      <c r="E440" s="6"/>
      <c r="F440" s="2"/>
      <c r="G440" s="7">
        <f>[85]Source!AL1340</f>
        <v>103.14</v>
      </c>
      <c r="H440" s="8" t="str">
        <f>[85]Source!DD1340</f>
        <v>*2</v>
      </c>
      <c r="I440" s="2">
        <f>[85]Source!AW1341</f>
        <v>1</v>
      </c>
      <c r="J440" s="25">
        <f>[85]Source!P1340</f>
        <v>22.69</v>
      </c>
      <c r="K440" s="2">
        <f>IF([85]Source!BC1341&lt;&gt; 0, [85]Source!BC1341, 1)</f>
        <v>8.58</v>
      </c>
      <c r="L440" s="25">
        <f>[85]Source!P1341</f>
        <v>194.68</v>
      </c>
    </row>
    <row r="441" spans="1:22" ht="14.25" x14ac:dyDescent="0.2">
      <c r="A441" s="4">
        <v>62</v>
      </c>
      <c r="B441" s="4" t="str">
        <f>[85]Source!E1342</f>
        <v>363,1</v>
      </c>
      <c r="C441" s="5" t="str">
        <f>[85]Source!F1342</f>
        <v>1.1-1-455</v>
      </c>
      <c r="D441" s="5" t="s">
        <v>159</v>
      </c>
      <c r="E441" s="6" t="str">
        <f>[85]Source!H1342</f>
        <v>т</v>
      </c>
      <c r="F441" s="2">
        <f>[85]Source!I1342</f>
        <v>5.0600000000000003E-3</v>
      </c>
      <c r="G441" s="7">
        <f>[85]Source!AK1342</f>
        <v>10337.290000000001</v>
      </c>
      <c r="H441" s="36" t="s">
        <v>129</v>
      </c>
      <c r="I441" s="2">
        <f>[85]Source!AW1343</f>
        <v>1</v>
      </c>
      <c r="J441" s="25">
        <f>[85]Source!O1342</f>
        <v>52.31</v>
      </c>
      <c r="K441" s="2">
        <f>IF([85]Source!BC1343&lt;&gt; 0, [85]Source!BC1343, 1)</f>
        <v>9</v>
      </c>
      <c r="L441" s="25">
        <f>[85]Source!O1343</f>
        <v>470.79</v>
      </c>
      <c r="Q441">
        <f>[85]Source!X1342</f>
        <v>0</v>
      </c>
      <c r="R441">
        <f>[85]Source!X1343</f>
        <v>0</v>
      </c>
      <c r="S441">
        <f>[85]Source!Y1342</f>
        <v>0</v>
      </c>
      <c r="T441">
        <f>[85]Source!Y1343</f>
        <v>0</v>
      </c>
      <c r="U441">
        <f>ROUND((175/100)*ROUND([85]Source!R1342, 2), 2)</f>
        <v>0</v>
      </c>
      <c r="V441">
        <f>ROUND((157/100)*ROUND([85]Source!R1343, 2), 2)</f>
        <v>0</v>
      </c>
    </row>
    <row r="442" spans="1:22" ht="14.25" x14ac:dyDescent="0.2">
      <c r="A442" s="4"/>
      <c r="B442" s="4"/>
      <c r="C442" s="5"/>
      <c r="D442" s="5" t="s">
        <v>24</v>
      </c>
      <c r="E442" s="6" t="s">
        <v>25</v>
      </c>
      <c r="F442" s="2">
        <f>[85]Source!DN1341</f>
        <v>105</v>
      </c>
      <c r="G442" s="7"/>
      <c r="H442" s="8"/>
      <c r="I442" s="2"/>
      <c r="J442" s="25">
        <f>SUM(Q436:Q441)</f>
        <v>11.92</v>
      </c>
      <c r="K442" s="2">
        <f>[85]Source!BZ1341</f>
        <v>85</v>
      </c>
      <c r="L442" s="25">
        <f>SUM(R436:R441)</f>
        <v>230.96</v>
      </c>
    </row>
    <row r="443" spans="1:22" ht="14.25" x14ac:dyDescent="0.2">
      <c r="A443" s="4"/>
      <c r="B443" s="4"/>
      <c r="C443" s="5"/>
      <c r="D443" s="5" t="s">
        <v>26</v>
      </c>
      <c r="E443" s="6" t="s">
        <v>25</v>
      </c>
      <c r="F443" s="2">
        <f>[85]Source!DO1341</f>
        <v>77</v>
      </c>
      <c r="G443" s="7"/>
      <c r="H443" s="8"/>
      <c r="I443" s="2"/>
      <c r="J443" s="25">
        <f>SUM(S436:S442)</f>
        <v>8.74</v>
      </c>
      <c r="K443" s="2">
        <f>[85]Source!CA1341</f>
        <v>41</v>
      </c>
      <c r="L443" s="25">
        <f>SUM(T436:T442)</f>
        <v>111.41</v>
      </c>
    </row>
    <row r="444" spans="1:22" ht="14.25" x14ac:dyDescent="0.2">
      <c r="A444" s="4"/>
      <c r="B444" s="4"/>
      <c r="C444" s="5"/>
      <c r="D444" s="5" t="s">
        <v>27</v>
      </c>
      <c r="E444" s="6" t="s">
        <v>25</v>
      </c>
      <c r="F444" s="2">
        <f>175</f>
        <v>175</v>
      </c>
      <c r="G444" s="7"/>
      <c r="H444" s="8"/>
      <c r="I444" s="2"/>
      <c r="J444" s="25">
        <f>SUM(U436:U443)-J450</f>
        <v>0.56000000000000005</v>
      </c>
      <c r="K444" s="2">
        <f>157</f>
        <v>157</v>
      </c>
      <c r="L444" s="25">
        <f>SUM(V436:V443)-L450</f>
        <v>12.12</v>
      </c>
    </row>
    <row r="445" spans="1:22" ht="14.25" x14ac:dyDescent="0.2">
      <c r="A445" s="4"/>
      <c r="B445" s="4"/>
      <c r="C445" s="5"/>
      <c r="D445" s="5" t="s">
        <v>28</v>
      </c>
      <c r="E445" s="6" t="s">
        <v>29</v>
      </c>
      <c r="F445" s="2">
        <f>[85]Source!AQ1340</f>
        <v>2.48</v>
      </c>
      <c r="G445" s="7"/>
      <c r="H445" s="8" t="str">
        <f>[85]Source!DI1340</f>
        <v>*2</v>
      </c>
      <c r="I445" s="2">
        <f>[85]Source!AV1341</f>
        <v>1.0469999999999999</v>
      </c>
      <c r="J445" s="25">
        <f>[85]Source!U1340</f>
        <v>0.56999999999999995</v>
      </c>
      <c r="K445" s="2"/>
      <c r="L445" s="25"/>
    </row>
    <row r="446" spans="1:22" ht="15" x14ac:dyDescent="0.25">
      <c r="I446" s="525">
        <f>J437+J438+J440+J442+J443+J444+SUM(J441:J441)</f>
        <v>110.68</v>
      </c>
      <c r="J446" s="525"/>
      <c r="K446" s="525">
        <f>L437+L438+L440+L442+L443+L444+SUM(L441:L441)</f>
        <v>1311.68</v>
      </c>
      <c r="L446" s="525"/>
      <c r="O446" s="11">
        <f>J437+J438+J440+J442+J443+J444+SUM(J441:J441)</f>
        <v>110.68</v>
      </c>
      <c r="P446" s="11">
        <f>L437+L438+L440+L442+L443+L444+SUM(L441:L441)</f>
        <v>1311.68</v>
      </c>
    </row>
    <row r="447" spans="1:22" ht="28.5" x14ac:dyDescent="0.2">
      <c r="A447" s="12"/>
      <c r="B447" s="12"/>
      <c r="C447" s="13"/>
      <c r="D447" s="13" t="s">
        <v>30</v>
      </c>
      <c r="E447" s="6"/>
      <c r="F447" s="14"/>
      <c r="G447" s="15"/>
      <c r="H447" s="6"/>
      <c r="I447" s="14"/>
      <c r="J447" s="10"/>
      <c r="K447" s="14"/>
      <c r="L447" s="10"/>
    </row>
    <row r="448" spans="1:22" ht="14.25" x14ac:dyDescent="0.2">
      <c r="A448" s="12"/>
      <c r="B448" s="12"/>
      <c r="C448" s="13"/>
      <c r="D448" s="13" t="s">
        <v>21</v>
      </c>
      <c r="E448" s="6"/>
      <c r="F448" s="14"/>
      <c r="G448" s="15">
        <f t="shared" ref="G448:L448" si="18">G449</f>
        <v>1.41</v>
      </c>
      <c r="H448" s="16" t="str">
        <f t="shared" si="18"/>
        <v>)*(1.67-1)*2</v>
      </c>
      <c r="I448" s="14">
        <f t="shared" si="18"/>
        <v>1.0469999999999999</v>
      </c>
      <c r="J448" s="10">
        <f t="shared" si="18"/>
        <v>0.22</v>
      </c>
      <c r="K448" s="14">
        <f t="shared" si="18"/>
        <v>23.94</v>
      </c>
      <c r="L448" s="10">
        <f t="shared" si="18"/>
        <v>5.21</v>
      </c>
    </row>
    <row r="449" spans="1:22" ht="14.25" x14ac:dyDescent="0.2">
      <c r="A449" s="12"/>
      <c r="B449" s="12"/>
      <c r="C449" s="13"/>
      <c r="D449" s="13" t="s">
        <v>22</v>
      </c>
      <c r="E449" s="6"/>
      <c r="F449" s="14"/>
      <c r="G449" s="15">
        <f>[85]Source!AN1340</f>
        <v>1.41</v>
      </c>
      <c r="H449" s="16" t="s">
        <v>115</v>
      </c>
      <c r="I449" s="14">
        <f>[85]Source!AV1341</f>
        <v>1.0469999999999999</v>
      </c>
      <c r="J449" s="10">
        <f>ROUND(F436*G449*I449*(1.67-1)*2, 2)</f>
        <v>0.22</v>
      </c>
      <c r="K449" s="14">
        <f>IF([85]Source!BS1341&lt;&gt; 0, [85]Source!BS1341, 1)</f>
        <v>23.94</v>
      </c>
      <c r="L449" s="10">
        <f>ROUND(F436*G449*I449*(1.67-1)*2*K449, 2)</f>
        <v>5.21</v>
      </c>
    </row>
    <row r="450" spans="1:22" ht="14.25" x14ac:dyDescent="0.2">
      <c r="A450" s="12"/>
      <c r="B450" s="12"/>
      <c r="C450" s="13"/>
      <c r="D450" s="13" t="s">
        <v>27</v>
      </c>
      <c r="E450" s="6" t="s">
        <v>25</v>
      </c>
      <c r="F450" s="14">
        <f>175</f>
        <v>175</v>
      </c>
      <c r="G450" s="15"/>
      <c r="H450" s="6"/>
      <c r="I450" s="14"/>
      <c r="J450" s="10">
        <f>ROUND(J449*(F450/100), 2)</f>
        <v>0.39</v>
      </c>
      <c r="K450" s="14">
        <f>157</f>
        <v>157</v>
      </c>
      <c r="L450" s="10">
        <f>ROUND(L449*(K450/100), 2)</f>
        <v>8.18</v>
      </c>
    </row>
    <row r="451" spans="1:22" ht="15" x14ac:dyDescent="0.25">
      <c r="I451" s="525">
        <f>J450+J449</f>
        <v>0.61</v>
      </c>
      <c r="J451" s="525"/>
      <c r="K451" s="525">
        <f>L450+L449</f>
        <v>13.39</v>
      </c>
      <c r="L451" s="525"/>
      <c r="O451" s="11">
        <f>I451</f>
        <v>0.61</v>
      </c>
      <c r="P451" s="11">
        <f>K451</f>
        <v>13.39</v>
      </c>
    </row>
    <row r="453" spans="1:22" ht="15" x14ac:dyDescent="0.25">
      <c r="A453" s="37"/>
      <c r="B453" s="37"/>
      <c r="C453" s="38"/>
      <c r="D453" s="38" t="s">
        <v>32</v>
      </c>
      <c r="E453" s="39"/>
      <c r="F453" s="40"/>
      <c r="G453" s="41"/>
      <c r="H453" s="42"/>
      <c r="I453" s="524">
        <f>I446+I451</f>
        <v>111.29</v>
      </c>
      <c r="J453" s="524"/>
      <c r="K453" s="524">
        <f>K446+K451</f>
        <v>1325.07</v>
      </c>
      <c r="L453" s="524"/>
    </row>
    <row r="454" spans="1:22" ht="57" x14ac:dyDescent="0.2">
      <c r="A454" s="4">
        <v>63</v>
      </c>
      <c r="B454" s="4" t="str">
        <f>[85]Source!E1358</f>
        <v>371</v>
      </c>
      <c r="C454" s="5" t="str">
        <f>[85]Source!F1358</f>
        <v>3.13-11-6</v>
      </c>
      <c r="D454" s="5" t="s">
        <v>128</v>
      </c>
      <c r="E454" s="6" t="str">
        <f>[85]Source!H1358</f>
        <v>100 м2</v>
      </c>
      <c r="F454" s="2">
        <f>[85]Source!I1358</f>
        <v>5.5500000000000001E-2</v>
      </c>
      <c r="G454" s="7"/>
      <c r="H454" s="8"/>
      <c r="I454" s="2"/>
      <c r="J454" s="25"/>
      <c r="K454" s="2"/>
      <c r="L454" s="25"/>
      <c r="Q454">
        <f>[85]Source!X1358</f>
        <v>6.16</v>
      </c>
      <c r="R454">
        <f>[85]Source!X1359</f>
        <v>119.45</v>
      </c>
      <c r="S454">
        <f>[85]Source!Y1358</f>
        <v>4.5199999999999996</v>
      </c>
      <c r="T454">
        <f>[85]Source!Y1359</f>
        <v>57.62</v>
      </c>
      <c r="U454">
        <f>ROUND((175/100)*ROUND([85]Source!R1358, 2), 2)</f>
        <v>0.75</v>
      </c>
      <c r="V454">
        <f>ROUND((157/100)*ROUND([85]Source!R1359, 2), 2)</f>
        <v>16.16</v>
      </c>
    </row>
    <row r="455" spans="1:22" ht="14.25" x14ac:dyDescent="0.2">
      <c r="A455" s="4"/>
      <c r="B455" s="4"/>
      <c r="C455" s="5"/>
      <c r="D455" s="5" t="s">
        <v>20</v>
      </c>
      <c r="E455" s="6"/>
      <c r="F455" s="2"/>
      <c r="G455" s="7">
        <f>[85]Source!AO1358</f>
        <v>30.23</v>
      </c>
      <c r="H455" s="8" t="str">
        <f>[85]Source!DG1358</f>
        <v>)*2)*1,67</v>
      </c>
      <c r="I455" s="2">
        <f>[85]Source!AV1359</f>
        <v>1.0469999999999999</v>
      </c>
      <c r="J455" s="25">
        <f>[85]Source!S1358</f>
        <v>5.87</v>
      </c>
      <c r="K455" s="2">
        <f>IF([85]Source!BA1359&lt;&gt; 0, [85]Source!BA1359, 1)</f>
        <v>23.94</v>
      </c>
      <c r="L455" s="25">
        <f>[85]Source!S1359</f>
        <v>140.53</v>
      </c>
    </row>
    <row r="456" spans="1:22" ht="14.25" x14ac:dyDescent="0.2">
      <c r="A456" s="4"/>
      <c r="B456" s="4"/>
      <c r="C456" s="5"/>
      <c r="D456" s="5" t="s">
        <v>21</v>
      </c>
      <c r="E456" s="6"/>
      <c r="F456" s="2"/>
      <c r="G456" s="7">
        <f>[85]Source!AM1358</f>
        <v>22.38</v>
      </c>
      <c r="H456" s="8" t="str">
        <f>[85]Source!DE1358</f>
        <v>)*2</v>
      </c>
      <c r="I456" s="2">
        <f>[85]Source!AV1359</f>
        <v>1.0469999999999999</v>
      </c>
      <c r="J456" s="25">
        <f>[85]Source!Q1358-J466</f>
        <v>2.6</v>
      </c>
      <c r="K456" s="2">
        <f>IF([85]Source!BB1359&lt;&gt; 0, [85]Source!BB1359, 1)</f>
        <v>6.27</v>
      </c>
      <c r="L456" s="25">
        <f>[85]Source!Q1359-L466</f>
        <v>16.23</v>
      </c>
    </row>
    <row r="457" spans="1:22" ht="14.25" x14ac:dyDescent="0.2">
      <c r="A457" s="4"/>
      <c r="B457" s="4"/>
      <c r="C457" s="5"/>
      <c r="D457" s="5" t="s">
        <v>22</v>
      </c>
      <c r="E457" s="6"/>
      <c r="F457" s="2"/>
      <c r="G457" s="7">
        <f>[85]Source!AN1358</f>
        <v>2.2200000000000002</v>
      </c>
      <c r="H457" s="8" t="str">
        <f>[85]Source!DE1358</f>
        <v>)*2</v>
      </c>
      <c r="I457" s="2">
        <f>[85]Source!AV1359</f>
        <v>1.0469999999999999</v>
      </c>
      <c r="J457" s="10">
        <f>[85]Source!R1358-J467</f>
        <v>0.26</v>
      </c>
      <c r="K457" s="2">
        <f>IF([85]Source!BS1359&lt;&gt; 0, [85]Source!BS1359, 1)</f>
        <v>23.94</v>
      </c>
      <c r="L457" s="10">
        <f>[85]Source!R1359-L467</f>
        <v>6.15</v>
      </c>
    </row>
    <row r="458" spans="1:22" ht="14.25" x14ac:dyDescent="0.2">
      <c r="A458" s="4"/>
      <c r="B458" s="4"/>
      <c r="C458" s="5"/>
      <c r="D458" s="5" t="s">
        <v>23</v>
      </c>
      <c r="E458" s="6"/>
      <c r="F458" s="2"/>
      <c r="G458" s="7">
        <f>[85]Source!AL1358</f>
        <v>20.16</v>
      </c>
      <c r="H458" s="8" t="str">
        <f>[85]Source!DD1358</f>
        <v>)*2</v>
      </c>
      <c r="I458" s="2">
        <f>[85]Source!AW1359</f>
        <v>1</v>
      </c>
      <c r="J458" s="25">
        <f>[85]Source!P1358</f>
        <v>2.2400000000000002</v>
      </c>
      <c r="K458" s="2">
        <f>IF([85]Source!BC1359&lt;&gt; 0, [85]Source!BC1359, 1)</f>
        <v>8.16</v>
      </c>
      <c r="L458" s="25">
        <f>[85]Source!P1359</f>
        <v>18.28</v>
      </c>
    </row>
    <row r="459" spans="1:22" ht="57" x14ac:dyDescent="0.2">
      <c r="A459" s="4">
        <v>64</v>
      </c>
      <c r="B459" s="4" t="str">
        <f>[85]Source!E1360</f>
        <v>371,1</v>
      </c>
      <c r="C459" s="5" t="str">
        <f>[85]Source!F1360</f>
        <v>1.1-1-413</v>
      </c>
      <c r="D459" s="5" t="s">
        <v>114</v>
      </c>
      <c r="E459" s="6" t="str">
        <f>[85]Source!H1360</f>
        <v>кг</v>
      </c>
      <c r="F459" s="2">
        <f>[85]Source!I1360</f>
        <v>1.998</v>
      </c>
      <c r="G459" s="7">
        <f>[85]Source!AK1360</f>
        <v>47.9</v>
      </c>
      <c r="H459" s="36" t="s">
        <v>176</v>
      </c>
      <c r="I459" s="2">
        <f>[85]Source!AW1361</f>
        <v>1</v>
      </c>
      <c r="J459" s="25">
        <f>[85]Source!O1360</f>
        <v>191.41</v>
      </c>
      <c r="K459" s="2">
        <f>IF([85]Source!BC1361&lt;&gt; 0, [85]Source!BC1361, 1)</f>
        <v>2.64</v>
      </c>
      <c r="L459" s="25">
        <f>[85]Source!O1361</f>
        <v>505.32</v>
      </c>
      <c r="Q459">
        <f>[85]Source!X1360</f>
        <v>0</v>
      </c>
      <c r="R459">
        <f>[85]Source!X1361</f>
        <v>0</v>
      </c>
      <c r="S459">
        <f>[85]Source!Y1360</f>
        <v>0</v>
      </c>
      <c r="T459">
        <f>[85]Source!Y1361</f>
        <v>0</v>
      </c>
      <c r="U459">
        <f>ROUND((175/100)*ROUND([85]Source!R1360, 2), 2)</f>
        <v>0</v>
      </c>
      <c r="V459">
        <f>ROUND((157/100)*ROUND([85]Source!R1361, 2), 2)</f>
        <v>0</v>
      </c>
    </row>
    <row r="460" spans="1:22" ht="14.25" x14ac:dyDescent="0.2">
      <c r="A460" s="4"/>
      <c r="B460" s="4"/>
      <c r="C460" s="5"/>
      <c r="D460" s="5" t="s">
        <v>24</v>
      </c>
      <c r="E460" s="6" t="s">
        <v>25</v>
      </c>
      <c r="F460" s="2">
        <f>[85]Source!DN1359</f>
        <v>105</v>
      </c>
      <c r="G460" s="7"/>
      <c r="H460" s="8"/>
      <c r="I460" s="2"/>
      <c r="J460" s="25">
        <f>SUM(Q454:Q459)</f>
        <v>6.16</v>
      </c>
      <c r="K460" s="2">
        <f>[85]Source!BZ1359</f>
        <v>85</v>
      </c>
      <c r="L460" s="25">
        <f>SUM(R454:R459)</f>
        <v>119.45</v>
      </c>
    </row>
    <row r="461" spans="1:22" ht="14.25" x14ac:dyDescent="0.2">
      <c r="A461" s="4"/>
      <c r="B461" s="4"/>
      <c r="C461" s="5"/>
      <c r="D461" s="5" t="s">
        <v>26</v>
      </c>
      <c r="E461" s="6" t="s">
        <v>25</v>
      </c>
      <c r="F461" s="2">
        <f>[85]Source!DO1359</f>
        <v>77</v>
      </c>
      <c r="G461" s="7"/>
      <c r="H461" s="8"/>
      <c r="I461" s="2"/>
      <c r="J461" s="25">
        <f>SUM(S454:S460)</f>
        <v>4.5199999999999996</v>
      </c>
      <c r="K461" s="2">
        <f>[85]Source!CA1359</f>
        <v>41</v>
      </c>
      <c r="L461" s="25">
        <f>SUM(T454:T460)</f>
        <v>57.62</v>
      </c>
    </row>
    <row r="462" spans="1:22" ht="14.25" x14ac:dyDescent="0.2">
      <c r="A462" s="4"/>
      <c r="B462" s="4"/>
      <c r="C462" s="5"/>
      <c r="D462" s="5" t="s">
        <v>27</v>
      </c>
      <c r="E462" s="6" t="s">
        <v>25</v>
      </c>
      <c r="F462" s="2">
        <f>175</f>
        <v>175</v>
      </c>
      <c r="G462" s="7"/>
      <c r="H462" s="8"/>
      <c r="I462" s="2"/>
      <c r="J462" s="25">
        <f>SUM(U454:U461)-J468</f>
        <v>0.45</v>
      </c>
      <c r="K462" s="2">
        <f>157</f>
        <v>157</v>
      </c>
      <c r="L462" s="25">
        <f>SUM(V454:V461)-L468</f>
        <v>9.66</v>
      </c>
    </row>
    <row r="463" spans="1:22" ht="14.25" x14ac:dyDescent="0.2">
      <c r="A463" s="4"/>
      <c r="B463" s="4"/>
      <c r="C463" s="5"/>
      <c r="D463" s="5" t="s">
        <v>28</v>
      </c>
      <c r="E463" s="6" t="s">
        <v>29</v>
      </c>
      <c r="F463" s="2">
        <f>[85]Source!AQ1358</f>
        <v>2.54</v>
      </c>
      <c r="G463" s="7"/>
      <c r="H463" s="8" t="str">
        <f>[85]Source!DI1358</f>
        <v>)*2</v>
      </c>
      <c r="I463" s="2">
        <f>[85]Source!AV1359</f>
        <v>1.0469999999999999</v>
      </c>
      <c r="J463" s="25">
        <f>[85]Source!U1358</f>
        <v>0.3</v>
      </c>
      <c r="K463" s="2"/>
      <c r="L463" s="25"/>
    </row>
    <row r="464" spans="1:22" ht="15" x14ac:dyDescent="0.25">
      <c r="I464" s="525">
        <f>J455+J456+J458+J460+J461+J462+SUM(J459:J459)</f>
        <v>213.25</v>
      </c>
      <c r="J464" s="525"/>
      <c r="K464" s="525">
        <f>L455+L456+L458+L460+L461+L462+SUM(L459:L459)</f>
        <v>867.09</v>
      </c>
      <c r="L464" s="525"/>
      <c r="O464" s="11">
        <f>J455+J456+J458+J460+J461+J462+SUM(J459:J459)</f>
        <v>213.25</v>
      </c>
      <c r="P464" s="11">
        <f>L455+L456+L458+L460+L461+L462+SUM(L459:L459)</f>
        <v>867.09</v>
      </c>
    </row>
    <row r="465" spans="1:22" ht="28.5" x14ac:dyDescent="0.2">
      <c r="A465" s="12"/>
      <c r="B465" s="12"/>
      <c r="C465" s="13"/>
      <c r="D465" s="13" t="s">
        <v>30</v>
      </c>
      <c r="E465" s="6"/>
      <c r="F465" s="14"/>
      <c r="G465" s="15"/>
      <c r="H465" s="6"/>
      <c r="I465" s="14"/>
      <c r="J465" s="10"/>
      <c r="K465" s="14"/>
      <c r="L465" s="10"/>
    </row>
    <row r="466" spans="1:22" ht="14.25" x14ac:dyDescent="0.2">
      <c r="A466" s="12"/>
      <c r="B466" s="12"/>
      <c r="C466" s="13"/>
      <c r="D466" s="13" t="s">
        <v>21</v>
      </c>
      <c r="E466" s="6"/>
      <c r="F466" s="14"/>
      <c r="G466" s="15">
        <f t="shared" ref="G466:L466" si="19">G467</f>
        <v>2.2200000000000002</v>
      </c>
      <c r="H466" s="16" t="str">
        <f t="shared" si="19"/>
        <v>)*(1.67-1)*2</v>
      </c>
      <c r="I466" s="14">
        <f t="shared" si="19"/>
        <v>1.0469999999999999</v>
      </c>
      <c r="J466" s="10">
        <f t="shared" si="19"/>
        <v>0.17</v>
      </c>
      <c r="K466" s="14">
        <f t="shared" si="19"/>
        <v>23.94</v>
      </c>
      <c r="L466" s="10">
        <f t="shared" si="19"/>
        <v>4.1399999999999997</v>
      </c>
    </row>
    <row r="467" spans="1:22" ht="14.25" x14ac:dyDescent="0.2">
      <c r="A467" s="12"/>
      <c r="B467" s="12"/>
      <c r="C467" s="13"/>
      <c r="D467" s="13" t="s">
        <v>22</v>
      </c>
      <c r="E467" s="6"/>
      <c r="F467" s="14"/>
      <c r="G467" s="15">
        <f>[85]Source!AN1358</f>
        <v>2.2200000000000002</v>
      </c>
      <c r="H467" s="16" t="s">
        <v>115</v>
      </c>
      <c r="I467" s="14">
        <f>[85]Source!AV1359</f>
        <v>1.0469999999999999</v>
      </c>
      <c r="J467" s="10">
        <f>ROUND(F454*G467*I467*(1.67-1)*2, 2)</f>
        <v>0.17</v>
      </c>
      <c r="K467" s="14">
        <f>IF([85]Source!BS1359&lt;&gt; 0, [85]Source!BS1359, 1)</f>
        <v>23.94</v>
      </c>
      <c r="L467" s="10">
        <f>ROUND(F454*G467*I467*(1.67-1)*2*K467, 2)</f>
        <v>4.1399999999999997</v>
      </c>
    </row>
    <row r="468" spans="1:22" ht="14.25" x14ac:dyDescent="0.2">
      <c r="A468" s="12"/>
      <c r="B468" s="12"/>
      <c r="C468" s="13"/>
      <c r="D468" s="13" t="s">
        <v>27</v>
      </c>
      <c r="E468" s="6" t="s">
        <v>25</v>
      </c>
      <c r="F468" s="14">
        <f>175</f>
        <v>175</v>
      </c>
      <c r="G468" s="15"/>
      <c r="H468" s="6"/>
      <c r="I468" s="14"/>
      <c r="J468" s="10">
        <f>ROUND(J467*(F468/100), 2)</f>
        <v>0.3</v>
      </c>
      <c r="K468" s="14">
        <f>157</f>
        <v>157</v>
      </c>
      <c r="L468" s="10">
        <f>ROUND(L467*(K468/100), 2)</f>
        <v>6.5</v>
      </c>
    </row>
    <row r="469" spans="1:22" ht="15" x14ac:dyDescent="0.25">
      <c r="I469" s="525">
        <f>J468+J467</f>
        <v>0.47</v>
      </c>
      <c r="J469" s="525"/>
      <c r="K469" s="525">
        <f>L468+L467</f>
        <v>10.64</v>
      </c>
      <c r="L469" s="525"/>
      <c r="O469" s="11">
        <f>I469</f>
        <v>0.47</v>
      </c>
      <c r="P469" s="11">
        <f>K469</f>
        <v>10.64</v>
      </c>
    </row>
    <row r="471" spans="1:22" ht="15" x14ac:dyDescent="0.25">
      <c r="A471" s="37"/>
      <c r="B471" s="37"/>
      <c r="C471" s="38"/>
      <c r="D471" s="38" t="s">
        <v>32</v>
      </c>
      <c r="E471" s="39"/>
      <c r="F471" s="40"/>
      <c r="G471" s="41"/>
      <c r="H471" s="42"/>
      <c r="I471" s="524">
        <f>I464+I469</f>
        <v>213.72</v>
      </c>
      <c r="J471" s="524"/>
      <c r="K471" s="524">
        <f>K464+K469</f>
        <v>877.73</v>
      </c>
      <c r="L471" s="524"/>
    </row>
    <row r="472" spans="1:22" ht="92.25" customHeight="1" x14ac:dyDescent="0.2">
      <c r="A472" s="4">
        <v>65</v>
      </c>
      <c r="B472" s="4" t="str">
        <f>[85]Source!E1362</f>
        <v>372</v>
      </c>
      <c r="C472" s="5" t="str">
        <f>[85]Source!F1362</f>
        <v>1.6-1-269</v>
      </c>
      <c r="D472" s="5" t="s">
        <v>116</v>
      </c>
      <c r="E472" s="6" t="str">
        <f>[85]Source!H1362</f>
        <v>т</v>
      </c>
      <c r="F472" s="2">
        <f>[85]Source!I1362</f>
        <v>0.08</v>
      </c>
      <c r="G472" s="7">
        <f>[85]Source!AL1362</f>
        <v>12416.1</v>
      </c>
      <c r="H472" s="8" t="str">
        <f>[85]Source!DD1362</f>
        <v/>
      </c>
      <c r="I472" s="2">
        <f>[85]Source!AW1363</f>
        <v>1</v>
      </c>
      <c r="J472" s="25">
        <f>[85]Source!P1362</f>
        <v>993.29</v>
      </c>
      <c r="K472" s="2">
        <f>IF([85]Source!BC1363&lt;&gt; 0, [85]Source!BC1363, 1)</f>
        <v>6.7</v>
      </c>
      <c r="L472" s="25">
        <f>[85]Source!P1363</f>
        <v>6655.04</v>
      </c>
      <c r="Q472">
        <f>[85]Source!X1362</f>
        <v>0</v>
      </c>
      <c r="R472">
        <f>[85]Source!X1363</f>
        <v>0</v>
      </c>
      <c r="S472">
        <f>[85]Source!Y1362</f>
        <v>0</v>
      </c>
      <c r="T472">
        <f>[85]Source!Y1363</f>
        <v>0</v>
      </c>
      <c r="U472">
        <f>ROUND((175/100)*ROUND([85]Source!R1362, 2), 2)</f>
        <v>0</v>
      </c>
      <c r="V472">
        <f>ROUND((157/100)*ROUND([85]Source!R1363, 2), 2)</f>
        <v>0</v>
      </c>
    </row>
    <row r="473" spans="1:22" ht="15" x14ac:dyDescent="0.25">
      <c r="A473" s="35"/>
      <c r="B473" s="35"/>
      <c r="C473" s="35"/>
      <c r="D473" s="35"/>
      <c r="E473" s="35"/>
      <c r="F473" s="35"/>
      <c r="G473" s="35"/>
      <c r="H473" s="35"/>
      <c r="I473" s="524">
        <f>J472</f>
        <v>993.29</v>
      </c>
      <c r="J473" s="524"/>
      <c r="K473" s="524">
        <f>L472</f>
        <v>6655.04</v>
      </c>
      <c r="L473" s="524"/>
      <c r="O473" s="11">
        <f>J472</f>
        <v>993.29</v>
      </c>
      <c r="P473" s="11">
        <f>L472</f>
        <v>6655.04</v>
      </c>
    </row>
    <row r="474" spans="1:22" ht="138.75" customHeight="1" x14ac:dyDescent="0.2">
      <c r="A474" s="4">
        <v>66</v>
      </c>
      <c r="B474" s="4" t="str">
        <f>[85]Source!E1364</f>
        <v>373</v>
      </c>
      <c r="C474" s="5" t="str">
        <f>[85]Source!F1364</f>
        <v>1.7-5-155</v>
      </c>
      <c r="D474" s="5" t="s">
        <v>130</v>
      </c>
      <c r="E474" s="6" t="str">
        <f>[85]Source!H1364</f>
        <v>шт.</v>
      </c>
      <c r="F474" s="2">
        <f>[85]Source!I1364</f>
        <v>78</v>
      </c>
      <c r="G474" s="7">
        <f>[85]Source!AL1364</f>
        <v>25.33</v>
      </c>
      <c r="H474" s="8" t="str">
        <f>[85]Source!DD1364</f>
        <v/>
      </c>
      <c r="I474" s="2">
        <f>[85]Source!AW1365</f>
        <v>1</v>
      </c>
      <c r="J474" s="25">
        <f>[85]Source!P1364</f>
        <v>1975.74</v>
      </c>
      <c r="K474" s="2">
        <f>IF([85]Source!BC1365&lt;&gt; 0, [85]Source!BC1365, 1)</f>
        <v>5.0999999999999996</v>
      </c>
      <c r="L474" s="25">
        <f>[85]Source!P1365</f>
        <v>10076.27</v>
      </c>
      <c r="Q474">
        <f>[85]Source!X1364</f>
        <v>0</v>
      </c>
      <c r="R474">
        <f>[85]Source!X1365</f>
        <v>0</v>
      </c>
      <c r="S474">
        <f>[85]Source!Y1364</f>
        <v>0</v>
      </c>
      <c r="T474">
        <f>[85]Source!Y1365</f>
        <v>0</v>
      </c>
      <c r="U474">
        <f>ROUND((175/100)*ROUND([85]Source!R1364, 2), 2)</f>
        <v>0</v>
      </c>
      <c r="V474">
        <f>ROUND((157/100)*ROUND([85]Source!R1365, 2), 2)</f>
        <v>0</v>
      </c>
    </row>
    <row r="475" spans="1:22" ht="15" x14ac:dyDescent="0.25">
      <c r="A475" s="35"/>
      <c r="B475" s="35"/>
      <c r="C475" s="35"/>
      <c r="D475" s="35"/>
      <c r="E475" s="35"/>
      <c r="F475" s="35"/>
      <c r="G475" s="35"/>
      <c r="H475" s="35"/>
      <c r="I475" s="524">
        <f>J474</f>
        <v>1975.74</v>
      </c>
      <c r="J475" s="524"/>
      <c r="K475" s="524">
        <f>L474</f>
        <v>10076.27</v>
      </c>
      <c r="L475" s="524"/>
      <c r="O475" s="11">
        <f>J474</f>
        <v>1975.74</v>
      </c>
      <c r="P475" s="11">
        <f>L474</f>
        <v>10076.27</v>
      </c>
    </row>
    <row r="477" spans="1:22" ht="15" x14ac:dyDescent="0.25">
      <c r="A477" s="528" t="str">
        <f>CONCATENATE("Итого по разделу: ",IF([85]Source!G1369&lt;&gt;"Новый раздел", [85]Source!G1369, ""))</f>
        <v>Итого по разделу: Водоотвод самотечный (К2)</v>
      </c>
      <c r="B477" s="528"/>
      <c r="C477" s="528"/>
      <c r="D477" s="528"/>
      <c r="E477" s="528"/>
      <c r="F477" s="528"/>
      <c r="G477" s="528"/>
      <c r="H477" s="528"/>
      <c r="I477" s="526">
        <f>SUM(O417:O476)</f>
        <v>12527.7</v>
      </c>
      <c r="J477" s="527"/>
      <c r="K477" s="526">
        <f>SUM(P417:P476)</f>
        <v>115525.47</v>
      </c>
      <c r="L477" s="527"/>
    </row>
    <row r="478" spans="1:22" hidden="1" x14ac:dyDescent="0.2">
      <c r="A478" t="s">
        <v>48</v>
      </c>
      <c r="J478">
        <f>SUM(W417:W477)</f>
        <v>0</v>
      </c>
      <c r="K478">
        <f>SUM(X417:X477)</f>
        <v>0</v>
      </c>
    </row>
    <row r="479" spans="1:22" hidden="1" x14ac:dyDescent="0.2">
      <c r="A479" t="s">
        <v>49</v>
      </c>
      <c r="J479">
        <f>SUM(Y417:Y478)</f>
        <v>0</v>
      </c>
      <c r="K479">
        <f>SUM(Z417:Z478)</f>
        <v>0</v>
      </c>
    </row>
    <row r="481" spans="1:256" ht="30" x14ac:dyDescent="0.25">
      <c r="A481" s="528" t="str">
        <f>CONCATENATE("Итого по локальной смете: ",IF([85]Source!G2508&lt;&gt;"Новая локальная смета", [85]Source!G2508, ""))</f>
        <v>Итого по локальной смете: Платформенная часть. Внутренние инженерные системы. Водоснабжение и водоотведение</v>
      </c>
      <c r="B481" s="528"/>
      <c r="C481" s="528"/>
      <c r="D481" s="528"/>
      <c r="E481" s="528"/>
      <c r="F481" s="528"/>
      <c r="G481" s="528"/>
      <c r="H481" s="528"/>
      <c r="I481" s="526">
        <f>SUM(O19:O480)</f>
        <v>186101.67</v>
      </c>
      <c r="J481" s="527"/>
      <c r="K481" s="526">
        <f>SUM(P19:P480)</f>
        <v>1088939.22</v>
      </c>
      <c r="L481" s="527"/>
      <c r="AF481" s="26" t="str">
        <f>CONCATENATE("Итого по локальной смете: ",IF([85]Source!G2508&lt;&gt;"Новая локальная смета", [85]Source!G2508, ""))</f>
        <v>Итого по локальной смете: Платформенная часть. Внутренние инженерные системы. Водоснабжение и водоотведение</v>
      </c>
    </row>
    <row r="482" spans="1:256" hidden="1" x14ac:dyDescent="0.2">
      <c r="A482" t="s">
        <v>48</v>
      </c>
      <c r="J482">
        <f>SUM(W19:W481)</f>
        <v>0</v>
      </c>
      <c r="K482">
        <f>SUM(X19:X481)</f>
        <v>0</v>
      </c>
    </row>
    <row r="483" spans="1:256" hidden="1" x14ac:dyDescent="0.2">
      <c r="A483" t="s">
        <v>49</v>
      </c>
      <c r="J483">
        <f>SUM(Y19:Y482)</f>
        <v>0</v>
      </c>
      <c r="K483">
        <f>SUM(Z19:Z482)</f>
        <v>0</v>
      </c>
    </row>
    <row r="484" spans="1:256" ht="14.25" x14ac:dyDescent="0.2">
      <c r="D484" s="550" t="str">
        <f>[85]Source!H2514</f>
        <v>Стоимость материалов (всего)</v>
      </c>
      <c r="E484" s="550"/>
      <c r="F484" s="550"/>
      <c r="G484" s="550"/>
      <c r="H484" s="550"/>
      <c r="I484" s="551">
        <f>J474+J472+J459+J458+J441+J440+J423+J422+J410+J397+J396+J390+J388+J375+J369+J367+J354+J338+J336+J332+J330+J328+J326+J324+J322+J320+J318+J305+J304+J287+J286+J269+J268+J262+J260+J247+J241+J228+J222+J220+J207+J201+J199+J186+J169+J157+J155+J142+J141+J135+J133+J120+J108+J106+J93+J92+J86+J84+J71+J70+J64+J56+J43+J42+J25+J24</f>
        <v>172192.61</v>
      </c>
      <c r="J484" s="551"/>
      <c r="K484" s="551">
        <f>L474+L472+L459+L458+L441+L440+L423+L422+L410+L397+L396+L390+L388+L375+L369+L367+L354+L338+L336+L332+L330+L328+L326+L324+L322+L320+L318+L305+L304+L287+L286+L269+L268+L262+L260+L247+L241+L228+L222+L220+L207+L201+L199+L186+L169+L157+L155+L142+L141+L135+L133+L120+L108+L106+L93+L92+L86+L84+L71+L70+L64+L56+L43+L42+L25+L24</f>
        <v>836778.29</v>
      </c>
      <c r="L484" s="551"/>
    </row>
    <row r="485" spans="1:256" ht="14.25" x14ac:dyDescent="0.2">
      <c r="D485" s="550" t="str">
        <f>[85]Source!H2522</f>
        <v>ЗП машинистов</v>
      </c>
      <c r="E485" s="550"/>
      <c r="F485" s="550"/>
      <c r="G485" s="550"/>
      <c r="H485" s="550"/>
      <c r="I485" s="551">
        <f>[85]Source!F2522</f>
        <v>163.79</v>
      </c>
      <c r="J485" s="551"/>
      <c r="K485" s="551">
        <f>[85]Source!P2522</f>
        <v>3921.13</v>
      </c>
      <c r="L485" s="551"/>
    </row>
    <row r="486" spans="1:256" ht="14.25" x14ac:dyDescent="0.2">
      <c r="D486" s="550" t="str">
        <f>[85]Source!H2523</f>
        <v>Основная ЗП рабочих</v>
      </c>
      <c r="E486" s="550"/>
      <c r="F486" s="550"/>
      <c r="G486" s="550"/>
      <c r="H486" s="550"/>
      <c r="I486" s="551">
        <f>[85]Source!F2523</f>
        <v>4091.36</v>
      </c>
      <c r="J486" s="551"/>
      <c r="K486" s="551">
        <f>[85]Source!P2523</f>
        <v>97947.19</v>
      </c>
      <c r="L486" s="551"/>
    </row>
    <row r="488" spans="1:256" x14ac:dyDescent="0.2">
      <c r="A488" s="74"/>
      <c r="B488" s="74"/>
      <c r="C488" s="74"/>
      <c r="D488" s="543" t="s">
        <v>207</v>
      </c>
      <c r="E488" s="543"/>
      <c r="F488" s="543"/>
      <c r="G488" s="543"/>
      <c r="H488" s="543"/>
      <c r="I488" s="75"/>
      <c r="J488" s="76">
        <v>0</v>
      </c>
      <c r="K488" s="76"/>
      <c r="L488" s="76">
        <v>0</v>
      </c>
      <c r="M488" s="77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  <c r="DR488" s="74"/>
      <c r="DS488" s="74"/>
      <c r="DT488" s="74"/>
      <c r="DU488" s="74"/>
      <c r="DV488" s="74"/>
      <c r="DW488" s="74"/>
      <c r="DX488" s="74"/>
      <c r="DY488" s="74"/>
      <c r="DZ488" s="74"/>
      <c r="EA488" s="74"/>
      <c r="EB488" s="74"/>
      <c r="EC488" s="74"/>
      <c r="ED488" s="74"/>
      <c r="EE488" s="74"/>
      <c r="EF488" s="74"/>
      <c r="EG488" s="74"/>
      <c r="EH488" s="74"/>
      <c r="EI488" s="74"/>
      <c r="EJ488" s="74"/>
      <c r="EK488" s="74"/>
      <c r="EL488" s="74"/>
      <c r="EM488" s="74"/>
      <c r="EN488" s="74"/>
      <c r="EO488" s="74"/>
      <c r="EP488" s="74"/>
      <c r="EQ488" s="74"/>
      <c r="ER488" s="74"/>
      <c r="ES488" s="74"/>
      <c r="ET488" s="74"/>
      <c r="EU488" s="74"/>
      <c r="EV488" s="74"/>
      <c r="EW488" s="74"/>
      <c r="EX488" s="74"/>
      <c r="EY488" s="74"/>
      <c r="EZ488" s="74"/>
      <c r="FA488" s="74"/>
      <c r="FB488" s="74"/>
      <c r="FC488" s="74"/>
      <c r="FD488" s="74"/>
      <c r="FE488" s="74"/>
      <c r="FF488" s="74"/>
      <c r="FG488" s="74"/>
      <c r="FH488" s="74"/>
      <c r="FI488" s="74"/>
      <c r="FJ488" s="74"/>
      <c r="FK488" s="74"/>
      <c r="FL488" s="74"/>
      <c r="FM488" s="74"/>
      <c r="FN488" s="74"/>
      <c r="FO488" s="74"/>
      <c r="FP488" s="74"/>
      <c r="FQ488" s="74"/>
      <c r="FR488" s="74"/>
      <c r="FS488" s="74"/>
      <c r="FT488" s="74"/>
      <c r="FU488" s="74"/>
      <c r="FV488" s="74"/>
      <c r="FW488" s="74"/>
      <c r="FX488" s="74"/>
      <c r="FY488" s="74"/>
      <c r="FZ488" s="74"/>
      <c r="GA488" s="74"/>
      <c r="GB488" s="74"/>
      <c r="GC488" s="74"/>
      <c r="GD488" s="74"/>
      <c r="GE488" s="74"/>
      <c r="GF488" s="74"/>
      <c r="GG488" s="74"/>
      <c r="GH488" s="74"/>
      <c r="GI488" s="74"/>
      <c r="GJ488" s="74"/>
      <c r="GK488" s="74"/>
      <c r="GL488" s="74"/>
      <c r="GM488" s="74"/>
      <c r="GN488" s="74"/>
      <c r="GO488" s="74"/>
      <c r="GP488" s="74"/>
      <c r="GQ488" s="74"/>
      <c r="GR488" s="74"/>
      <c r="GS488" s="74"/>
      <c r="GT488" s="74"/>
      <c r="GU488" s="74"/>
      <c r="GV488" s="74"/>
      <c r="GW488" s="74"/>
      <c r="GX488" s="74"/>
      <c r="GY488" s="74"/>
      <c r="GZ488" s="74"/>
      <c r="HA488" s="74"/>
      <c r="HB488" s="74"/>
      <c r="HC488" s="74"/>
      <c r="HD488" s="74"/>
      <c r="HE488" s="74"/>
      <c r="HF488" s="74"/>
      <c r="HG488" s="74"/>
      <c r="HH488" s="74"/>
      <c r="HI488" s="74"/>
      <c r="HJ488" s="74"/>
      <c r="HK488" s="74"/>
      <c r="HL488" s="74"/>
      <c r="HM488" s="74"/>
      <c r="HN488" s="74"/>
      <c r="HO488" s="74"/>
      <c r="HP488" s="74"/>
      <c r="HQ488" s="74"/>
      <c r="HR488" s="74"/>
      <c r="HS488" s="74"/>
      <c r="HT488" s="74"/>
      <c r="HU488" s="74"/>
      <c r="HV488" s="74"/>
      <c r="HW488" s="74"/>
      <c r="HX488" s="74"/>
      <c r="HY488" s="74"/>
      <c r="HZ488" s="74"/>
      <c r="IA488" s="74"/>
      <c r="IB488" s="74"/>
      <c r="IC488" s="74"/>
      <c r="ID488" s="74"/>
      <c r="IE488" s="74"/>
      <c r="IF488" s="74"/>
      <c r="IG488" s="74"/>
      <c r="IH488" s="74"/>
      <c r="II488" s="74"/>
      <c r="IJ488" s="74"/>
      <c r="IK488" s="74"/>
      <c r="IL488" s="74"/>
      <c r="IM488" s="74"/>
      <c r="IN488" s="74"/>
      <c r="IO488" s="74"/>
      <c r="IP488" s="74"/>
      <c r="IQ488" s="74"/>
      <c r="IR488" s="74"/>
      <c r="IS488" s="74"/>
      <c r="IT488" s="74"/>
      <c r="IU488" s="74"/>
      <c r="IV488" s="74"/>
    </row>
    <row r="489" spans="1:256" x14ac:dyDescent="0.2">
      <c r="A489" s="78"/>
      <c r="B489" s="78"/>
      <c r="C489" s="78"/>
      <c r="D489" s="543" t="s">
        <v>208</v>
      </c>
      <c r="E489" s="543"/>
      <c r="F489" s="543"/>
      <c r="G489" s="543"/>
      <c r="H489" s="543"/>
      <c r="I489" s="75"/>
      <c r="J489" s="76">
        <v>0</v>
      </c>
      <c r="K489" s="79"/>
      <c r="L489" s="76">
        <v>0</v>
      </c>
      <c r="M489" s="77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80"/>
      <c r="BY489" s="80"/>
      <c r="BZ489" s="80"/>
      <c r="CA489" s="80"/>
      <c r="CB489" s="80"/>
      <c r="CC489" s="80"/>
      <c r="CD489" s="80"/>
      <c r="CE489" s="80"/>
      <c r="CF489" s="80"/>
      <c r="CG489" s="80"/>
      <c r="CH489" s="80"/>
      <c r="CI489" s="80"/>
      <c r="CJ489" s="80"/>
      <c r="CK489" s="80"/>
      <c r="CL489" s="80"/>
      <c r="CM489" s="80"/>
      <c r="CN489" s="80"/>
      <c r="CO489" s="80"/>
      <c r="CP489" s="80"/>
      <c r="CQ489" s="80"/>
      <c r="CR489" s="80"/>
      <c r="CS489" s="80"/>
      <c r="CT489" s="80"/>
      <c r="CU489" s="80"/>
      <c r="CV489" s="80"/>
      <c r="CW489" s="80"/>
      <c r="CX489" s="80"/>
      <c r="CY489" s="80"/>
      <c r="CZ489" s="80"/>
      <c r="DA489" s="80"/>
      <c r="DB489" s="80"/>
      <c r="DC489" s="80"/>
      <c r="DD489" s="80"/>
      <c r="DE489" s="80"/>
      <c r="DF489" s="80"/>
      <c r="DG489" s="80"/>
      <c r="DH489" s="80"/>
      <c r="DI489" s="80"/>
      <c r="DJ489" s="80"/>
      <c r="DK489" s="80"/>
      <c r="DL489" s="80"/>
      <c r="DM489" s="80"/>
      <c r="DN489" s="80"/>
      <c r="DO489" s="80"/>
      <c r="DP489" s="80"/>
      <c r="DQ489" s="80"/>
      <c r="DR489" s="80"/>
      <c r="DS489" s="80"/>
      <c r="DT489" s="80"/>
      <c r="DU489" s="80"/>
      <c r="DV489" s="80"/>
      <c r="DW489" s="80"/>
      <c r="DX489" s="80"/>
      <c r="DY489" s="80"/>
      <c r="DZ489" s="80"/>
      <c r="EA489" s="80"/>
      <c r="EB489" s="80"/>
      <c r="EC489" s="80"/>
      <c r="ED489" s="80"/>
      <c r="EE489" s="80"/>
      <c r="EF489" s="80"/>
      <c r="EG489" s="80"/>
      <c r="EH489" s="80"/>
      <c r="EI489" s="80"/>
      <c r="EJ489" s="80"/>
      <c r="EK489" s="80"/>
      <c r="EL489" s="80"/>
      <c r="EM489" s="80"/>
      <c r="EN489" s="80"/>
      <c r="EO489" s="80"/>
      <c r="EP489" s="80"/>
      <c r="EQ489" s="80"/>
      <c r="ER489" s="80"/>
      <c r="ES489" s="80"/>
      <c r="ET489" s="80"/>
      <c r="EU489" s="80"/>
      <c r="EV489" s="80"/>
      <c r="EW489" s="80"/>
      <c r="EX489" s="80"/>
      <c r="EY489" s="80"/>
      <c r="EZ489" s="80"/>
      <c r="FA489" s="80"/>
      <c r="FB489" s="80"/>
      <c r="FC489" s="80"/>
      <c r="FD489" s="80"/>
      <c r="FE489" s="80"/>
      <c r="FF489" s="80"/>
      <c r="FG489" s="80"/>
      <c r="FH489" s="80"/>
      <c r="FI489" s="80"/>
      <c r="FJ489" s="80"/>
      <c r="FK489" s="80"/>
      <c r="FL489" s="80"/>
      <c r="FM489" s="80"/>
      <c r="FN489" s="80"/>
      <c r="FO489" s="80"/>
      <c r="FP489" s="80"/>
      <c r="FQ489" s="80"/>
      <c r="FR489" s="80"/>
      <c r="FS489" s="80"/>
      <c r="FT489" s="80"/>
      <c r="FU489" s="80"/>
      <c r="FV489" s="80"/>
      <c r="FW489" s="80"/>
      <c r="FX489" s="80"/>
      <c r="FY489" s="80"/>
      <c r="FZ489" s="80"/>
      <c r="GA489" s="80"/>
      <c r="GB489" s="80"/>
      <c r="GC489" s="80"/>
      <c r="GD489" s="80"/>
      <c r="GE489" s="80"/>
      <c r="GF489" s="80"/>
      <c r="GG489" s="80"/>
      <c r="GH489" s="80"/>
      <c r="GI489" s="80"/>
      <c r="GJ489" s="80"/>
      <c r="GK489" s="80"/>
      <c r="GL489" s="80"/>
      <c r="GM489" s="80"/>
      <c r="GN489" s="80"/>
      <c r="GO489" s="80"/>
      <c r="GP489" s="80"/>
      <c r="GQ489" s="80"/>
      <c r="GR489" s="80"/>
      <c r="GS489" s="80"/>
      <c r="GT489" s="80"/>
      <c r="GU489" s="80"/>
      <c r="GV489" s="80"/>
      <c r="GW489" s="80"/>
      <c r="GX489" s="80"/>
      <c r="GY489" s="80"/>
      <c r="GZ489" s="80"/>
      <c r="HA489" s="80"/>
      <c r="HB489" s="80"/>
      <c r="HC489" s="80"/>
      <c r="HD489" s="80"/>
      <c r="HE489" s="80"/>
      <c r="HF489" s="80"/>
      <c r="HG489" s="80"/>
      <c r="HH489" s="80"/>
      <c r="HI489" s="80"/>
      <c r="HJ489" s="80"/>
      <c r="HK489" s="80"/>
      <c r="HL489" s="80"/>
      <c r="HM489" s="80"/>
      <c r="HN489" s="80"/>
      <c r="HO489" s="80"/>
      <c r="HP489" s="80"/>
      <c r="HQ489" s="80"/>
      <c r="HR489" s="80"/>
      <c r="HS489" s="80"/>
      <c r="HT489" s="80"/>
      <c r="HU489" s="80"/>
      <c r="HV489" s="80"/>
      <c r="HW489" s="80"/>
      <c r="HX489" s="80"/>
      <c r="HY489" s="80"/>
      <c r="HZ489" s="80"/>
      <c r="IA489" s="80"/>
      <c r="IB489" s="80"/>
      <c r="IC489" s="80"/>
      <c r="ID489" s="80"/>
      <c r="IE489" s="80"/>
      <c r="IF489" s="80"/>
      <c r="IG489" s="80"/>
      <c r="IH489" s="80"/>
      <c r="II489" s="80"/>
      <c r="IJ489" s="80"/>
      <c r="IK489" s="80"/>
      <c r="IL489" s="80"/>
      <c r="IM489" s="80"/>
      <c r="IN489" s="80"/>
      <c r="IO489" s="80"/>
      <c r="IP489" s="80"/>
      <c r="IQ489" s="80"/>
      <c r="IR489" s="80"/>
      <c r="IS489" s="80"/>
      <c r="IT489" s="80"/>
      <c r="IU489" s="80"/>
      <c r="IV489" s="80"/>
    </row>
    <row r="490" spans="1:256" x14ac:dyDescent="0.2">
      <c r="A490" s="78"/>
      <c r="B490" s="78"/>
      <c r="C490" s="78"/>
      <c r="D490" s="79" t="s">
        <v>209</v>
      </c>
      <c r="E490" s="79"/>
      <c r="F490" s="79"/>
      <c r="G490" s="79"/>
      <c r="H490" s="79"/>
      <c r="I490" s="79"/>
      <c r="J490" s="76">
        <f>SUM(J488:J489)</f>
        <v>0</v>
      </c>
      <c r="K490" s="79"/>
      <c r="L490" s="76">
        <f>SUM(L488:L489)</f>
        <v>0</v>
      </c>
      <c r="M490" s="77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  <c r="CB490" s="80"/>
      <c r="CC490" s="80"/>
      <c r="CD490" s="80"/>
      <c r="CE490" s="80"/>
      <c r="CF490" s="80"/>
      <c r="CG490" s="80"/>
      <c r="CH490" s="80"/>
      <c r="CI490" s="80"/>
      <c r="CJ490" s="80"/>
      <c r="CK490" s="80"/>
      <c r="CL490" s="80"/>
      <c r="CM490" s="80"/>
      <c r="CN490" s="80"/>
      <c r="CO490" s="80"/>
      <c r="CP490" s="80"/>
      <c r="CQ490" s="80"/>
      <c r="CR490" s="80"/>
      <c r="CS490" s="80"/>
      <c r="CT490" s="80"/>
      <c r="CU490" s="80"/>
      <c r="CV490" s="80"/>
      <c r="CW490" s="80"/>
      <c r="CX490" s="80"/>
      <c r="CY490" s="80"/>
      <c r="CZ490" s="80"/>
      <c r="DA490" s="80"/>
      <c r="DB490" s="80"/>
      <c r="DC490" s="80"/>
      <c r="DD490" s="80"/>
      <c r="DE490" s="80"/>
      <c r="DF490" s="80"/>
      <c r="DG490" s="80"/>
      <c r="DH490" s="80"/>
      <c r="DI490" s="80"/>
      <c r="DJ490" s="80"/>
      <c r="DK490" s="80"/>
      <c r="DL490" s="80"/>
      <c r="DM490" s="80"/>
      <c r="DN490" s="80"/>
      <c r="DO490" s="80"/>
      <c r="DP490" s="80"/>
      <c r="DQ490" s="80"/>
      <c r="DR490" s="80"/>
      <c r="DS490" s="80"/>
      <c r="DT490" s="80"/>
      <c r="DU490" s="80"/>
      <c r="DV490" s="80"/>
      <c r="DW490" s="80"/>
      <c r="DX490" s="80"/>
      <c r="DY490" s="80"/>
      <c r="DZ490" s="80"/>
      <c r="EA490" s="80"/>
      <c r="EB490" s="80"/>
      <c r="EC490" s="80"/>
      <c r="ED490" s="80"/>
      <c r="EE490" s="80"/>
      <c r="EF490" s="80"/>
      <c r="EG490" s="80"/>
      <c r="EH490" s="80"/>
      <c r="EI490" s="80"/>
      <c r="EJ490" s="80"/>
      <c r="EK490" s="80"/>
      <c r="EL490" s="80"/>
      <c r="EM490" s="80"/>
      <c r="EN490" s="80"/>
      <c r="EO490" s="80"/>
      <c r="EP490" s="80"/>
      <c r="EQ490" s="80"/>
      <c r="ER490" s="80"/>
      <c r="ES490" s="80"/>
      <c r="ET490" s="80"/>
      <c r="EU490" s="80"/>
      <c r="EV490" s="80"/>
      <c r="EW490" s="80"/>
      <c r="EX490" s="80"/>
      <c r="EY490" s="80"/>
      <c r="EZ490" s="80"/>
      <c r="FA490" s="80"/>
      <c r="FB490" s="80"/>
      <c r="FC490" s="80"/>
      <c r="FD490" s="80"/>
      <c r="FE490" s="80"/>
      <c r="FF490" s="80"/>
      <c r="FG490" s="80"/>
      <c r="FH490" s="80"/>
      <c r="FI490" s="80"/>
      <c r="FJ490" s="80"/>
      <c r="FK490" s="80"/>
      <c r="FL490" s="80"/>
      <c r="FM490" s="80"/>
      <c r="FN490" s="80"/>
      <c r="FO490" s="80"/>
      <c r="FP490" s="80"/>
      <c r="FQ490" s="80"/>
      <c r="FR490" s="80"/>
      <c r="FS490" s="80"/>
      <c r="FT490" s="80"/>
      <c r="FU490" s="80"/>
      <c r="FV490" s="80"/>
      <c r="FW490" s="80"/>
      <c r="FX490" s="80"/>
      <c r="FY490" s="80"/>
      <c r="FZ490" s="80"/>
      <c r="GA490" s="80"/>
      <c r="GB490" s="80"/>
      <c r="GC490" s="80"/>
      <c r="GD490" s="80"/>
      <c r="GE490" s="80"/>
      <c r="GF490" s="80"/>
      <c r="GG490" s="80"/>
      <c r="GH490" s="80"/>
      <c r="GI490" s="80"/>
      <c r="GJ490" s="80"/>
      <c r="GK490" s="80"/>
      <c r="GL490" s="80"/>
      <c r="GM490" s="80"/>
      <c r="GN490" s="80"/>
      <c r="GO490" s="80"/>
      <c r="GP490" s="80"/>
      <c r="GQ490" s="80"/>
      <c r="GR490" s="80"/>
      <c r="GS490" s="80"/>
      <c r="GT490" s="80"/>
      <c r="GU490" s="80"/>
      <c r="GV490" s="80"/>
      <c r="GW490" s="80"/>
      <c r="GX490" s="80"/>
      <c r="GY490" s="80"/>
      <c r="GZ490" s="80"/>
      <c r="HA490" s="80"/>
      <c r="HB490" s="80"/>
      <c r="HC490" s="80"/>
      <c r="HD490" s="80"/>
      <c r="HE490" s="80"/>
      <c r="HF490" s="80"/>
      <c r="HG490" s="80"/>
      <c r="HH490" s="80"/>
      <c r="HI490" s="80"/>
      <c r="HJ490" s="80"/>
      <c r="HK490" s="80"/>
      <c r="HL490" s="80"/>
      <c r="HM490" s="80"/>
      <c r="HN490" s="80"/>
      <c r="HO490" s="80"/>
      <c r="HP490" s="80"/>
      <c r="HQ490" s="80"/>
      <c r="HR490" s="80"/>
      <c r="HS490" s="80"/>
      <c r="HT490" s="80"/>
      <c r="HU490" s="80"/>
      <c r="HV490" s="80"/>
      <c r="HW490" s="80"/>
      <c r="HX490" s="80"/>
      <c r="HY490" s="80"/>
      <c r="HZ490" s="80"/>
      <c r="IA490" s="80"/>
      <c r="IB490" s="80"/>
      <c r="IC490" s="80"/>
      <c r="ID490" s="80"/>
      <c r="IE490" s="80"/>
      <c r="IF490" s="80"/>
      <c r="IG490" s="80"/>
      <c r="IH490" s="80"/>
      <c r="II490" s="80"/>
      <c r="IJ490" s="80"/>
      <c r="IK490" s="80"/>
      <c r="IL490" s="80"/>
      <c r="IM490" s="80"/>
      <c r="IN490" s="80"/>
      <c r="IO490" s="80"/>
      <c r="IP490" s="80"/>
      <c r="IQ490" s="80"/>
      <c r="IR490" s="80"/>
      <c r="IS490" s="80"/>
      <c r="IT490" s="80"/>
      <c r="IU490" s="80"/>
      <c r="IV490" s="80"/>
    </row>
    <row r="491" spans="1:256" x14ac:dyDescent="0.2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2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1"/>
      <c r="AW491" s="81"/>
      <c r="AX491" s="81"/>
      <c r="AY491" s="81"/>
      <c r="AZ491" s="81"/>
      <c r="BA491" s="81"/>
      <c r="BB491" s="81"/>
      <c r="BC491" s="81"/>
      <c r="BD491" s="81"/>
      <c r="BE491" s="81"/>
      <c r="BF491" s="81"/>
      <c r="BG491" s="81"/>
      <c r="BH491" s="81"/>
      <c r="BI491" s="81"/>
      <c r="BJ491" s="81"/>
      <c r="BK491" s="81"/>
      <c r="BL491" s="81"/>
      <c r="BM491" s="81"/>
      <c r="BN491" s="81"/>
      <c r="BO491" s="81"/>
      <c r="BP491" s="81"/>
      <c r="BQ491" s="81"/>
      <c r="BR491" s="81"/>
      <c r="BS491" s="81"/>
      <c r="BT491" s="81"/>
      <c r="BU491" s="81"/>
      <c r="BV491" s="81"/>
      <c r="BW491" s="81"/>
      <c r="BX491" s="81"/>
      <c r="BY491" s="81"/>
      <c r="BZ491" s="81"/>
      <c r="CA491" s="81"/>
      <c r="CB491" s="81"/>
      <c r="CC491" s="81"/>
      <c r="CD491" s="81"/>
      <c r="CE491" s="81"/>
      <c r="CF491" s="81"/>
      <c r="CG491" s="81"/>
      <c r="CH491" s="81"/>
      <c r="CI491" s="81"/>
      <c r="CJ491" s="81"/>
      <c r="CK491" s="81"/>
      <c r="CL491" s="81"/>
      <c r="CM491" s="81"/>
      <c r="CN491" s="81"/>
      <c r="CO491" s="81"/>
      <c r="CP491" s="81"/>
      <c r="CQ491" s="81"/>
      <c r="CR491" s="81"/>
      <c r="CS491" s="81"/>
      <c r="CT491" s="81"/>
      <c r="CU491" s="81"/>
      <c r="CV491" s="81"/>
      <c r="CW491" s="81"/>
      <c r="CX491" s="81"/>
      <c r="CY491" s="81"/>
      <c r="CZ491" s="81"/>
      <c r="DA491" s="81"/>
      <c r="DB491" s="81"/>
      <c r="DC491" s="81"/>
      <c r="DD491" s="81"/>
      <c r="DE491" s="81"/>
      <c r="DF491" s="81"/>
      <c r="DG491" s="81"/>
      <c r="DH491" s="81"/>
      <c r="DI491" s="81"/>
      <c r="DJ491" s="81"/>
      <c r="DK491" s="81"/>
      <c r="DL491" s="81"/>
      <c r="DM491" s="81"/>
      <c r="DN491" s="81"/>
      <c r="DO491" s="81"/>
      <c r="DP491" s="81"/>
      <c r="DQ491" s="81"/>
      <c r="DR491" s="81"/>
      <c r="DS491" s="81"/>
      <c r="DT491" s="81"/>
      <c r="DU491" s="81"/>
      <c r="DV491" s="81"/>
      <c r="DW491" s="81"/>
      <c r="DX491" s="81"/>
      <c r="DY491" s="81"/>
      <c r="DZ491" s="81"/>
      <c r="EA491" s="81"/>
      <c r="EB491" s="81"/>
      <c r="EC491" s="81"/>
      <c r="ED491" s="81"/>
      <c r="EE491" s="81"/>
      <c r="EF491" s="81"/>
      <c r="EG491" s="81"/>
      <c r="EH491" s="81"/>
      <c r="EI491" s="81"/>
      <c r="EJ491" s="81"/>
      <c r="EK491" s="81"/>
      <c r="EL491" s="81"/>
      <c r="EM491" s="81"/>
      <c r="EN491" s="81"/>
      <c r="EO491" s="81"/>
      <c r="EP491" s="81"/>
      <c r="EQ491" s="81"/>
      <c r="ER491" s="81"/>
      <c r="ES491" s="81"/>
      <c r="ET491" s="81"/>
      <c r="EU491" s="81"/>
      <c r="EV491" s="81"/>
      <c r="EW491" s="81"/>
      <c r="EX491" s="81"/>
      <c r="EY491" s="81"/>
      <c r="EZ491" s="81"/>
      <c r="FA491" s="81"/>
      <c r="FB491" s="81"/>
      <c r="FC491" s="81"/>
      <c r="FD491" s="81"/>
      <c r="FE491" s="81"/>
      <c r="FF491" s="81"/>
      <c r="FG491" s="81"/>
      <c r="FH491" s="81"/>
      <c r="FI491" s="81"/>
      <c r="FJ491" s="81"/>
      <c r="FK491" s="81"/>
      <c r="FL491" s="81"/>
      <c r="FM491" s="81"/>
      <c r="FN491" s="81"/>
      <c r="FO491" s="81"/>
      <c r="FP491" s="81"/>
      <c r="FQ491" s="81"/>
      <c r="FR491" s="81"/>
      <c r="FS491" s="81"/>
      <c r="FT491" s="81"/>
      <c r="FU491" s="81"/>
      <c r="FV491" s="81"/>
      <c r="FW491" s="81"/>
      <c r="FX491" s="81"/>
      <c r="FY491" s="81"/>
      <c r="FZ491" s="81"/>
      <c r="GA491" s="81"/>
      <c r="GB491" s="81"/>
      <c r="GC491" s="81"/>
      <c r="GD491" s="81"/>
      <c r="GE491" s="81"/>
      <c r="GF491" s="81"/>
      <c r="GG491" s="81"/>
      <c r="GH491" s="81"/>
      <c r="GI491" s="81"/>
      <c r="GJ491" s="81"/>
      <c r="GK491" s="81"/>
      <c r="GL491" s="81"/>
      <c r="GM491" s="81"/>
      <c r="GN491" s="81"/>
      <c r="GO491" s="81"/>
      <c r="GP491" s="81"/>
      <c r="GQ491" s="81"/>
      <c r="GR491" s="81"/>
      <c r="GS491" s="81"/>
      <c r="GT491" s="81"/>
      <c r="GU491" s="81"/>
      <c r="GV491" s="81"/>
      <c r="GW491" s="81"/>
      <c r="GX491" s="81"/>
      <c r="GY491" s="81"/>
      <c r="GZ491" s="81"/>
      <c r="HA491" s="81"/>
      <c r="HB491" s="81"/>
      <c r="HC491" s="81"/>
      <c r="HD491" s="81"/>
      <c r="HE491" s="81"/>
      <c r="HF491" s="81"/>
      <c r="HG491" s="81"/>
      <c r="HH491" s="81"/>
      <c r="HI491" s="81"/>
      <c r="HJ491" s="81"/>
      <c r="HK491" s="81"/>
      <c r="HL491" s="81"/>
      <c r="HM491" s="81"/>
      <c r="HN491" s="81"/>
      <c r="HO491" s="81"/>
      <c r="HP491" s="81"/>
      <c r="HQ491" s="81"/>
      <c r="HR491" s="81"/>
      <c r="HS491" s="81"/>
      <c r="HT491" s="81"/>
      <c r="HU491" s="81"/>
      <c r="HV491" s="81"/>
      <c r="HW491" s="81"/>
      <c r="HX491" s="81"/>
      <c r="HY491" s="81"/>
      <c r="HZ491" s="81"/>
      <c r="IA491" s="81"/>
      <c r="IB491" s="81"/>
      <c r="IC491" s="81"/>
      <c r="ID491" s="81"/>
      <c r="IE491" s="81"/>
      <c r="IF491" s="81"/>
      <c r="IG491" s="81"/>
      <c r="IH491" s="81"/>
      <c r="II491" s="81"/>
      <c r="IJ491" s="81"/>
      <c r="IK491" s="81"/>
      <c r="IL491" s="81"/>
      <c r="IM491" s="81"/>
      <c r="IN491" s="81"/>
      <c r="IO491" s="81"/>
      <c r="IP491" s="81"/>
      <c r="IQ491" s="81"/>
      <c r="IR491" s="81"/>
      <c r="IS491" s="81"/>
      <c r="IT491" s="81"/>
      <c r="IU491" s="81"/>
      <c r="IV491" s="81"/>
    </row>
    <row r="492" spans="1:256" ht="30" x14ac:dyDescent="0.25">
      <c r="A492" s="78"/>
      <c r="B492" s="78"/>
      <c r="C492" s="78"/>
      <c r="D492" s="83" t="s">
        <v>210</v>
      </c>
      <c r="E492" s="83"/>
      <c r="F492" s="83"/>
      <c r="G492" s="83"/>
      <c r="H492" s="83"/>
      <c r="I492" s="84"/>
      <c r="J492" s="85">
        <f>I481-J490</f>
        <v>186101.67</v>
      </c>
      <c r="K492" s="86"/>
      <c r="L492" s="85">
        <f>K481-L490</f>
        <v>1088939.22</v>
      </c>
      <c r="M492" s="82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80"/>
      <c r="BY492" s="80"/>
      <c r="BZ492" s="80"/>
      <c r="CA492" s="80"/>
      <c r="CB492" s="80"/>
      <c r="CC492" s="80"/>
      <c r="CD492" s="80"/>
      <c r="CE492" s="80"/>
      <c r="CF492" s="80"/>
      <c r="CG492" s="80"/>
      <c r="CH492" s="80"/>
      <c r="CI492" s="80"/>
      <c r="CJ492" s="80"/>
      <c r="CK492" s="80"/>
      <c r="CL492" s="80"/>
      <c r="CM492" s="80"/>
      <c r="CN492" s="80"/>
      <c r="CO492" s="80"/>
      <c r="CP492" s="80"/>
      <c r="CQ492" s="80"/>
      <c r="CR492" s="80"/>
      <c r="CS492" s="80"/>
      <c r="CT492" s="80"/>
      <c r="CU492" s="80"/>
      <c r="CV492" s="80"/>
      <c r="CW492" s="80"/>
      <c r="CX492" s="80"/>
      <c r="CY492" s="80"/>
      <c r="CZ492" s="80"/>
      <c r="DA492" s="80"/>
      <c r="DB492" s="80"/>
      <c r="DC492" s="80"/>
      <c r="DD492" s="80"/>
      <c r="DE492" s="80"/>
      <c r="DF492" s="80"/>
      <c r="DG492" s="80"/>
      <c r="DH492" s="80"/>
      <c r="DI492" s="80"/>
      <c r="DJ492" s="80"/>
      <c r="DK492" s="80"/>
      <c r="DL492" s="80"/>
      <c r="DM492" s="80"/>
      <c r="DN492" s="80"/>
      <c r="DO492" s="80"/>
      <c r="DP492" s="80"/>
      <c r="DQ492" s="80"/>
      <c r="DR492" s="80"/>
      <c r="DS492" s="80"/>
      <c r="DT492" s="80"/>
      <c r="DU492" s="80"/>
      <c r="DV492" s="80"/>
      <c r="DW492" s="80"/>
      <c r="DX492" s="80"/>
      <c r="DY492" s="80"/>
      <c r="DZ492" s="80"/>
      <c r="EA492" s="80"/>
      <c r="EB492" s="80"/>
      <c r="EC492" s="80"/>
      <c r="ED492" s="80"/>
      <c r="EE492" s="80"/>
      <c r="EF492" s="80"/>
      <c r="EG492" s="80"/>
      <c r="EH492" s="80"/>
      <c r="EI492" s="80"/>
      <c r="EJ492" s="80"/>
      <c r="EK492" s="80"/>
      <c r="EL492" s="80"/>
      <c r="EM492" s="80"/>
      <c r="EN492" s="80"/>
      <c r="EO492" s="80"/>
      <c r="EP492" s="80"/>
      <c r="EQ492" s="80"/>
      <c r="ER492" s="80"/>
      <c r="ES492" s="80"/>
      <c r="ET492" s="80"/>
      <c r="EU492" s="80"/>
      <c r="EV492" s="80"/>
      <c r="EW492" s="80"/>
      <c r="EX492" s="80"/>
      <c r="EY492" s="80"/>
      <c r="EZ492" s="80"/>
      <c r="FA492" s="80"/>
      <c r="FB492" s="80"/>
      <c r="FC492" s="80"/>
      <c r="FD492" s="80"/>
      <c r="FE492" s="80"/>
      <c r="FF492" s="80"/>
      <c r="FG492" s="80"/>
      <c r="FH492" s="80"/>
      <c r="FI492" s="80"/>
      <c r="FJ492" s="80"/>
      <c r="FK492" s="80"/>
      <c r="FL492" s="80"/>
      <c r="FM492" s="80"/>
      <c r="FN492" s="80"/>
      <c r="FO492" s="80"/>
      <c r="FP492" s="80"/>
      <c r="FQ492" s="80"/>
      <c r="FR492" s="80"/>
      <c r="FS492" s="80"/>
      <c r="FT492" s="80"/>
      <c r="FU492" s="80"/>
      <c r="FV492" s="80"/>
      <c r="FW492" s="80"/>
      <c r="FX492" s="80"/>
      <c r="FY492" s="80"/>
      <c r="FZ492" s="80"/>
      <c r="GA492" s="80"/>
      <c r="GB492" s="80"/>
      <c r="GC492" s="80"/>
      <c r="GD492" s="80"/>
      <c r="GE492" s="80"/>
      <c r="GF492" s="80"/>
      <c r="GG492" s="80"/>
      <c r="GH492" s="80"/>
      <c r="GI492" s="80"/>
      <c r="GJ492" s="80"/>
      <c r="GK492" s="80"/>
      <c r="GL492" s="80"/>
      <c r="GM492" s="80"/>
      <c r="GN492" s="80"/>
      <c r="GO492" s="80"/>
      <c r="GP492" s="80"/>
      <c r="GQ492" s="80"/>
      <c r="GR492" s="80"/>
      <c r="GS492" s="80"/>
      <c r="GT492" s="80"/>
      <c r="GU492" s="80"/>
      <c r="GV492" s="80"/>
      <c r="GW492" s="80"/>
      <c r="GX492" s="80"/>
      <c r="GY492" s="80"/>
      <c r="GZ492" s="80"/>
      <c r="HA492" s="80"/>
      <c r="HB492" s="80"/>
      <c r="HC492" s="80"/>
      <c r="HD492" s="80"/>
      <c r="HE492" s="80"/>
      <c r="HF492" s="80"/>
      <c r="HG492" s="80"/>
      <c r="HH492" s="80"/>
      <c r="HI492" s="80"/>
      <c r="HJ492" s="80"/>
      <c r="HK492" s="80"/>
      <c r="HL492" s="80"/>
      <c r="HM492" s="80"/>
      <c r="HN492" s="80"/>
      <c r="HO492" s="80"/>
      <c r="HP492" s="80"/>
      <c r="HQ492" s="80"/>
      <c r="HR492" s="80"/>
      <c r="HS492" s="80"/>
      <c r="HT492" s="80"/>
      <c r="HU492" s="80"/>
      <c r="HV492" s="80"/>
      <c r="HW492" s="80"/>
      <c r="HX492" s="80"/>
      <c r="HY492" s="80"/>
      <c r="HZ492" s="80"/>
      <c r="IA492" s="80"/>
      <c r="IB492" s="80"/>
      <c r="IC492" s="80"/>
      <c r="ID492" s="80"/>
      <c r="IE492" s="80"/>
      <c r="IF492" s="80"/>
      <c r="IG492" s="80"/>
      <c r="IH492" s="80"/>
      <c r="II492" s="80"/>
      <c r="IJ492" s="80"/>
      <c r="IK492" s="80"/>
      <c r="IL492" s="80"/>
      <c r="IM492" s="80"/>
      <c r="IN492" s="80"/>
      <c r="IO492" s="80"/>
      <c r="IP492" s="80"/>
      <c r="IQ492" s="80"/>
      <c r="IR492" s="80"/>
      <c r="IS492" s="80"/>
      <c r="IT492" s="80"/>
      <c r="IU492" s="80"/>
      <c r="IV492" s="80"/>
    </row>
    <row r="493" spans="1:256" ht="14.25" x14ac:dyDescent="0.2">
      <c r="A493" s="78"/>
      <c r="B493" s="78"/>
      <c r="C493" s="78"/>
      <c r="D493" s="87" t="s">
        <v>211</v>
      </c>
      <c r="E493" s="87"/>
      <c r="F493" s="87"/>
      <c r="G493" s="87"/>
      <c r="H493" s="87"/>
      <c r="I493" s="88"/>
      <c r="J493" s="89">
        <f>J492-J496</f>
        <v>186101.67</v>
      </c>
      <c r="K493" s="90"/>
      <c r="L493" s="89">
        <f>L492-L496</f>
        <v>1088939.22</v>
      </c>
      <c r="M493" s="82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80"/>
      <c r="BY493" s="80"/>
      <c r="BZ493" s="80"/>
      <c r="CA493" s="80"/>
      <c r="CB493" s="80"/>
      <c r="CC493" s="80"/>
      <c r="CD493" s="80"/>
      <c r="CE493" s="80"/>
      <c r="CF493" s="80"/>
      <c r="CG493" s="80"/>
      <c r="CH493" s="80"/>
      <c r="CI493" s="80"/>
      <c r="CJ493" s="80"/>
      <c r="CK493" s="80"/>
      <c r="CL493" s="80"/>
      <c r="CM493" s="80"/>
      <c r="CN493" s="80"/>
      <c r="CO493" s="80"/>
      <c r="CP493" s="80"/>
      <c r="CQ493" s="80"/>
      <c r="CR493" s="80"/>
      <c r="CS493" s="80"/>
      <c r="CT493" s="80"/>
      <c r="CU493" s="80"/>
      <c r="CV493" s="80"/>
      <c r="CW493" s="80"/>
      <c r="CX493" s="80"/>
      <c r="CY493" s="80"/>
      <c r="CZ493" s="80"/>
      <c r="DA493" s="80"/>
      <c r="DB493" s="80"/>
      <c r="DC493" s="80"/>
      <c r="DD493" s="80"/>
      <c r="DE493" s="80"/>
      <c r="DF493" s="80"/>
      <c r="DG493" s="80"/>
      <c r="DH493" s="80"/>
      <c r="DI493" s="80"/>
      <c r="DJ493" s="80"/>
      <c r="DK493" s="80"/>
      <c r="DL493" s="80"/>
      <c r="DM493" s="80"/>
      <c r="DN493" s="80"/>
      <c r="DO493" s="80"/>
      <c r="DP493" s="80"/>
      <c r="DQ493" s="80"/>
      <c r="DR493" s="80"/>
      <c r="DS493" s="80"/>
      <c r="DT493" s="80"/>
      <c r="DU493" s="80"/>
      <c r="DV493" s="80"/>
      <c r="DW493" s="80"/>
      <c r="DX493" s="80"/>
      <c r="DY493" s="80"/>
      <c r="DZ493" s="80"/>
      <c r="EA493" s="80"/>
      <c r="EB493" s="80"/>
      <c r="EC493" s="80"/>
      <c r="ED493" s="80"/>
      <c r="EE493" s="80"/>
      <c r="EF493" s="80"/>
      <c r="EG493" s="80"/>
      <c r="EH493" s="80"/>
      <c r="EI493" s="80"/>
      <c r="EJ493" s="80"/>
      <c r="EK493" s="80"/>
      <c r="EL493" s="80"/>
      <c r="EM493" s="80"/>
      <c r="EN493" s="80"/>
      <c r="EO493" s="80"/>
      <c r="EP493" s="80"/>
      <c r="EQ493" s="80"/>
      <c r="ER493" s="80"/>
      <c r="ES493" s="80"/>
      <c r="ET493" s="80"/>
      <c r="EU493" s="80"/>
      <c r="EV493" s="80"/>
      <c r="EW493" s="80"/>
      <c r="EX493" s="80"/>
      <c r="EY493" s="80"/>
      <c r="EZ493" s="80"/>
      <c r="FA493" s="80"/>
      <c r="FB493" s="80"/>
      <c r="FC493" s="80"/>
      <c r="FD493" s="80"/>
      <c r="FE493" s="80"/>
      <c r="FF493" s="80"/>
      <c r="FG493" s="80"/>
      <c r="FH493" s="80"/>
      <c r="FI493" s="80"/>
      <c r="FJ493" s="80"/>
      <c r="FK493" s="80"/>
      <c r="FL493" s="80"/>
      <c r="FM493" s="80"/>
      <c r="FN493" s="80"/>
      <c r="FO493" s="80"/>
      <c r="FP493" s="80"/>
      <c r="FQ493" s="80"/>
      <c r="FR493" s="80"/>
      <c r="FS493" s="80"/>
      <c r="FT493" s="80"/>
      <c r="FU493" s="80"/>
      <c r="FV493" s="80"/>
      <c r="FW493" s="80"/>
      <c r="FX493" s="80"/>
      <c r="FY493" s="80"/>
      <c r="FZ493" s="80"/>
      <c r="GA493" s="80"/>
      <c r="GB493" s="80"/>
      <c r="GC493" s="80"/>
      <c r="GD493" s="80"/>
      <c r="GE493" s="80"/>
      <c r="GF493" s="80"/>
      <c r="GG493" s="80"/>
      <c r="GH493" s="80"/>
      <c r="GI493" s="80"/>
      <c r="GJ493" s="80"/>
      <c r="GK493" s="80"/>
      <c r="GL493" s="80"/>
      <c r="GM493" s="80"/>
      <c r="GN493" s="80"/>
      <c r="GO493" s="80"/>
      <c r="GP493" s="80"/>
      <c r="GQ493" s="80"/>
      <c r="GR493" s="80"/>
      <c r="GS493" s="80"/>
      <c r="GT493" s="80"/>
      <c r="GU493" s="80"/>
      <c r="GV493" s="80"/>
      <c r="GW493" s="80"/>
      <c r="GX493" s="80"/>
      <c r="GY493" s="80"/>
      <c r="GZ493" s="80"/>
      <c r="HA493" s="80"/>
      <c r="HB493" s="80"/>
      <c r="HC493" s="80"/>
      <c r="HD493" s="80"/>
      <c r="HE493" s="80"/>
      <c r="HF493" s="80"/>
      <c r="HG493" s="80"/>
      <c r="HH493" s="80"/>
      <c r="HI493" s="80"/>
      <c r="HJ493" s="80"/>
      <c r="HK493" s="80"/>
      <c r="HL493" s="80"/>
      <c r="HM493" s="80"/>
      <c r="HN493" s="80"/>
      <c r="HO493" s="80"/>
      <c r="HP493" s="80"/>
      <c r="HQ493" s="80"/>
      <c r="HR493" s="80"/>
      <c r="HS493" s="80"/>
      <c r="HT493" s="80"/>
      <c r="HU493" s="80"/>
      <c r="HV493" s="80"/>
      <c r="HW493" s="80"/>
      <c r="HX493" s="80"/>
      <c r="HY493" s="80"/>
      <c r="HZ493" s="80"/>
      <c r="IA493" s="80"/>
      <c r="IB493" s="80"/>
      <c r="IC493" s="80"/>
      <c r="ID493" s="80"/>
      <c r="IE493" s="80"/>
      <c r="IF493" s="80"/>
      <c r="IG493" s="80"/>
      <c r="IH493" s="80"/>
      <c r="II493" s="80"/>
      <c r="IJ493" s="80"/>
      <c r="IK493" s="80"/>
      <c r="IL493" s="80"/>
      <c r="IM493" s="80"/>
      <c r="IN493" s="80"/>
      <c r="IO493" s="80"/>
      <c r="IP493" s="80"/>
      <c r="IQ493" s="80"/>
      <c r="IR493" s="80"/>
      <c r="IS493" s="80"/>
      <c r="IT493" s="80"/>
      <c r="IU493" s="80"/>
      <c r="IV493" s="80"/>
    </row>
    <row r="494" spans="1:256" ht="14.25" x14ac:dyDescent="0.2">
      <c r="A494" s="78"/>
      <c r="B494" s="78"/>
      <c r="C494" s="78"/>
      <c r="D494" s="87" t="s">
        <v>212</v>
      </c>
      <c r="E494" s="87"/>
      <c r="F494" s="87"/>
      <c r="G494" s="87"/>
      <c r="H494" s="87"/>
      <c r="I494" s="88"/>
      <c r="J494" s="89">
        <f>I486+I485</f>
        <v>4255.1499999999996</v>
      </c>
      <c r="K494" s="90"/>
      <c r="L494" s="89">
        <f>K485+K486</f>
        <v>101868.32</v>
      </c>
      <c r="M494" s="82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80"/>
      <c r="CE494" s="80"/>
      <c r="CF494" s="80"/>
      <c r="CG494" s="80"/>
      <c r="CH494" s="80"/>
      <c r="CI494" s="80"/>
      <c r="CJ494" s="80"/>
      <c r="CK494" s="80"/>
      <c r="CL494" s="80"/>
      <c r="CM494" s="80"/>
      <c r="CN494" s="80"/>
      <c r="CO494" s="80"/>
      <c r="CP494" s="80"/>
      <c r="CQ494" s="80"/>
      <c r="CR494" s="80"/>
      <c r="CS494" s="80"/>
      <c r="CT494" s="80"/>
      <c r="CU494" s="80"/>
      <c r="CV494" s="80"/>
      <c r="CW494" s="80"/>
      <c r="CX494" s="80"/>
      <c r="CY494" s="80"/>
      <c r="CZ494" s="80"/>
      <c r="DA494" s="80"/>
      <c r="DB494" s="80"/>
      <c r="DC494" s="80"/>
      <c r="DD494" s="80"/>
      <c r="DE494" s="80"/>
      <c r="DF494" s="80"/>
      <c r="DG494" s="80"/>
      <c r="DH494" s="80"/>
      <c r="DI494" s="80"/>
      <c r="DJ494" s="80"/>
      <c r="DK494" s="80"/>
      <c r="DL494" s="80"/>
      <c r="DM494" s="80"/>
      <c r="DN494" s="80"/>
      <c r="DO494" s="80"/>
      <c r="DP494" s="80"/>
      <c r="DQ494" s="80"/>
      <c r="DR494" s="80"/>
      <c r="DS494" s="80"/>
      <c r="DT494" s="80"/>
      <c r="DU494" s="80"/>
      <c r="DV494" s="80"/>
      <c r="DW494" s="80"/>
      <c r="DX494" s="80"/>
      <c r="DY494" s="80"/>
      <c r="DZ494" s="80"/>
      <c r="EA494" s="80"/>
      <c r="EB494" s="80"/>
      <c r="EC494" s="80"/>
      <c r="ED494" s="80"/>
      <c r="EE494" s="80"/>
      <c r="EF494" s="80"/>
      <c r="EG494" s="80"/>
      <c r="EH494" s="80"/>
      <c r="EI494" s="80"/>
      <c r="EJ494" s="80"/>
      <c r="EK494" s="80"/>
      <c r="EL494" s="80"/>
      <c r="EM494" s="80"/>
      <c r="EN494" s="80"/>
      <c r="EO494" s="80"/>
      <c r="EP494" s="80"/>
      <c r="EQ494" s="80"/>
      <c r="ER494" s="80"/>
      <c r="ES494" s="80"/>
      <c r="ET494" s="80"/>
      <c r="EU494" s="80"/>
      <c r="EV494" s="80"/>
      <c r="EW494" s="80"/>
      <c r="EX494" s="80"/>
      <c r="EY494" s="80"/>
      <c r="EZ494" s="80"/>
      <c r="FA494" s="80"/>
      <c r="FB494" s="80"/>
      <c r="FC494" s="80"/>
      <c r="FD494" s="80"/>
      <c r="FE494" s="80"/>
      <c r="FF494" s="80"/>
      <c r="FG494" s="80"/>
      <c r="FH494" s="80"/>
      <c r="FI494" s="80"/>
      <c r="FJ494" s="80"/>
      <c r="FK494" s="80"/>
      <c r="FL494" s="80"/>
      <c r="FM494" s="80"/>
      <c r="FN494" s="80"/>
      <c r="FO494" s="80"/>
      <c r="FP494" s="80"/>
      <c r="FQ494" s="80"/>
      <c r="FR494" s="80"/>
      <c r="FS494" s="80"/>
      <c r="FT494" s="80"/>
      <c r="FU494" s="80"/>
      <c r="FV494" s="80"/>
      <c r="FW494" s="80"/>
      <c r="FX494" s="80"/>
      <c r="FY494" s="80"/>
      <c r="FZ494" s="80"/>
      <c r="GA494" s="80"/>
      <c r="GB494" s="80"/>
      <c r="GC494" s="80"/>
      <c r="GD494" s="80"/>
      <c r="GE494" s="80"/>
      <c r="GF494" s="80"/>
      <c r="GG494" s="80"/>
      <c r="GH494" s="80"/>
      <c r="GI494" s="80"/>
      <c r="GJ494" s="80"/>
      <c r="GK494" s="80"/>
      <c r="GL494" s="80"/>
      <c r="GM494" s="80"/>
      <c r="GN494" s="80"/>
      <c r="GO494" s="80"/>
      <c r="GP494" s="80"/>
      <c r="GQ494" s="80"/>
      <c r="GR494" s="80"/>
      <c r="GS494" s="80"/>
      <c r="GT494" s="80"/>
      <c r="GU494" s="80"/>
      <c r="GV494" s="80"/>
      <c r="GW494" s="80"/>
      <c r="GX494" s="80"/>
      <c r="GY494" s="80"/>
      <c r="GZ494" s="80"/>
      <c r="HA494" s="80"/>
      <c r="HB494" s="80"/>
      <c r="HC494" s="80"/>
      <c r="HD494" s="80"/>
      <c r="HE494" s="80"/>
      <c r="HF494" s="80"/>
      <c r="HG494" s="80"/>
      <c r="HH494" s="80"/>
      <c r="HI494" s="80"/>
      <c r="HJ494" s="80"/>
      <c r="HK494" s="80"/>
      <c r="HL494" s="80"/>
      <c r="HM494" s="80"/>
      <c r="HN494" s="80"/>
      <c r="HO494" s="80"/>
      <c r="HP494" s="80"/>
      <c r="HQ494" s="80"/>
      <c r="HR494" s="80"/>
      <c r="HS494" s="80"/>
      <c r="HT494" s="80"/>
      <c r="HU494" s="80"/>
      <c r="HV494" s="80"/>
      <c r="HW494" s="80"/>
      <c r="HX494" s="80"/>
      <c r="HY494" s="80"/>
      <c r="HZ494" s="80"/>
      <c r="IA494" s="80"/>
      <c r="IB494" s="80"/>
      <c r="IC494" s="80"/>
      <c r="ID494" s="80"/>
      <c r="IE494" s="80"/>
      <c r="IF494" s="80"/>
      <c r="IG494" s="80"/>
      <c r="IH494" s="80"/>
      <c r="II494" s="80"/>
      <c r="IJ494" s="80"/>
      <c r="IK494" s="80"/>
      <c r="IL494" s="80"/>
      <c r="IM494" s="80"/>
      <c r="IN494" s="80"/>
      <c r="IO494" s="80"/>
      <c r="IP494" s="80"/>
      <c r="IQ494" s="80"/>
      <c r="IR494" s="80"/>
      <c r="IS494" s="80"/>
      <c r="IT494" s="80"/>
      <c r="IU494" s="80"/>
      <c r="IV494" s="80"/>
    </row>
    <row r="495" spans="1:256" ht="14.25" x14ac:dyDescent="0.2">
      <c r="A495" s="78"/>
      <c r="B495" s="78"/>
      <c r="C495" s="78"/>
      <c r="D495" s="87" t="s">
        <v>213</v>
      </c>
      <c r="E495" s="87"/>
      <c r="F495" s="87"/>
      <c r="G495" s="87"/>
      <c r="H495" s="87"/>
      <c r="I495" s="88"/>
      <c r="J495" s="89">
        <f>I484</f>
        <v>172192.61</v>
      </c>
      <c r="K495" s="90"/>
      <c r="L495" s="89">
        <f>K484</f>
        <v>836778.29</v>
      </c>
      <c r="M495" s="82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80"/>
      <c r="BY495" s="80"/>
      <c r="BZ495" s="80"/>
      <c r="CA495" s="80"/>
      <c r="CB495" s="80"/>
      <c r="CC495" s="80"/>
      <c r="CD495" s="80"/>
      <c r="CE495" s="80"/>
      <c r="CF495" s="80"/>
      <c r="CG495" s="80"/>
      <c r="CH495" s="80"/>
      <c r="CI495" s="80"/>
      <c r="CJ495" s="80"/>
      <c r="CK495" s="80"/>
      <c r="CL495" s="80"/>
      <c r="CM495" s="80"/>
      <c r="CN495" s="80"/>
      <c r="CO495" s="80"/>
      <c r="CP495" s="80"/>
      <c r="CQ495" s="80"/>
      <c r="CR495" s="80"/>
      <c r="CS495" s="80"/>
      <c r="CT495" s="80"/>
      <c r="CU495" s="80"/>
      <c r="CV495" s="80"/>
      <c r="CW495" s="80"/>
      <c r="CX495" s="80"/>
      <c r="CY495" s="80"/>
      <c r="CZ495" s="80"/>
      <c r="DA495" s="80"/>
      <c r="DB495" s="80"/>
      <c r="DC495" s="80"/>
      <c r="DD495" s="80"/>
      <c r="DE495" s="80"/>
      <c r="DF495" s="80"/>
      <c r="DG495" s="80"/>
      <c r="DH495" s="80"/>
      <c r="DI495" s="80"/>
      <c r="DJ495" s="80"/>
      <c r="DK495" s="80"/>
      <c r="DL495" s="80"/>
      <c r="DM495" s="80"/>
      <c r="DN495" s="80"/>
      <c r="DO495" s="80"/>
      <c r="DP495" s="80"/>
      <c r="DQ495" s="80"/>
      <c r="DR495" s="80"/>
      <c r="DS495" s="80"/>
      <c r="DT495" s="80"/>
      <c r="DU495" s="80"/>
      <c r="DV495" s="80"/>
      <c r="DW495" s="80"/>
      <c r="DX495" s="80"/>
      <c r="DY495" s="80"/>
      <c r="DZ495" s="80"/>
      <c r="EA495" s="80"/>
      <c r="EB495" s="80"/>
      <c r="EC495" s="80"/>
      <c r="ED495" s="80"/>
      <c r="EE495" s="80"/>
      <c r="EF495" s="80"/>
      <c r="EG495" s="80"/>
      <c r="EH495" s="80"/>
      <c r="EI495" s="80"/>
      <c r="EJ495" s="80"/>
      <c r="EK495" s="80"/>
      <c r="EL495" s="80"/>
      <c r="EM495" s="80"/>
      <c r="EN495" s="80"/>
      <c r="EO495" s="80"/>
      <c r="EP495" s="80"/>
      <c r="EQ495" s="80"/>
      <c r="ER495" s="80"/>
      <c r="ES495" s="80"/>
      <c r="ET495" s="80"/>
      <c r="EU495" s="80"/>
      <c r="EV495" s="80"/>
      <c r="EW495" s="80"/>
      <c r="EX495" s="80"/>
      <c r="EY495" s="80"/>
      <c r="EZ495" s="80"/>
      <c r="FA495" s="80"/>
      <c r="FB495" s="80"/>
      <c r="FC495" s="80"/>
      <c r="FD495" s="80"/>
      <c r="FE495" s="80"/>
      <c r="FF495" s="80"/>
      <c r="FG495" s="80"/>
      <c r="FH495" s="80"/>
      <c r="FI495" s="80"/>
      <c r="FJ495" s="80"/>
      <c r="FK495" s="80"/>
      <c r="FL495" s="80"/>
      <c r="FM495" s="80"/>
      <c r="FN495" s="80"/>
      <c r="FO495" s="80"/>
      <c r="FP495" s="80"/>
      <c r="FQ495" s="80"/>
      <c r="FR495" s="80"/>
      <c r="FS495" s="80"/>
      <c r="FT495" s="80"/>
      <c r="FU495" s="80"/>
      <c r="FV495" s="80"/>
      <c r="FW495" s="80"/>
      <c r="FX495" s="80"/>
      <c r="FY495" s="80"/>
      <c r="FZ495" s="80"/>
      <c r="GA495" s="80"/>
      <c r="GB495" s="80"/>
      <c r="GC495" s="80"/>
      <c r="GD495" s="80"/>
      <c r="GE495" s="80"/>
      <c r="GF495" s="80"/>
      <c r="GG495" s="80"/>
      <c r="GH495" s="80"/>
      <c r="GI495" s="80"/>
      <c r="GJ495" s="80"/>
      <c r="GK495" s="80"/>
      <c r="GL495" s="80"/>
      <c r="GM495" s="80"/>
      <c r="GN495" s="80"/>
      <c r="GO495" s="80"/>
      <c r="GP495" s="80"/>
      <c r="GQ495" s="80"/>
      <c r="GR495" s="80"/>
      <c r="GS495" s="80"/>
      <c r="GT495" s="80"/>
      <c r="GU495" s="80"/>
      <c r="GV495" s="80"/>
      <c r="GW495" s="80"/>
      <c r="GX495" s="80"/>
      <c r="GY495" s="80"/>
      <c r="GZ495" s="80"/>
      <c r="HA495" s="80"/>
      <c r="HB495" s="80"/>
      <c r="HC495" s="80"/>
      <c r="HD495" s="80"/>
      <c r="HE495" s="80"/>
      <c r="HF495" s="80"/>
      <c r="HG495" s="80"/>
      <c r="HH495" s="80"/>
      <c r="HI495" s="80"/>
      <c r="HJ495" s="80"/>
      <c r="HK495" s="80"/>
      <c r="HL495" s="80"/>
      <c r="HM495" s="80"/>
      <c r="HN495" s="80"/>
      <c r="HO495" s="80"/>
      <c r="HP495" s="80"/>
      <c r="HQ495" s="80"/>
      <c r="HR495" s="80"/>
      <c r="HS495" s="80"/>
      <c r="HT495" s="80"/>
      <c r="HU495" s="80"/>
      <c r="HV495" s="80"/>
      <c r="HW495" s="80"/>
      <c r="HX495" s="80"/>
      <c r="HY495" s="80"/>
      <c r="HZ495" s="80"/>
      <c r="IA495" s="80"/>
      <c r="IB495" s="80"/>
      <c r="IC495" s="80"/>
      <c r="ID495" s="80"/>
      <c r="IE495" s="80"/>
      <c r="IF495" s="80"/>
      <c r="IG495" s="80"/>
      <c r="IH495" s="80"/>
      <c r="II495" s="80"/>
      <c r="IJ495" s="80"/>
      <c r="IK495" s="80"/>
      <c r="IL495" s="80"/>
      <c r="IM495" s="80"/>
      <c r="IN495" s="80"/>
      <c r="IO495" s="80"/>
      <c r="IP495" s="80"/>
      <c r="IQ495" s="80"/>
      <c r="IR495" s="80"/>
      <c r="IS495" s="80"/>
      <c r="IT495" s="80"/>
      <c r="IU495" s="80"/>
      <c r="IV495" s="80"/>
    </row>
    <row r="496" spans="1:256" ht="14.25" x14ac:dyDescent="0.2">
      <c r="A496" s="91"/>
      <c r="B496" s="91"/>
      <c r="C496" s="91"/>
      <c r="D496" s="92" t="s">
        <v>214</v>
      </c>
      <c r="E496" s="92"/>
      <c r="F496" s="92"/>
      <c r="G496" s="92"/>
      <c r="H496" s="92"/>
      <c r="I496" s="93"/>
      <c r="J496" s="94">
        <v>0</v>
      </c>
      <c r="K496" s="95"/>
      <c r="L496" s="94">
        <v>0</v>
      </c>
      <c r="M496" s="82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  <c r="BP496" s="96"/>
      <c r="BQ496" s="96"/>
      <c r="BR496" s="96"/>
      <c r="BS496" s="96"/>
      <c r="BT496" s="96"/>
      <c r="BU496" s="96"/>
      <c r="BV496" s="96"/>
      <c r="BW496" s="96"/>
      <c r="BX496" s="96"/>
      <c r="BY496" s="96"/>
      <c r="BZ496" s="96"/>
      <c r="CA496" s="96"/>
      <c r="CB496" s="96"/>
      <c r="CC496" s="96"/>
      <c r="CD496" s="96"/>
      <c r="CE496" s="96"/>
      <c r="CF496" s="96"/>
      <c r="CG496" s="96"/>
      <c r="CH496" s="96"/>
      <c r="CI496" s="96"/>
      <c r="CJ496" s="96"/>
      <c r="CK496" s="96"/>
      <c r="CL496" s="96"/>
      <c r="CM496" s="96"/>
      <c r="CN496" s="96"/>
      <c r="CO496" s="96"/>
      <c r="CP496" s="96"/>
      <c r="CQ496" s="96"/>
      <c r="CR496" s="96"/>
      <c r="CS496" s="96"/>
      <c r="CT496" s="96"/>
      <c r="CU496" s="96"/>
      <c r="CV496" s="96"/>
      <c r="CW496" s="96"/>
      <c r="CX496" s="96"/>
      <c r="CY496" s="96"/>
      <c r="CZ496" s="96"/>
      <c r="DA496" s="96"/>
      <c r="DB496" s="96"/>
      <c r="DC496" s="96"/>
      <c r="DD496" s="96"/>
      <c r="DE496" s="96"/>
      <c r="DF496" s="96"/>
      <c r="DG496" s="96"/>
      <c r="DH496" s="96"/>
      <c r="DI496" s="96"/>
      <c r="DJ496" s="96"/>
      <c r="DK496" s="96"/>
      <c r="DL496" s="96"/>
      <c r="DM496" s="96"/>
      <c r="DN496" s="96"/>
      <c r="DO496" s="96"/>
      <c r="DP496" s="96"/>
      <c r="DQ496" s="96"/>
      <c r="DR496" s="96"/>
      <c r="DS496" s="96"/>
      <c r="DT496" s="96"/>
      <c r="DU496" s="96"/>
      <c r="DV496" s="96"/>
      <c r="DW496" s="96"/>
      <c r="DX496" s="96"/>
      <c r="DY496" s="96"/>
      <c r="DZ496" s="96"/>
      <c r="EA496" s="96"/>
      <c r="EB496" s="96"/>
      <c r="EC496" s="96"/>
      <c r="ED496" s="96"/>
      <c r="EE496" s="96"/>
      <c r="EF496" s="96"/>
      <c r="EG496" s="96"/>
      <c r="EH496" s="96"/>
      <c r="EI496" s="96"/>
      <c r="EJ496" s="96"/>
      <c r="EK496" s="96"/>
      <c r="EL496" s="96"/>
      <c r="EM496" s="96"/>
      <c r="EN496" s="96"/>
      <c r="EO496" s="96"/>
      <c r="EP496" s="96"/>
      <c r="EQ496" s="96"/>
      <c r="ER496" s="96"/>
      <c r="ES496" s="96"/>
      <c r="ET496" s="96"/>
      <c r="EU496" s="96"/>
      <c r="EV496" s="96"/>
      <c r="EW496" s="96"/>
      <c r="EX496" s="96"/>
      <c r="EY496" s="96"/>
      <c r="EZ496" s="96"/>
      <c r="FA496" s="96"/>
      <c r="FB496" s="96"/>
      <c r="FC496" s="96"/>
      <c r="FD496" s="96"/>
      <c r="FE496" s="96"/>
      <c r="FF496" s="96"/>
      <c r="FG496" s="96"/>
      <c r="FH496" s="96"/>
      <c r="FI496" s="96"/>
      <c r="FJ496" s="96"/>
      <c r="FK496" s="96"/>
      <c r="FL496" s="96"/>
      <c r="FM496" s="96"/>
      <c r="FN496" s="96"/>
      <c r="FO496" s="96"/>
      <c r="FP496" s="96"/>
      <c r="FQ496" s="96"/>
      <c r="FR496" s="96"/>
      <c r="FS496" s="96"/>
      <c r="FT496" s="96"/>
      <c r="FU496" s="96"/>
      <c r="FV496" s="96"/>
      <c r="FW496" s="96"/>
      <c r="FX496" s="96"/>
      <c r="FY496" s="96"/>
      <c r="FZ496" s="96"/>
      <c r="GA496" s="96"/>
      <c r="GB496" s="96"/>
      <c r="GC496" s="96"/>
      <c r="GD496" s="96"/>
      <c r="GE496" s="96"/>
      <c r="GF496" s="96"/>
      <c r="GG496" s="96"/>
      <c r="GH496" s="96"/>
      <c r="GI496" s="96"/>
      <c r="GJ496" s="96"/>
      <c r="GK496" s="96"/>
      <c r="GL496" s="96"/>
      <c r="GM496" s="96"/>
      <c r="GN496" s="96"/>
      <c r="GO496" s="96"/>
      <c r="GP496" s="96"/>
      <c r="GQ496" s="96"/>
      <c r="GR496" s="96"/>
      <c r="GS496" s="96"/>
      <c r="GT496" s="96"/>
      <c r="GU496" s="96"/>
      <c r="GV496" s="96"/>
      <c r="GW496" s="96"/>
      <c r="GX496" s="96"/>
      <c r="GY496" s="96"/>
      <c r="GZ496" s="96"/>
      <c r="HA496" s="96"/>
      <c r="HB496" s="96"/>
      <c r="HC496" s="96"/>
      <c r="HD496" s="96"/>
      <c r="HE496" s="96"/>
      <c r="HF496" s="96"/>
      <c r="HG496" s="96"/>
      <c r="HH496" s="96"/>
      <c r="HI496" s="96"/>
      <c r="HJ496" s="96"/>
      <c r="HK496" s="96"/>
      <c r="HL496" s="96"/>
      <c r="HM496" s="96"/>
      <c r="HN496" s="96"/>
      <c r="HO496" s="96"/>
      <c r="HP496" s="96"/>
      <c r="HQ496" s="96"/>
      <c r="HR496" s="96"/>
      <c r="HS496" s="96"/>
      <c r="HT496" s="96"/>
      <c r="HU496" s="96"/>
      <c r="HV496" s="96"/>
      <c r="HW496" s="96"/>
      <c r="HX496" s="96"/>
      <c r="HY496" s="96"/>
      <c r="HZ496" s="96"/>
      <c r="IA496" s="96"/>
      <c r="IB496" s="96"/>
      <c r="IC496" s="96"/>
      <c r="ID496" s="96"/>
      <c r="IE496" s="96"/>
      <c r="IF496" s="96"/>
      <c r="IG496" s="96"/>
      <c r="IH496" s="96"/>
      <c r="II496" s="96"/>
      <c r="IJ496" s="96"/>
      <c r="IK496" s="96"/>
      <c r="IL496" s="96"/>
      <c r="IM496" s="96"/>
      <c r="IN496" s="96"/>
      <c r="IO496" s="96"/>
      <c r="IP496" s="96"/>
      <c r="IQ496" s="96"/>
      <c r="IR496" s="96"/>
      <c r="IS496" s="96"/>
      <c r="IT496" s="96"/>
      <c r="IU496" s="96"/>
      <c r="IV496" s="96"/>
    </row>
    <row r="497" spans="1:256" x14ac:dyDescent="0.2">
      <c r="A497" s="74"/>
      <c r="B497" s="74"/>
      <c r="C497" s="74"/>
      <c r="D497" s="97" t="s">
        <v>215</v>
      </c>
      <c r="E497" s="97"/>
      <c r="F497" s="97"/>
      <c r="G497" s="97"/>
      <c r="H497" s="97"/>
      <c r="I497" s="97"/>
      <c r="J497" s="98">
        <f>J494*15%</f>
        <v>638.27</v>
      </c>
      <c r="K497" s="98"/>
      <c r="L497" s="98">
        <f>L494*15%</f>
        <v>15280.25</v>
      </c>
      <c r="M497" s="77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  <c r="DR497" s="74"/>
      <c r="DS497" s="74"/>
      <c r="DT497" s="74"/>
      <c r="DU497" s="74"/>
      <c r="DV497" s="74"/>
      <c r="DW497" s="74"/>
      <c r="DX497" s="74"/>
      <c r="DY497" s="74"/>
      <c r="DZ497" s="74"/>
      <c r="EA497" s="74"/>
      <c r="EB497" s="74"/>
      <c r="EC497" s="74"/>
      <c r="ED497" s="74"/>
      <c r="EE497" s="74"/>
      <c r="EF497" s="74"/>
      <c r="EG497" s="74"/>
      <c r="EH497" s="74"/>
      <c r="EI497" s="74"/>
      <c r="EJ497" s="74"/>
      <c r="EK497" s="74"/>
      <c r="EL497" s="74"/>
      <c r="EM497" s="74"/>
      <c r="EN497" s="74"/>
      <c r="EO497" s="74"/>
      <c r="EP497" s="74"/>
      <c r="EQ497" s="74"/>
      <c r="ER497" s="74"/>
      <c r="ES497" s="74"/>
      <c r="ET497" s="74"/>
      <c r="EU497" s="74"/>
      <c r="EV497" s="74"/>
      <c r="EW497" s="74"/>
      <c r="EX497" s="74"/>
      <c r="EY497" s="74"/>
      <c r="EZ497" s="74"/>
      <c r="FA497" s="74"/>
      <c r="FB497" s="74"/>
      <c r="FC497" s="74"/>
      <c r="FD497" s="74"/>
      <c r="FE497" s="74"/>
      <c r="FF497" s="74"/>
      <c r="FG497" s="74"/>
      <c r="FH497" s="74"/>
      <c r="FI497" s="74"/>
      <c r="FJ497" s="74"/>
      <c r="FK497" s="74"/>
      <c r="FL497" s="74"/>
      <c r="FM497" s="74"/>
      <c r="FN497" s="74"/>
      <c r="FO497" s="74"/>
      <c r="FP497" s="74"/>
      <c r="FQ497" s="74"/>
      <c r="FR497" s="74"/>
      <c r="FS497" s="74"/>
      <c r="FT497" s="74"/>
      <c r="FU497" s="74"/>
      <c r="FV497" s="74"/>
      <c r="FW497" s="74"/>
      <c r="FX497" s="74"/>
      <c r="FY497" s="74"/>
      <c r="FZ497" s="74"/>
      <c r="GA497" s="74"/>
      <c r="GB497" s="74"/>
      <c r="GC497" s="74"/>
      <c r="GD497" s="74"/>
      <c r="GE497" s="74"/>
      <c r="GF497" s="74"/>
      <c r="GG497" s="74"/>
      <c r="GH497" s="74"/>
      <c r="GI497" s="74"/>
      <c r="GJ497" s="74"/>
      <c r="GK497" s="74"/>
      <c r="GL497" s="74"/>
      <c r="GM497" s="74"/>
      <c r="GN497" s="74"/>
      <c r="GO497" s="74"/>
      <c r="GP497" s="74"/>
      <c r="GQ497" s="74"/>
      <c r="GR497" s="74"/>
      <c r="GS497" s="74"/>
      <c r="GT497" s="74"/>
      <c r="GU497" s="74"/>
      <c r="GV497" s="74"/>
      <c r="GW497" s="74"/>
      <c r="GX497" s="74"/>
      <c r="GY497" s="74"/>
      <c r="GZ497" s="74"/>
      <c r="HA497" s="74"/>
      <c r="HB497" s="74"/>
      <c r="HC497" s="74"/>
      <c r="HD497" s="74"/>
      <c r="HE497" s="74"/>
      <c r="HF497" s="74"/>
      <c r="HG497" s="74"/>
      <c r="HH497" s="74"/>
      <c r="HI497" s="74"/>
      <c r="HJ497" s="74"/>
      <c r="HK497" s="74"/>
      <c r="HL497" s="74"/>
      <c r="HM497" s="74"/>
      <c r="HN497" s="74"/>
      <c r="HO497" s="74"/>
      <c r="HP497" s="74"/>
      <c r="HQ497" s="74"/>
      <c r="HR497" s="74"/>
      <c r="HS497" s="74"/>
      <c r="HT497" s="74"/>
      <c r="HU497" s="74"/>
      <c r="HV497" s="74"/>
      <c r="HW497" s="74"/>
      <c r="HX497" s="74"/>
      <c r="HY497" s="74"/>
      <c r="HZ497" s="74"/>
      <c r="IA497" s="74"/>
      <c r="IB497" s="74"/>
      <c r="IC497" s="74"/>
      <c r="ID497" s="74"/>
      <c r="IE497" s="74"/>
      <c r="IF497" s="74"/>
      <c r="IG497" s="74"/>
      <c r="IH497" s="74"/>
      <c r="II497" s="74"/>
      <c r="IJ497" s="74"/>
      <c r="IK497" s="74"/>
      <c r="IL497" s="74"/>
      <c r="IM497" s="74"/>
      <c r="IN497" s="74"/>
      <c r="IO497" s="74"/>
      <c r="IP497" s="74"/>
      <c r="IQ497" s="74"/>
      <c r="IR497" s="74"/>
      <c r="IS497" s="74"/>
      <c r="IT497" s="74"/>
      <c r="IU497" s="74"/>
      <c r="IV497" s="74"/>
    </row>
    <row r="498" spans="1:256" x14ac:dyDescent="0.2">
      <c r="A498" s="74"/>
      <c r="B498" s="74"/>
      <c r="C498" s="74"/>
      <c r="D498" s="99" t="s">
        <v>216</v>
      </c>
      <c r="E498" s="100"/>
      <c r="F498" s="100"/>
      <c r="G498" s="100"/>
      <c r="H498" s="100"/>
      <c r="I498" s="100"/>
      <c r="J498" s="101">
        <f>J492+J497</f>
        <v>186739.94</v>
      </c>
      <c r="K498" s="101"/>
      <c r="L498" s="101">
        <f>L492+L497</f>
        <v>1104219.47</v>
      </c>
      <c r="M498" s="77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  <c r="DR498" s="74"/>
      <c r="DS498" s="74"/>
      <c r="DT498" s="74"/>
      <c r="DU498" s="74"/>
      <c r="DV498" s="74"/>
      <c r="DW498" s="74"/>
      <c r="DX498" s="74"/>
      <c r="DY498" s="74"/>
      <c r="DZ498" s="74"/>
      <c r="EA498" s="74"/>
      <c r="EB498" s="74"/>
      <c r="EC498" s="74"/>
      <c r="ED498" s="74"/>
      <c r="EE498" s="74"/>
      <c r="EF498" s="74"/>
      <c r="EG498" s="74"/>
      <c r="EH498" s="74"/>
      <c r="EI498" s="74"/>
      <c r="EJ498" s="74"/>
      <c r="EK498" s="74"/>
      <c r="EL498" s="74"/>
      <c r="EM498" s="74"/>
      <c r="EN498" s="74"/>
      <c r="EO498" s="74"/>
      <c r="EP498" s="74"/>
      <c r="EQ498" s="74"/>
      <c r="ER498" s="74"/>
      <c r="ES498" s="74"/>
      <c r="ET498" s="74"/>
      <c r="EU498" s="74"/>
      <c r="EV498" s="74"/>
      <c r="EW498" s="74"/>
      <c r="EX498" s="74"/>
      <c r="EY498" s="74"/>
      <c r="EZ498" s="74"/>
      <c r="FA498" s="74"/>
      <c r="FB498" s="74"/>
      <c r="FC498" s="74"/>
      <c r="FD498" s="74"/>
      <c r="FE498" s="74"/>
      <c r="FF498" s="74"/>
      <c r="FG498" s="74"/>
      <c r="FH498" s="74"/>
      <c r="FI498" s="74"/>
      <c r="FJ498" s="74"/>
      <c r="FK498" s="74"/>
      <c r="FL498" s="74"/>
      <c r="FM498" s="74"/>
      <c r="FN498" s="74"/>
      <c r="FO498" s="74"/>
      <c r="FP498" s="74"/>
      <c r="FQ498" s="74"/>
      <c r="FR498" s="74"/>
      <c r="FS498" s="74"/>
      <c r="FT498" s="74"/>
      <c r="FU498" s="74"/>
      <c r="FV498" s="74"/>
      <c r="FW498" s="74"/>
      <c r="FX498" s="74"/>
      <c r="FY498" s="74"/>
      <c r="FZ498" s="74"/>
      <c r="GA498" s="74"/>
      <c r="GB498" s="74"/>
      <c r="GC498" s="74"/>
      <c r="GD498" s="74"/>
      <c r="GE498" s="74"/>
      <c r="GF498" s="74"/>
      <c r="GG498" s="74"/>
      <c r="GH498" s="74"/>
      <c r="GI498" s="74"/>
      <c r="GJ498" s="74"/>
      <c r="GK498" s="74"/>
      <c r="GL498" s="74"/>
      <c r="GM498" s="74"/>
      <c r="GN498" s="74"/>
      <c r="GO498" s="74"/>
      <c r="GP498" s="74"/>
      <c r="GQ498" s="74"/>
      <c r="GR498" s="74"/>
      <c r="GS498" s="74"/>
      <c r="GT498" s="74"/>
      <c r="GU498" s="74"/>
      <c r="GV498" s="74"/>
      <c r="GW498" s="74"/>
      <c r="GX498" s="74"/>
      <c r="GY498" s="74"/>
      <c r="GZ498" s="74"/>
      <c r="HA498" s="74"/>
      <c r="HB498" s="74"/>
      <c r="HC498" s="74"/>
      <c r="HD498" s="74"/>
      <c r="HE498" s="74"/>
      <c r="HF498" s="74"/>
      <c r="HG498" s="74"/>
      <c r="HH498" s="74"/>
      <c r="HI498" s="74"/>
      <c r="HJ498" s="74"/>
      <c r="HK498" s="74"/>
      <c r="HL498" s="74"/>
      <c r="HM498" s="74"/>
      <c r="HN498" s="74"/>
      <c r="HO498" s="74"/>
      <c r="HP498" s="74"/>
      <c r="HQ498" s="74"/>
      <c r="HR498" s="74"/>
      <c r="HS498" s="74"/>
      <c r="HT498" s="74"/>
      <c r="HU498" s="74"/>
      <c r="HV498" s="74"/>
      <c r="HW498" s="74"/>
      <c r="HX498" s="74"/>
      <c r="HY498" s="74"/>
      <c r="HZ498" s="74"/>
      <c r="IA498" s="74"/>
      <c r="IB498" s="74"/>
      <c r="IC498" s="74"/>
      <c r="ID498" s="74"/>
      <c r="IE498" s="74"/>
      <c r="IF498" s="74"/>
      <c r="IG498" s="74"/>
      <c r="IH498" s="74"/>
      <c r="II498" s="74"/>
      <c r="IJ498" s="74"/>
      <c r="IK498" s="74"/>
      <c r="IL498" s="74"/>
      <c r="IM498" s="74"/>
      <c r="IN498" s="74"/>
      <c r="IO498" s="74"/>
      <c r="IP498" s="74"/>
      <c r="IQ498" s="74"/>
      <c r="IR498" s="74"/>
      <c r="IS498" s="74"/>
      <c r="IT498" s="74"/>
      <c r="IU498" s="74"/>
      <c r="IV498" s="74"/>
    </row>
    <row r="499" spans="1:256" x14ac:dyDescent="0.2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2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1"/>
      <c r="BG499" s="81"/>
      <c r="BH499" s="81"/>
      <c r="BI499" s="81"/>
      <c r="BJ499" s="81"/>
      <c r="BK499" s="81"/>
      <c r="BL499" s="81"/>
      <c r="BM499" s="81"/>
      <c r="BN499" s="81"/>
      <c r="BO499" s="81"/>
      <c r="BP499" s="81"/>
      <c r="BQ499" s="81"/>
      <c r="BR499" s="81"/>
      <c r="BS499" s="81"/>
      <c r="BT499" s="81"/>
      <c r="BU499" s="81"/>
      <c r="BV499" s="81"/>
      <c r="BW499" s="81"/>
      <c r="BX499" s="81"/>
      <c r="BY499" s="81"/>
      <c r="BZ499" s="81"/>
      <c r="CA499" s="81"/>
      <c r="CB499" s="81"/>
      <c r="CC499" s="81"/>
      <c r="CD499" s="81"/>
      <c r="CE499" s="81"/>
      <c r="CF499" s="81"/>
      <c r="CG499" s="81"/>
      <c r="CH499" s="81"/>
      <c r="CI499" s="81"/>
      <c r="CJ499" s="81"/>
      <c r="CK499" s="81"/>
      <c r="CL499" s="81"/>
      <c r="CM499" s="81"/>
      <c r="CN499" s="81"/>
      <c r="CO499" s="81"/>
      <c r="CP499" s="81"/>
      <c r="CQ499" s="81"/>
      <c r="CR499" s="81"/>
      <c r="CS499" s="81"/>
      <c r="CT499" s="81"/>
      <c r="CU499" s="81"/>
      <c r="CV499" s="81"/>
      <c r="CW499" s="81"/>
      <c r="CX499" s="81"/>
      <c r="CY499" s="81"/>
      <c r="CZ499" s="81"/>
      <c r="DA499" s="81"/>
      <c r="DB499" s="81"/>
      <c r="DC499" s="81"/>
      <c r="DD499" s="81"/>
      <c r="DE499" s="81"/>
      <c r="DF499" s="81"/>
      <c r="DG499" s="81"/>
      <c r="DH499" s="81"/>
      <c r="DI499" s="81"/>
      <c r="DJ499" s="81"/>
      <c r="DK499" s="81"/>
      <c r="DL499" s="81"/>
      <c r="DM499" s="81"/>
      <c r="DN499" s="81"/>
      <c r="DO499" s="81"/>
      <c r="DP499" s="81"/>
      <c r="DQ499" s="81"/>
      <c r="DR499" s="81"/>
      <c r="DS499" s="81"/>
      <c r="DT499" s="81"/>
      <c r="DU499" s="81"/>
      <c r="DV499" s="81"/>
      <c r="DW499" s="81"/>
      <c r="DX499" s="81"/>
      <c r="DY499" s="81"/>
      <c r="DZ499" s="81"/>
      <c r="EA499" s="81"/>
      <c r="EB499" s="81"/>
      <c r="EC499" s="81"/>
      <c r="ED499" s="81"/>
      <c r="EE499" s="81"/>
      <c r="EF499" s="81"/>
      <c r="EG499" s="81"/>
      <c r="EH499" s="81"/>
      <c r="EI499" s="81"/>
      <c r="EJ499" s="81"/>
      <c r="EK499" s="81"/>
      <c r="EL499" s="81"/>
      <c r="EM499" s="81"/>
      <c r="EN499" s="81"/>
      <c r="EO499" s="81"/>
      <c r="EP499" s="81"/>
      <c r="EQ499" s="81"/>
      <c r="ER499" s="81"/>
      <c r="ES499" s="81"/>
      <c r="ET499" s="81"/>
      <c r="EU499" s="81"/>
      <c r="EV499" s="81"/>
      <c r="EW499" s="81"/>
      <c r="EX499" s="81"/>
      <c r="EY499" s="81"/>
      <c r="EZ499" s="81"/>
      <c r="FA499" s="81"/>
      <c r="FB499" s="81"/>
      <c r="FC499" s="81"/>
      <c r="FD499" s="81"/>
      <c r="FE499" s="81"/>
      <c r="FF499" s="81"/>
      <c r="FG499" s="81"/>
      <c r="FH499" s="81"/>
      <c r="FI499" s="81"/>
      <c r="FJ499" s="81"/>
      <c r="FK499" s="81"/>
      <c r="FL499" s="81"/>
      <c r="FM499" s="81"/>
      <c r="FN499" s="81"/>
      <c r="FO499" s="81"/>
      <c r="FP499" s="81"/>
      <c r="FQ499" s="81"/>
      <c r="FR499" s="81"/>
      <c r="FS499" s="81"/>
      <c r="FT499" s="81"/>
      <c r="FU499" s="81"/>
      <c r="FV499" s="81"/>
      <c r="FW499" s="81"/>
      <c r="FX499" s="81"/>
      <c r="FY499" s="81"/>
      <c r="FZ499" s="81"/>
      <c r="GA499" s="81"/>
      <c r="GB499" s="81"/>
      <c r="GC499" s="81"/>
      <c r="GD499" s="81"/>
      <c r="GE499" s="81"/>
      <c r="GF499" s="81"/>
      <c r="GG499" s="81"/>
      <c r="GH499" s="81"/>
      <c r="GI499" s="81"/>
      <c r="GJ499" s="81"/>
      <c r="GK499" s="81"/>
      <c r="GL499" s="81"/>
      <c r="GM499" s="81"/>
      <c r="GN499" s="81"/>
      <c r="GO499" s="81"/>
      <c r="GP499" s="81"/>
      <c r="GQ499" s="81"/>
      <c r="GR499" s="81"/>
      <c r="GS499" s="81"/>
      <c r="GT499" s="81"/>
      <c r="GU499" s="81"/>
      <c r="GV499" s="81"/>
      <c r="GW499" s="81"/>
      <c r="GX499" s="81"/>
      <c r="GY499" s="81"/>
      <c r="GZ499" s="81"/>
      <c r="HA499" s="81"/>
      <c r="HB499" s="81"/>
      <c r="HC499" s="81"/>
      <c r="HD499" s="81"/>
      <c r="HE499" s="81"/>
      <c r="HF499" s="81"/>
      <c r="HG499" s="81"/>
      <c r="HH499" s="81"/>
      <c r="HI499" s="81"/>
      <c r="HJ499" s="81"/>
      <c r="HK499" s="81"/>
      <c r="HL499" s="81"/>
      <c r="HM499" s="81"/>
      <c r="HN499" s="81"/>
      <c r="HO499" s="81"/>
      <c r="HP499" s="81"/>
      <c r="HQ499" s="81"/>
      <c r="HR499" s="81"/>
      <c r="HS499" s="81"/>
      <c r="HT499" s="81"/>
      <c r="HU499" s="81"/>
      <c r="HV499" s="81"/>
      <c r="HW499" s="81"/>
      <c r="HX499" s="81"/>
      <c r="HY499" s="81"/>
      <c r="HZ499" s="81"/>
      <c r="IA499" s="81"/>
      <c r="IB499" s="81"/>
      <c r="IC499" s="81"/>
      <c r="ID499" s="81"/>
      <c r="IE499" s="81"/>
      <c r="IF499" s="81"/>
      <c r="IG499" s="81"/>
      <c r="IH499" s="81"/>
      <c r="II499" s="81"/>
      <c r="IJ499" s="81"/>
      <c r="IK499" s="81"/>
      <c r="IL499" s="81"/>
      <c r="IM499" s="81"/>
      <c r="IN499" s="81"/>
      <c r="IO499" s="81"/>
      <c r="IP499" s="81"/>
      <c r="IQ499" s="81"/>
      <c r="IR499" s="81"/>
      <c r="IS499" s="81"/>
      <c r="IT499" s="81"/>
      <c r="IU499" s="81"/>
      <c r="IV499" s="81"/>
    </row>
    <row r="500" spans="1:256" x14ac:dyDescent="0.2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2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  <c r="AY500" s="81"/>
      <c r="AZ500" s="81"/>
      <c r="BA500" s="81"/>
      <c r="BB500" s="81"/>
      <c r="BC500" s="81"/>
      <c r="BD500" s="81"/>
      <c r="BE500" s="81"/>
      <c r="BF500" s="81"/>
      <c r="BG500" s="81"/>
      <c r="BH500" s="81"/>
      <c r="BI500" s="81"/>
      <c r="BJ500" s="81"/>
      <c r="BK500" s="81"/>
      <c r="BL500" s="81"/>
      <c r="BM500" s="81"/>
      <c r="BN500" s="81"/>
      <c r="BO500" s="81"/>
      <c r="BP500" s="81"/>
      <c r="BQ500" s="81"/>
      <c r="BR500" s="81"/>
      <c r="BS500" s="81"/>
      <c r="BT500" s="81"/>
      <c r="BU500" s="81"/>
      <c r="BV500" s="81"/>
      <c r="BW500" s="81"/>
      <c r="BX500" s="81"/>
      <c r="BY500" s="81"/>
      <c r="BZ500" s="81"/>
      <c r="CA500" s="81"/>
      <c r="CB500" s="81"/>
      <c r="CC500" s="81"/>
      <c r="CD500" s="81"/>
      <c r="CE500" s="81"/>
      <c r="CF500" s="81"/>
      <c r="CG500" s="81"/>
      <c r="CH500" s="81"/>
      <c r="CI500" s="81"/>
      <c r="CJ500" s="81"/>
      <c r="CK500" s="81"/>
      <c r="CL500" s="81"/>
      <c r="CM500" s="81"/>
      <c r="CN500" s="81"/>
      <c r="CO500" s="81"/>
      <c r="CP500" s="81"/>
      <c r="CQ500" s="81"/>
      <c r="CR500" s="81"/>
      <c r="CS500" s="81"/>
      <c r="CT500" s="81"/>
      <c r="CU500" s="81"/>
      <c r="CV500" s="81"/>
      <c r="CW500" s="81"/>
      <c r="CX500" s="81"/>
      <c r="CY500" s="81"/>
      <c r="CZ500" s="81"/>
      <c r="DA500" s="81"/>
      <c r="DB500" s="81"/>
      <c r="DC500" s="81"/>
      <c r="DD500" s="81"/>
      <c r="DE500" s="81"/>
      <c r="DF500" s="81"/>
      <c r="DG500" s="81"/>
      <c r="DH500" s="81"/>
      <c r="DI500" s="81"/>
      <c r="DJ500" s="81"/>
      <c r="DK500" s="81"/>
      <c r="DL500" s="81"/>
      <c r="DM500" s="81"/>
      <c r="DN500" s="81"/>
      <c r="DO500" s="81"/>
      <c r="DP500" s="81"/>
      <c r="DQ500" s="81"/>
      <c r="DR500" s="81"/>
      <c r="DS500" s="81"/>
      <c r="DT500" s="81"/>
      <c r="DU500" s="81"/>
      <c r="DV500" s="81"/>
      <c r="DW500" s="81"/>
      <c r="DX500" s="81"/>
      <c r="DY500" s="81"/>
      <c r="DZ500" s="81"/>
      <c r="EA500" s="81"/>
      <c r="EB500" s="81"/>
      <c r="EC500" s="81"/>
      <c r="ED500" s="81"/>
      <c r="EE500" s="81"/>
      <c r="EF500" s="81"/>
      <c r="EG500" s="81"/>
      <c r="EH500" s="81"/>
      <c r="EI500" s="81"/>
      <c r="EJ500" s="81"/>
      <c r="EK500" s="81"/>
      <c r="EL500" s="81"/>
      <c r="EM500" s="81"/>
      <c r="EN500" s="81"/>
      <c r="EO500" s="81"/>
      <c r="EP500" s="81"/>
      <c r="EQ500" s="81"/>
      <c r="ER500" s="81"/>
      <c r="ES500" s="81"/>
      <c r="ET500" s="81"/>
      <c r="EU500" s="81"/>
      <c r="EV500" s="81"/>
      <c r="EW500" s="81"/>
      <c r="EX500" s="81"/>
      <c r="EY500" s="81"/>
      <c r="EZ500" s="81"/>
      <c r="FA500" s="81"/>
      <c r="FB500" s="81"/>
      <c r="FC500" s="81"/>
      <c r="FD500" s="81"/>
      <c r="FE500" s="81"/>
      <c r="FF500" s="81"/>
      <c r="FG500" s="81"/>
      <c r="FH500" s="81"/>
      <c r="FI500" s="81"/>
      <c r="FJ500" s="81"/>
      <c r="FK500" s="81"/>
      <c r="FL500" s="81"/>
      <c r="FM500" s="81"/>
      <c r="FN500" s="81"/>
      <c r="FO500" s="81"/>
      <c r="FP500" s="81"/>
      <c r="FQ500" s="81"/>
      <c r="FR500" s="81"/>
      <c r="FS500" s="81"/>
      <c r="FT500" s="81"/>
      <c r="FU500" s="81"/>
      <c r="FV500" s="81"/>
      <c r="FW500" s="81"/>
      <c r="FX500" s="81"/>
      <c r="FY500" s="81"/>
      <c r="FZ500" s="81"/>
      <c r="GA500" s="81"/>
      <c r="GB500" s="81"/>
      <c r="GC500" s="81"/>
      <c r="GD500" s="81"/>
      <c r="GE500" s="81"/>
      <c r="GF500" s="81"/>
      <c r="GG500" s="81"/>
      <c r="GH500" s="81"/>
      <c r="GI500" s="81"/>
      <c r="GJ500" s="81"/>
      <c r="GK500" s="81"/>
      <c r="GL500" s="81"/>
      <c r="GM500" s="81"/>
      <c r="GN500" s="81"/>
      <c r="GO500" s="81"/>
      <c r="GP500" s="81"/>
      <c r="GQ500" s="81"/>
      <c r="GR500" s="81"/>
      <c r="GS500" s="81"/>
      <c r="GT500" s="81"/>
      <c r="GU500" s="81"/>
      <c r="GV500" s="81"/>
      <c r="GW500" s="81"/>
      <c r="GX500" s="81"/>
      <c r="GY500" s="81"/>
      <c r="GZ500" s="81"/>
      <c r="HA500" s="81"/>
      <c r="HB500" s="81"/>
      <c r="HC500" s="81"/>
      <c r="HD500" s="81"/>
      <c r="HE500" s="81"/>
      <c r="HF500" s="81"/>
      <c r="HG500" s="81"/>
      <c r="HH500" s="81"/>
      <c r="HI500" s="81"/>
      <c r="HJ500" s="81"/>
      <c r="HK500" s="81"/>
      <c r="HL500" s="81"/>
      <c r="HM500" s="81"/>
      <c r="HN500" s="81"/>
      <c r="HO500" s="81"/>
      <c r="HP500" s="81"/>
      <c r="HQ500" s="81"/>
      <c r="HR500" s="81"/>
      <c r="HS500" s="81"/>
      <c r="HT500" s="81"/>
      <c r="HU500" s="81"/>
      <c r="HV500" s="81"/>
      <c r="HW500" s="81"/>
      <c r="HX500" s="81"/>
      <c r="HY500" s="81"/>
      <c r="HZ500" s="81"/>
      <c r="IA500" s="81"/>
      <c r="IB500" s="81"/>
      <c r="IC500" s="81"/>
      <c r="ID500" s="81"/>
      <c r="IE500" s="81"/>
      <c r="IF500" s="81"/>
      <c r="IG500" s="81"/>
      <c r="IH500" s="81"/>
      <c r="II500" s="81"/>
      <c r="IJ500" s="81"/>
      <c r="IK500" s="81"/>
      <c r="IL500" s="81"/>
      <c r="IM500" s="81"/>
      <c r="IN500" s="81"/>
      <c r="IO500" s="81"/>
      <c r="IP500" s="81"/>
      <c r="IQ500" s="81"/>
      <c r="IR500" s="81"/>
      <c r="IS500" s="81"/>
      <c r="IT500" s="81"/>
      <c r="IU500" s="81"/>
      <c r="IV500" s="81"/>
    </row>
    <row r="501" spans="1:256" x14ac:dyDescent="0.2">
      <c r="A501" s="75"/>
      <c r="B501" s="75"/>
      <c r="C501" s="75"/>
      <c r="D501" s="99" t="s">
        <v>217</v>
      </c>
      <c r="E501" s="97"/>
      <c r="F501" s="97"/>
      <c r="G501" s="97"/>
      <c r="H501" s="97"/>
      <c r="I501" s="97"/>
      <c r="J501" s="102">
        <f>J492</f>
        <v>186101.67</v>
      </c>
      <c r="K501" s="102"/>
      <c r="L501" s="102">
        <f>L492*0.925</f>
        <v>1007268.78</v>
      </c>
      <c r="M501" s="103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  <c r="AE501" s="104"/>
      <c r="AF501" s="104"/>
      <c r="AG501" s="104"/>
      <c r="AH501" s="104"/>
      <c r="AI501" s="104"/>
      <c r="AJ501" s="104"/>
      <c r="AK501" s="104"/>
      <c r="AL501" s="104"/>
      <c r="AM501" s="104"/>
      <c r="AN501" s="104"/>
      <c r="AO501" s="104"/>
      <c r="AP501" s="104"/>
      <c r="AQ501" s="104"/>
      <c r="AR501" s="104"/>
      <c r="AS501" s="104"/>
      <c r="AT501" s="104"/>
      <c r="AU501" s="104"/>
      <c r="AV501" s="104"/>
      <c r="AW501" s="104"/>
      <c r="AX501" s="104"/>
      <c r="AY501" s="104"/>
      <c r="AZ501" s="104"/>
      <c r="BA501" s="104"/>
      <c r="BB501" s="104"/>
      <c r="BC501" s="104"/>
      <c r="BD501" s="104"/>
      <c r="BE501" s="104"/>
      <c r="BF501" s="104"/>
      <c r="BG501" s="104"/>
      <c r="BH501" s="104"/>
      <c r="BI501" s="104"/>
      <c r="BJ501" s="104"/>
      <c r="BK501" s="104"/>
      <c r="BL501" s="104"/>
      <c r="BM501" s="104"/>
      <c r="BN501" s="104"/>
      <c r="BO501" s="104"/>
      <c r="BP501" s="104"/>
      <c r="BQ501" s="104"/>
      <c r="BR501" s="104"/>
      <c r="BS501" s="104"/>
      <c r="BT501" s="104"/>
      <c r="BU501" s="104"/>
      <c r="BV501" s="104"/>
      <c r="BW501" s="104"/>
      <c r="BX501" s="104"/>
      <c r="BY501" s="104"/>
      <c r="BZ501" s="104"/>
      <c r="CA501" s="104"/>
      <c r="CB501" s="104"/>
      <c r="CC501" s="104"/>
      <c r="CD501" s="104"/>
      <c r="CE501" s="104"/>
      <c r="CF501" s="104"/>
      <c r="CG501" s="104"/>
      <c r="CH501" s="104"/>
      <c r="CI501" s="104"/>
      <c r="CJ501" s="104"/>
      <c r="CK501" s="104"/>
      <c r="CL501" s="104"/>
      <c r="CM501" s="104"/>
      <c r="CN501" s="104"/>
      <c r="CO501" s="104"/>
      <c r="CP501" s="104"/>
      <c r="CQ501" s="104"/>
      <c r="CR501" s="104"/>
      <c r="CS501" s="104"/>
      <c r="CT501" s="104"/>
      <c r="CU501" s="104"/>
      <c r="CV501" s="104"/>
      <c r="CW501" s="104"/>
      <c r="CX501" s="104"/>
      <c r="CY501" s="104"/>
      <c r="CZ501" s="104"/>
      <c r="DA501" s="104"/>
      <c r="DB501" s="104"/>
      <c r="DC501" s="104"/>
      <c r="DD501" s="104"/>
      <c r="DE501" s="104"/>
      <c r="DF501" s="104"/>
      <c r="DG501" s="104"/>
      <c r="DH501" s="104"/>
      <c r="DI501" s="104"/>
      <c r="DJ501" s="104"/>
      <c r="DK501" s="104"/>
      <c r="DL501" s="104"/>
      <c r="DM501" s="104"/>
      <c r="DN501" s="104"/>
      <c r="DO501" s="104"/>
      <c r="DP501" s="104"/>
      <c r="DQ501" s="104"/>
      <c r="DR501" s="104"/>
      <c r="DS501" s="104"/>
      <c r="DT501" s="104"/>
      <c r="DU501" s="104"/>
      <c r="DV501" s="104"/>
      <c r="DW501" s="104"/>
      <c r="DX501" s="104"/>
      <c r="DY501" s="104"/>
      <c r="DZ501" s="104"/>
      <c r="EA501" s="104"/>
      <c r="EB501" s="104"/>
      <c r="EC501" s="104"/>
      <c r="ED501" s="104"/>
      <c r="EE501" s="104"/>
      <c r="EF501" s="104"/>
      <c r="EG501" s="104"/>
      <c r="EH501" s="104"/>
      <c r="EI501" s="104"/>
      <c r="EJ501" s="104"/>
      <c r="EK501" s="104"/>
      <c r="EL501" s="104"/>
      <c r="EM501" s="104"/>
      <c r="EN501" s="104"/>
      <c r="EO501" s="104"/>
      <c r="EP501" s="104"/>
      <c r="EQ501" s="104"/>
      <c r="ER501" s="104"/>
      <c r="ES501" s="104"/>
      <c r="ET501" s="104"/>
      <c r="EU501" s="104"/>
      <c r="EV501" s="104"/>
      <c r="EW501" s="104"/>
      <c r="EX501" s="104"/>
      <c r="EY501" s="104"/>
      <c r="EZ501" s="104"/>
      <c r="FA501" s="104"/>
      <c r="FB501" s="104"/>
      <c r="FC501" s="104"/>
      <c r="FD501" s="104"/>
      <c r="FE501" s="104"/>
      <c r="FF501" s="104"/>
      <c r="FG501" s="104"/>
      <c r="FH501" s="104"/>
      <c r="FI501" s="104"/>
      <c r="FJ501" s="104"/>
      <c r="FK501" s="104"/>
      <c r="FL501" s="104"/>
      <c r="FM501" s="104"/>
      <c r="FN501" s="104"/>
      <c r="FO501" s="104"/>
      <c r="FP501" s="104"/>
      <c r="FQ501" s="104"/>
      <c r="FR501" s="104"/>
      <c r="FS501" s="104"/>
      <c r="FT501" s="104"/>
      <c r="FU501" s="104"/>
      <c r="FV501" s="104"/>
      <c r="FW501" s="104"/>
      <c r="FX501" s="104"/>
      <c r="FY501" s="104"/>
      <c r="FZ501" s="104"/>
      <c r="GA501" s="104"/>
      <c r="GB501" s="104"/>
      <c r="GC501" s="104"/>
      <c r="GD501" s="104"/>
      <c r="GE501" s="104"/>
      <c r="GF501" s="104"/>
      <c r="GG501" s="104"/>
      <c r="GH501" s="104"/>
      <c r="GI501" s="104"/>
      <c r="GJ501" s="104"/>
      <c r="GK501" s="104"/>
      <c r="GL501" s="104"/>
      <c r="GM501" s="104"/>
      <c r="GN501" s="104"/>
      <c r="GO501" s="104"/>
      <c r="GP501" s="104"/>
      <c r="GQ501" s="104"/>
      <c r="GR501" s="104"/>
      <c r="GS501" s="104"/>
      <c r="GT501" s="104"/>
      <c r="GU501" s="104"/>
      <c r="GV501" s="104"/>
      <c r="GW501" s="104"/>
      <c r="GX501" s="104"/>
      <c r="GY501" s="104"/>
      <c r="GZ501" s="104"/>
      <c r="HA501" s="104"/>
      <c r="HB501" s="104"/>
      <c r="HC501" s="104"/>
      <c r="HD501" s="104"/>
      <c r="HE501" s="104"/>
      <c r="HF501" s="104"/>
      <c r="HG501" s="104"/>
      <c r="HH501" s="104"/>
      <c r="HI501" s="104"/>
      <c r="HJ501" s="104"/>
      <c r="HK501" s="104"/>
      <c r="HL501" s="104"/>
      <c r="HM501" s="104"/>
      <c r="HN501" s="104"/>
      <c r="HO501" s="104"/>
      <c r="HP501" s="104"/>
      <c r="HQ501" s="104"/>
      <c r="HR501" s="104"/>
      <c r="HS501" s="104"/>
      <c r="HT501" s="104"/>
      <c r="HU501" s="104"/>
      <c r="HV501" s="104"/>
      <c r="HW501" s="104"/>
      <c r="HX501" s="104"/>
      <c r="HY501" s="104"/>
      <c r="HZ501" s="104"/>
      <c r="IA501" s="104"/>
      <c r="IB501" s="104"/>
      <c r="IC501" s="104"/>
      <c r="ID501" s="104"/>
      <c r="IE501" s="104"/>
      <c r="IF501" s="104"/>
      <c r="IG501" s="104"/>
      <c r="IH501" s="104"/>
      <c r="II501" s="104"/>
      <c r="IJ501" s="104"/>
      <c r="IK501" s="104"/>
      <c r="IL501" s="104"/>
      <c r="IM501" s="104"/>
      <c r="IN501" s="104"/>
      <c r="IO501" s="104"/>
      <c r="IP501" s="104"/>
      <c r="IQ501" s="104"/>
      <c r="IR501" s="104"/>
      <c r="IS501" s="104"/>
      <c r="IT501" s="104"/>
      <c r="IU501" s="104"/>
      <c r="IV501" s="104"/>
    </row>
    <row r="502" spans="1:256" x14ac:dyDescent="0.2">
      <c r="A502" s="75"/>
      <c r="B502" s="75"/>
      <c r="C502" s="75"/>
      <c r="D502" s="97" t="s">
        <v>211</v>
      </c>
      <c r="E502" s="97"/>
      <c r="F502" s="97"/>
      <c r="G502" s="97"/>
      <c r="H502" s="97"/>
      <c r="I502" s="97"/>
      <c r="J502" s="98">
        <f>J501</f>
        <v>186101.67</v>
      </c>
      <c r="K502" s="98"/>
      <c r="L502" s="98">
        <f>L501</f>
        <v>1007268.78</v>
      </c>
      <c r="M502" s="103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  <c r="AD502" s="104"/>
      <c r="AE502" s="104"/>
      <c r="AF502" s="104"/>
      <c r="AG502" s="104"/>
      <c r="AH502" s="104"/>
      <c r="AI502" s="104"/>
      <c r="AJ502" s="104"/>
      <c r="AK502" s="104"/>
      <c r="AL502" s="104"/>
      <c r="AM502" s="104"/>
      <c r="AN502" s="104"/>
      <c r="AO502" s="104"/>
      <c r="AP502" s="104"/>
      <c r="AQ502" s="104"/>
      <c r="AR502" s="104"/>
      <c r="AS502" s="104"/>
      <c r="AT502" s="104"/>
      <c r="AU502" s="104"/>
      <c r="AV502" s="104"/>
      <c r="AW502" s="104"/>
      <c r="AX502" s="104"/>
      <c r="AY502" s="104"/>
      <c r="AZ502" s="104"/>
      <c r="BA502" s="104"/>
      <c r="BB502" s="104"/>
      <c r="BC502" s="104"/>
      <c r="BD502" s="104"/>
      <c r="BE502" s="104"/>
      <c r="BF502" s="104"/>
      <c r="BG502" s="104"/>
      <c r="BH502" s="104"/>
      <c r="BI502" s="104"/>
      <c r="BJ502" s="104"/>
      <c r="BK502" s="104"/>
      <c r="BL502" s="104"/>
      <c r="BM502" s="104"/>
      <c r="BN502" s="104"/>
      <c r="BO502" s="104"/>
      <c r="BP502" s="104"/>
      <c r="BQ502" s="104"/>
      <c r="BR502" s="104"/>
      <c r="BS502" s="104"/>
      <c r="BT502" s="104"/>
      <c r="BU502" s="104"/>
      <c r="BV502" s="104"/>
      <c r="BW502" s="104"/>
      <c r="BX502" s="104"/>
      <c r="BY502" s="104"/>
      <c r="BZ502" s="104"/>
      <c r="CA502" s="104"/>
      <c r="CB502" s="104"/>
      <c r="CC502" s="104"/>
      <c r="CD502" s="104"/>
      <c r="CE502" s="104"/>
      <c r="CF502" s="104"/>
      <c r="CG502" s="104"/>
      <c r="CH502" s="104"/>
      <c r="CI502" s="104"/>
      <c r="CJ502" s="104"/>
      <c r="CK502" s="104"/>
      <c r="CL502" s="104"/>
      <c r="CM502" s="104"/>
      <c r="CN502" s="104"/>
      <c r="CO502" s="104"/>
      <c r="CP502" s="104"/>
      <c r="CQ502" s="104"/>
      <c r="CR502" s="104"/>
      <c r="CS502" s="104"/>
      <c r="CT502" s="104"/>
      <c r="CU502" s="104"/>
      <c r="CV502" s="104"/>
      <c r="CW502" s="104"/>
      <c r="CX502" s="104"/>
      <c r="CY502" s="104"/>
      <c r="CZ502" s="104"/>
      <c r="DA502" s="104"/>
      <c r="DB502" s="104"/>
      <c r="DC502" s="104"/>
      <c r="DD502" s="104"/>
      <c r="DE502" s="104"/>
      <c r="DF502" s="104"/>
      <c r="DG502" s="104"/>
      <c r="DH502" s="104"/>
      <c r="DI502" s="104"/>
      <c r="DJ502" s="104"/>
      <c r="DK502" s="104"/>
      <c r="DL502" s="104"/>
      <c r="DM502" s="104"/>
      <c r="DN502" s="104"/>
      <c r="DO502" s="104"/>
      <c r="DP502" s="104"/>
      <c r="DQ502" s="104"/>
      <c r="DR502" s="104"/>
      <c r="DS502" s="104"/>
      <c r="DT502" s="104"/>
      <c r="DU502" s="104"/>
      <c r="DV502" s="104"/>
      <c r="DW502" s="104"/>
      <c r="DX502" s="104"/>
      <c r="DY502" s="104"/>
      <c r="DZ502" s="104"/>
      <c r="EA502" s="104"/>
      <c r="EB502" s="104"/>
      <c r="EC502" s="104"/>
      <c r="ED502" s="104"/>
      <c r="EE502" s="104"/>
      <c r="EF502" s="104"/>
      <c r="EG502" s="104"/>
      <c r="EH502" s="104"/>
      <c r="EI502" s="104"/>
      <c r="EJ502" s="104"/>
      <c r="EK502" s="104"/>
      <c r="EL502" s="104"/>
      <c r="EM502" s="104"/>
      <c r="EN502" s="104"/>
      <c r="EO502" s="104"/>
      <c r="EP502" s="104"/>
      <c r="EQ502" s="104"/>
      <c r="ER502" s="104"/>
      <c r="ES502" s="104"/>
      <c r="ET502" s="104"/>
      <c r="EU502" s="104"/>
      <c r="EV502" s="104"/>
      <c r="EW502" s="104"/>
      <c r="EX502" s="104"/>
      <c r="EY502" s="104"/>
      <c r="EZ502" s="104"/>
      <c r="FA502" s="104"/>
      <c r="FB502" s="104"/>
      <c r="FC502" s="104"/>
      <c r="FD502" s="104"/>
      <c r="FE502" s="104"/>
      <c r="FF502" s="104"/>
      <c r="FG502" s="104"/>
      <c r="FH502" s="104"/>
      <c r="FI502" s="104"/>
      <c r="FJ502" s="104"/>
      <c r="FK502" s="104"/>
      <c r="FL502" s="104"/>
      <c r="FM502" s="104"/>
      <c r="FN502" s="104"/>
      <c r="FO502" s="104"/>
      <c r="FP502" s="104"/>
      <c r="FQ502" s="104"/>
      <c r="FR502" s="104"/>
      <c r="FS502" s="104"/>
      <c r="FT502" s="104"/>
      <c r="FU502" s="104"/>
      <c r="FV502" s="104"/>
      <c r="FW502" s="104"/>
      <c r="FX502" s="104"/>
      <c r="FY502" s="104"/>
      <c r="FZ502" s="104"/>
      <c r="GA502" s="104"/>
      <c r="GB502" s="104"/>
      <c r="GC502" s="104"/>
      <c r="GD502" s="104"/>
      <c r="GE502" s="104"/>
      <c r="GF502" s="104"/>
      <c r="GG502" s="104"/>
      <c r="GH502" s="104"/>
      <c r="GI502" s="104"/>
      <c r="GJ502" s="104"/>
      <c r="GK502" s="104"/>
      <c r="GL502" s="104"/>
      <c r="GM502" s="104"/>
      <c r="GN502" s="104"/>
      <c r="GO502" s="104"/>
      <c r="GP502" s="104"/>
      <c r="GQ502" s="104"/>
      <c r="GR502" s="104"/>
      <c r="GS502" s="104"/>
      <c r="GT502" s="104"/>
      <c r="GU502" s="104"/>
      <c r="GV502" s="104"/>
      <c r="GW502" s="104"/>
      <c r="GX502" s="104"/>
      <c r="GY502" s="104"/>
      <c r="GZ502" s="104"/>
      <c r="HA502" s="104"/>
      <c r="HB502" s="104"/>
      <c r="HC502" s="104"/>
      <c r="HD502" s="104"/>
      <c r="HE502" s="104"/>
      <c r="HF502" s="104"/>
      <c r="HG502" s="104"/>
      <c r="HH502" s="104"/>
      <c r="HI502" s="104"/>
      <c r="HJ502" s="104"/>
      <c r="HK502" s="104"/>
      <c r="HL502" s="104"/>
      <c r="HM502" s="104"/>
      <c r="HN502" s="104"/>
      <c r="HO502" s="104"/>
      <c r="HP502" s="104"/>
      <c r="HQ502" s="104"/>
      <c r="HR502" s="104"/>
      <c r="HS502" s="104"/>
      <c r="HT502" s="104"/>
      <c r="HU502" s="104"/>
      <c r="HV502" s="104"/>
      <c r="HW502" s="104"/>
      <c r="HX502" s="104"/>
      <c r="HY502" s="104"/>
      <c r="HZ502" s="104"/>
      <c r="IA502" s="104"/>
      <c r="IB502" s="104"/>
      <c r="IC502" s="104"/>
      <c r="ID502" s="104"/>
      <c r="IE502" s="104"/>
      <c r="IF502" s="104"/>
      <c r="IG502" s="104"/>
      <c r="IH502" s="104"/>
      <c r="II502" s="104"/>
      <c r="IJ502" s="104"/>
      <c r="IK502" s="104"/>
      <c r="IL502" s="104"/>
      <c r="IM502" s="104"/>
      <c r="IN502" s="104"/>
      <c r="IO502" s="104"/>
      <c r="IP502" s="104"/>
      <c r="IQ502" s="104"/>
      <c r="IR502" s="104"/>
      <c r="IS502" s="104"/>
      <c r="IT502" s="104"/>
      <c r="IU502" s="104"/>
      <c r="IV502" s="104"/>
    </row>
    <row r="503" spans="1:256" x14ac:dyDescent="0.2">
      <c r="A503" s="75"/>
      <c r="B503" s="75"/>
      <c r="C503" s="75"/>
      <c r="D503" s="97" t="s">
        <v>212</v>
      </c>
      <c r="E503" s="97"/>
      <c r="F503" s="97"/>
      <c r="G503" s="97"/>
      <c r="H503" s="97"/>
      <c r="I503" s="97"/>
      <c r="J503" s="98">
        <f>J494</f>
        <v>4255.1499999999996</v>
      </c>
      <c r="K503" s="98"/>
      <c r="L503" s="98">
        <f>L494*0.925</f>
        <v>94228.2</v>
      </c>
      <c r="M503" s="103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  <c r="AE503" s="104"/>
      <c r="AF503" s="104"/>
      <c r="AG503" s="104"/>
      <c r="AH503" s="104"/>
      <c r="AI503" s="104"/>
      <c r="AJ503" s="104"/>
      <c r="AK503" s="104"/>
      <c r="AL503" s="104"/>
      <c r="AM503" s="104"/>
      <c r="AN503" s="104"/>
      <c r="AO503" s="104"/>
      <c r="AP503" s="104"/>
      <c r="AQ503" s="104"/>
      <c r="AR503" s="104"/>
      <c r="AS503" s="104"/>
      <c r="AT503" s="104"/>
      <c r="AU503" s="104"/>
      <c r="AV503" s="104"/>
      <c r="AW503" s="104"/>
      <c r="AX503" s="104"/>
      <c r="AY503" s="104"/>
      <c r="AZ503" s="104"/>
      <c r="BA503" s="104"/>
      <c r="BB503" s="104"/>
      <c r="BC503" s="104"/>
      <c r="BD503" s="104"/>
      <c r="BE503" s="104"/>
      <c r="BF503" s="104"/>
      <c r="BG503" s="104"/>
      <c r="BH503" s="104"/>
      <c r="BI503" s="104"/>
      <c r="BJ503" s="104"/>
      <c r="BK503" s="104"/>
      <c r="BL503" s="104"/>
      <c r="BM503" s="104"/>
      <c r="BN503" s="104"/>
      <c r="BO503" s="104"/>
      <c r="BP503" s="104"/>
      <c r="BQ503" s="104"/>
      <c r="BR503" s="104"/>
      <c r="BS503" s="104"/>
      <c r="BT503" s="104"/>
      <c r="BU503" s="104"/>
      <c r="BV503" s="104"/>
      <c r="BW503" s="104"/>
      <c r="BX503" s="104"/>
      <c r="BY503" s="104"/>
      <c r="BZ503" s="104"/>
      <c r="CA503" s="104"/>
      <c r="CB503" s="104"/>
      <c r="CC503" s="104"/>
      <c r="CD503" s="104"/>
      <c r="CE503" s="104"/>
      <c r="CF503" s="104"/>
      <c r="CG503" s="104"/>
      <c r="CH503" s="104"/>
      <c r="CI503" s="104"/>
      <c r="CJ503" s="104"/>
      <c r="CK503" s="104"/>
      <c r="CL503" s="104"/>
      <c r="CM503" s="104"/>
      <c r="CN503" s="104"/>
      <c r="CO503" s="104"/>
      <c r="CP503" s="104"/>
      <c r="CQ503" s="104"/>
      <c r="CR503" s="104"/>
      <c r="CS503" s="104"/>
      <c r="CT503" s="104"/>
      <c r="CU503" s="104"/>
      <c r="CV503" s="104"/>
      <c r="CW503" s="104"/>
      <c r="CX503" s="104"/>
      <c r="CY503" s="104"/>
      <c r="CZ503" s="104"/>
      <c r="DA503" s="104"/>
      <c r="DB503" s="104"/>
      <c r="DC503" s="104"/>
      <c r="DD503" s="104"/>
      <c r="DE503" s="104"/>
      <c r="DF503" s="104"/>
      <c r="DG503" s="104"/>
      <c r="DH503" s="104"/>
      <c r="DI503" s="104"/>
      <c r="DJ503" s="104"/>
      <c r="DK503" s="104"/>
      <c r="DL503" s="104"/>
      <c r="DM503" s="104"/>
      <c r="DN503" s="104"/>
      <c r="DO503" s="104"/>
      <c r="DP503" s="104"/>
      <c r="DQ503" s="104"/>
      <c r="DR503" s="104"/>
      <c r="DS503" s="104"/>
      <c r="DT503" s="104"/>
      <c r="DU503" s="104"/>
      <c r="DV503" s="104"/>
      <c r="DW503" s="104"/>
      <c r="DX503" s="104"/>
      <c r="DY503" s="104"/>
      <c r="DZ503" s="104"/>
      <c r="EA503" s="104"/>
      <c r="EB503" s="104"/>
      <c r="EC503" s="104"/>
      <c r="ED503" s="104"/>
      <c r="EE503" s="104"/>
      <c r="EF503" s="104"/>
      <c r="EG503" s="104"/>
      <c r="EH503" s="104"/>
      <c r="EI503" s="104"/>
      <c r="EJ503" s="104"/>
      <c r="EK503" s="104"/>
      <c r="EL503" s="104"/>
      <c r="EM503" s="104"/>
      <c r="EN503" s="104"/>
      <c r="EO503" s="104"/>
      <c r="EP503" s="104"/>
      <c r="EQ503" s="104"/>
      <c r="ER503" s="104"/>
      <c r="ES503" s="104"/>
      <c r="ET503" s="104"/>
      <c r="EU503" s="104"/>
      <c r="EV503" s="104"/>
      <c r="EW503" s="104"/>
      <c r="EX503" s="104"/>
      <c r="EY503" s="104"/>
      <c r="EZ503" s="104"/>
      <c r="FA503" s="104"/>
      <c r="FB503" s="104"/>
      <c r="FC503" s="104"/>
      <c r="FD503" s="104"/>
      <c r="FE503" s="104"/>
      <c r="FF503" s="104"/>
      <c r="FG503" s="104"/>
      <c r="FH503" s="104"/>
      <c r="FI503" s="104"/>
      <c r="FJ503" s="104"/>
      <c r="FK503" s="104"/>
      <c r="FL503" s="104"/>
      <c r="FM503" s="104"/>
      <c r="FN503" s="104"/>
      <c r="FO503" s="104"/>
      <c r="FP503" s="104"/>
      <c r="FQ503" s="104"/>
      <c r="FR503" s="104"/>
      <c r="FS503" s="104"/>
      <c r="FT503" s="104"/>
      <c r="FU503" s="104"/>
      <c r="FV503" s="104"/>
      <c r="FW503" s="104"/>
      <c r="FX503" s="104"/>
      <c r="FY503" s="104"/>
      <c r="FZ503" s="104"/>
      <c r="GA503" s="104"/>
      <c r="GB503" s="104"/>
      <c r="GC503" s="104"/>
      <c r="GD503" s="104"/>
      <c r="GE503" s="104"/>
      <c r="GF503" s="104"/>
      <c r="GG503" s="104"/>
      <c r="GH503" s="104"/>
      <c r="GI503" s="104"/>
      <c r="GJ503" s="104"/>
      <c r="GK503" s="104"/>
      <c r="GL503" s="104"/>
      <c r="GM503" s="104"/>
      <c r="GN503" s="104"/>
      <c r="GO503" s="104"/>
      <c r="GP503" s="104"/>
      <c r="GQ503" s="104"/>
      <c r="GR503" s="104"/>
      <c r="GS503" s="104"/>
      <c r="GT503" s="104"/>
      <c r="GU503" s="104"/>
      <c r="GV503" s="104"/>
      <c r="GW503" s="104"/>
      <c r="GX503" s="104"/>
      <c r="GY503" s="104"/>
      <c r="GZ503" s="104"/>
      <c r="HA503" s="104"/>
      <c r="HB503" s="104"/>
      <c r="HC503" s="104"/>
      <c r="HD503" s="104"/>
      <c r="HE503" s="104"/>
      <c r="HF503" s="104"/>
      <c r="HG503" s="104"/>
      <c r="HH503" s="104"/>
      <c r="HI503" s="104"/>
      <c r="HJ503" s="104"/>
      <c r="HK503" s="104"/>
      <c r="HL503" s="104"/>
      <c r="HM503" s="104"/>
      <c r="HN503" s="104"/>
      <c r="HO503" s="104"/>
      <c r="HP503" s="104"/>
      <c r="HQ503" s="104"/>
      <c r="HR503" s="104"/>
      <c r="HS503" s="104"/>
      <c r="HT503" s="104"/>
      <c r="HU503" s="104"/>
      <c r="HV503" s="104"/>
      <c r="HW503" s="104"/>
      <c r="HX503" s="104"/>
      <c r="HY503" s="104"/>
      <c r="HZ503" s="104"/>
      <c r="IA503" s="104"/>
      <c r="IB503" s="104"/>
      <c r="IC503" s="104"/>
      <c r="ID503" s="104"/>
      <c r="IE503" s="104"/>
      <c r="IF503" s="104"/>
      <c r="IG503" s="104"/>
      <c r="IH503" s="104"/>
      <c r="II503" s="104"/>
      <c r="IJ503" s="104"/>
      <c r="IK503" s="104"/>
      <c r="IL503" s="104"/>
      <c r="IM503" s="104"/>
      <c r="IN503" s="104"/>
      <c r="IO503" s="104"/>
      <c r="IP503" s="104"/>
      <c r="IQ503" s="104"/>
      <c r="IR503" s="104"/>
      <c r="IS503" s="104"/>
      <c r="IT503" s="104"/>
      <c r="IU503" s="104"/>
      <c r="IV503" s="104"/>
    </row>
    <row r="504" spans="1:256" x14ac:dyDescent="0.2">
      <c r="A504" s="75"/>
      <c r="B504" s="75"/>
      <c r="C504" s="75"/>
      <c r="D504" s="97" t="s">
        <v>213</v>
      </c>
      <c r="E504" s="97"/>
      <c r="F504" s="97"/>
      <c r="G504" s="97"/>
      <c r="H504" s="97"/>
      <c r="I504" s="97"/>
      <c r="J504" s="98">
        <f>J495</f>
        <v>172192.61</v>
      </c>
      <c r="K504" s="98"/>
      <c r="L504" s="98">
        <f>L495*0.925</f>
        <v>774019.92</v>
      </c>
      <c r="M504" s="103"/>
    </row>
    <row r="505" spans="1:256" x14ac:dyDescent="0.2">
      <c r="A505" s="75"/>
      <c r="B505" s="75"/>
      <c r="C505" s="75"/>
      <c r="D505" s="105" t="s">
        <v>214</v>
      </c>
      <c r="E505" s="97"/>
      <c r="F505" s="97"/>
      <c r="G505" s="97"/>
      <c r="H505" s="97"/>
      <c r="I505" s="97"/>
      <c r="J505" s="106">
        <v>0</v>
      </c>
      <c r="K505" s="98"/>
      <c r="L505" s="106">
        <v>0</v>
      </c>
      <c r="M505" s="103"/>
    </row>
    <row r="506" spans="1:256" x14ac:dyDescent="0.2">
      <c r="A506" s="75"/>
      <c r="B506" s="75"/>
      <c r="C506" s="75"/>
      <c r="D506" s="97" t="s">
        <v>215</v>
      </c>
      <c r="E506" s="97"/>
      <c r="F506" s="97"/>
      <c r="G506" s="97"/>
      <c r="H506" s="97"/>
      <c r="I506" s="97"/>
      <c r="J506" s="98">
        <f>J503*0.15</f>
        <v>638.27</v>
      </c>
      <c r="K506" s="98"/>
      <c r="L506" s="98">
        <f>L503*0.15</f>
        <v>14134.23</v>
      </c>
      <c r="M506" s="103"/>
    </row>
    <row r="507" spans="1:256" x14ac:dyDescent="0.2">
      <c r="A507" s="75"/>
      <c r="B507" s="75"/>
      <c r="C507" s="75"/>
      <c r="D507" s="99" t="s">
        <v>218</v>
      </c>
      <c r="E507" s="100"/>
      <c r="F507" s="100"/>
      <c r="G507" s="100"/>
      <c r="H507" s="100"/>
      <c r="I507" s="100"/>
      <c r="J507" s="102">
        <f>J506+J501</f>
        <v>186739.94</v>
      </c>
      <c r="K507" s="100"/>
      <c r="L507" s="102">
        <f>L506+L501</f>
        <v>1021403.01</v>
      </c>
      <c r="M507" s="103"/>
    </row>
    <row r="508" spans="1:256" x14ac:dyDescent="0.2">
      <c r="A508" s="75"/>
      <c r="B508" s="75"/>
      <c r="C508" s="75"/>
      <c r="D508" s="107"/>
      <c r="E508" s="107"/>
      <c r="F508" s="107"/>
      <c r="G508" s="107"/>
      <c r="H508" s="107"/>
      <c r="I508" s="107"/>
      <c r="J508" s="107"/>
      <c r="K508" s="107"/>
      <c r="L508" s="107"/>
      <c r="M508" s="103"/>
    </row>
    <row r="509" spans="1:256" x14ac:dyDescent="0.2">
      <c r="A509" s="75"/>
      <c r="B509" s="75"/>
      <c r="C509" s="75"/>
      <c r="D509" s="107"/>
      <c r="E509" s="107"/>
      <c r="F509" s="107"/>
      <c r="G509" s="107"/>
      <c r="H509" s="107"/>
      <c r="I509" s="107"/>
      <c r="J509" s="107"/>
      <c r="K509" s="107"/>
      <c r="L509" s="107"/>
      <c r="M509" s="103"/>
    </row>
    <row r="510" spans="1:256" x14ac:dyDescent="0.2">
      <c r="A510" s="75"/>
      <c r="B510" s="75"/>
      <c r="C510" s="75"/>
      <c r="D510" s="108" t="s">
        <v>219</v>
      </c>
      <c r="E510" s="109"/>
      <c r="F510" s="109"/>
      <c r="G510" s="109"/>
      <c r="H510" s="109"/>
      <c r="I510" s="110"/>
      <c r="J510" s="111">
        <f>J507</f>
        <v>186739.94</v>
      </c>
      <c r="K510" s="112"/>
      <c r="L510" s="111">
        <f>L507</f>
        <v>1021403.01</v>
      </c>
      <c r="M510" s="103"/>
    </row>
    <row r="511" spans="1:256" x14ac:dyDescent="0.2">
      <c r="A511" s="75"/>
      <c r="B511" s="75"/>
      <c r="C511" s="75"/>
      <c r="D511" s="113" t="s">
        <v>220</v>
      </c>
      <c r="E511" s="114"/>
      <c r="F511" s="114"/>
      <c r="G511" s="114"/>
      <c r="H511" s="114"/>
      <c r="I511" s="115"/>
      <c r="J511" s="116">
        <f>J502</f>
        <v>186101.67</v>
      </c>
      <c r="K511" s="117"/>
      <c r="L511" s="116">
        <f>L502</f>
        <v>1007268.78</v>
      </c>
      <c r="M511" s="103"/>
    </row>
    <row r="512" spans="1:256" x14ac:dyDescent="0.2">
      <c r="A512" s="75"/>
      <c r="B512" s="75"/>
      <c r="C512" s="75"/>
      <c r="D512" s="113" t="s">
        <v>221</v>
      </c>
      <c r="E512" s="114"/>
      <c r="F512" s="114"/>
      <c r="G512" s="114"/>
      <c r="H512" s="114"/>
      <c r="I512" s="115"/>
      <c r="J512" s="116">
        <f>J506</f>
        <v>638.27</v>
      </c>
      <c r="K512" s="118"/>
      <c r="L512" s="116">
        <f>L506</f>
        <v>14134.23</v>
      </c>
      <c r="M512" s="103"/>
    </row>
    <row r="513" spans="1:14" x14ac:dyDescent="0.2">
      <c r="A513" s="75"/>
      <c r="B513" s="75"/>
      <c r="C513" s="75"/>
      <c r="D513" s="113" t="s">
        <v>222</v>
      </c>
      <c r="E513" s="114"/>
      <c r="F513" s="114"/>
      <c r="G513" s="114"/>
      <c r="H513" s="114"/>
      <c r="I513" s="115"/>
      <c r="J513" s="116">
        <v>0</v>
      </c>
      <c r="K513" s="116"/>
      <c r="L513" s="116">
        <v>0</v>
      </c>
      <c r="M513" s="103"/>
    </row>
    <row r="514" spans="1:14" x14ac:dyDescent="0.2">
      <c r="A514" s="75"/>
      <c r="B514" s="75"/>
      <c r="C514" s="75"/>
      <c r="D514" s="113" t="s">
        <v>223</v>
      </c>
      <c r="E514" s="114"/>
      <c r="F514" s="114"/>
      <c r="G514" s="114"/>
      <c r="H514" s="114"/>
      <c r="I514" s="115"/>
      <c r="J514" s="119">
        <v>0</v>
      </c>
      <c r="K514" s="119"/>
      <c r="L514" s="119">
        <v>0</v>
      </c>
      <c r="M514" s="103"/>
    </row>
    <row r="518" spans="1:14" x14ac:dyDescent="0.2">
      <c r="A518" s="544" t="s">
        <v>224</v>
      </c>
      <c r="B518" s="544"/>
      <c r="C518" s="544"/>
      <c r="D518" s="544"/>
      <c r="E518" s="544"/>
      <c r="F518" s="544"/>
      <c r="G518" s="544"/>
      <c r="H518" s="544"/>
      <c r="I518" s="544"/>
      <c r="J518" s="120"/>
      <c r="K518" s="545" t="s">
        <v>228</v>
      </c>
      <c r="L518" s="545"/>
      <c r="M518" s="103"/>
      <c r="N518" s="104"/>
    </row>
    <row r="519" spans="1:14" x14ac:dyDescent="0.2">
      <c r="A519" s="107"/>
      <c r="B519" s="107"/>
      <c r="C519" s="107"/>
      <c r="D519" s="546"/>
      <c r="E519" s="546"/>
      <c r="F519" s="107"/>
      <c r="G519" s="107"/>
      <c r="H519" s="547"/>
      <c r="I519" s="547"/>
      <c r="J519" s="547"/>
      <c r="K519" s="547"/>
      <c r="L519" s="547"/>
      <c r="M519" s="103"/>
      <c r="N519" s="104"/>
    </row>
    <row r="520" spans="1:14" x14ac:dyDescent="0.2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2"/>
      <c r="N520" s="123"/>
    </row>
    <row r="521" spans="1:14" x14ac:dyDescent="0.2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2"/>
      <c r="N521" s="123"/>
    </row>
    <row r="522" spans="1:14" x14ac:dyDescent="0.2">
      <c r="A522" s="124" t="s">
        <v>225</v>
      </c>
      <c r="B522" s="124"/>
      <c r="C522" s="124"/>
      <c r="D522" s="124"/>
      <c r="E522" s="124"/>
      <c r="F522" s="124"/>
      <c r="G522" s="124"/>
      <c r="H522" s="124"/>
      <c r="I522" s="124"/>
      <c r="J522" s="545" t="s">
        <v>226</v>
      </c>
      <c r="K522" s="545"/>
      <c r="L522" s="545"/>
      <c r="M522" s="103"/>
      <c r="N522" s="104"/>
    </row>
  </sheetData>
  <mergeCells count="257">
    <mergeCell ref="D488:H488"/>
    <mergeCell ref="D489:H489"/>
    <mergeCell ref="A518:I518"/>
    <mergeCell ref="K518:L518"/>
    <mergeCell ref="D519:E519"/>
    <mergeCell ref="H519:L519"/>
    <mergeCell ref="J522:L522"/>
    <mergeCell ref="D486:H486"/>
    <mergeCell ref="I486:J486"/>
    <mergeCell ref="K486:L486"/>
    <mergeCell ref="D485:H485"/>
    <mergeCell ref="I485:J485"/>
    <mergeCell ref="K485:L485"/>
    <mergeCell ref="A481:H481"/>
    <mergeCell ref="I481:J481"/>
    <mergeCell ref="K481:L481"/>
    <mergeCell ref="I464:J464"/>
    <mergeCell ref="K464:L464"/>
    <mergeCell ref="I469:J469"/>
    <mergeCell ref="K469:L469"/>
    <mergeCell ref="I471:J471"/>
    <mergeCell ref="K471:L471"/>
    <mergeCell ref="I473:J473"/>
    <mergeCell ref="K473:L473"/>
    <mergeCell ref="I475:J475"/>
    <mergeCell ref="K475:L475"/>
    <mergeCell ref="A477:H477"/>
    <mergeCell ref="I477:J477"/>
    <mergeCell ref="K477:L477"/>
    <mergeCell ref="D484:H484"/>
    <mergeCell ref="I484:J484"/>
    <mergeCell ref="K484:L484"/>
    <mergeCell ref="I446:J446"/>
    <mergeCell ref="K446:L446"/>
    <mergeCell ref="I451:J451"/>
    <mergeCell ref="K451:L451"/>
    <mergeCell ref="I453:J453"/>
    <mergeCell ref="K453:L453"/>
    <mergeCell ref="I428:J428"/>
    <mergeCell ref="K428:L428"/>
    <mergeCell ref="I433:J433"/>
    <mergeCell ref="K433:L433"/>
    <mergeCell ref="I435:J435"/>
    <mergeCell ref="K435:L435"/>
    <mergeCell ref="I411:J411"/>
    <mergeCell ref="K411:L411"/>
    <mergeCell ref="A413:H413"/>
    <mergeCell ref="I413:J413"/>
    <mergeCell ref="K413:L413"/>
    <mergeCell ref="A417:L417"/>
    <mergeCell ref="I402:J402"/>
    <mergeCell ref="K402:L402"/>
    <mergeCell ref="I407:J407"/>
    <mergeCell ref="K407:L407"/>
    <mergeCell ref="I409:J409"/>
    <mergeCell ref="K409:L409"/>
    <mergeCell ref="I387:J387"/>
    <mergeCell ref="K387:L387"/>
    <mergeCell ref="I389:J389"/>
    <mergeCell ref="K389:L389"/>
    <mergeCell ref="I391:J391"/>
    <mergeCell ref="K391:L391"/>
    <mergeCell ref="I370:J370"/>
    <mergeCell ref="K370:L370"/>
    <mergeCell ref="I380:J380"/>
    <mergeCell ref="K380:L380"/>
    <mergeCell ref="I385:J385"/>
    <mergeCell ref="K385:L385"/>
    <mergeCell ref="I364:J364"/>
    <mergeCell ref="K364:L364"/>
    <mergeCell ref="I366:J366"/>
    <mergeCell ref="K366:L366"/>
    <mergeCell ref="I368:J368"/>
    <mergeCell ref="K368:L368"/>
    <mergeCell ref="A345:H345"/>
    <mergeCell ref="I345:J345"/>
    <mergeCell ref="K345:L345"/>
    <mergeCell ref="A349:L349"/>
    <mergeCell ref="I359:J359"/>
    <mergeCell ref="K359:L359"/>
    <mergeCell ref="A335:L335"/>
    <mergeCell ref="I337:J337"/>
    <mergeCell ref="K337:L337"/>
    <mergeCell ref="I339:J339"/>
    <mergeCell ref="K339:L339"/>
    <mergeCell ref="A341:H341"/>
    <mergeCell ref="I341:J341"/>
    <mergeCell ref="K341:L341"/>
    <mergeCell ref="I329:J329"/>
    <mergeCell ref="K329:L329"/>
    <mergeCell ref="I331:J331"/>
    <mergeCell ref="K331:L331"/>
    <mergeCell ref="I333:J333"/>
    <mergeCell ref="K333:L333"/>
    <mergeCell ref="I323:J323"/>
    <mergeCell ref="K323:L323"/>
    <mergeCell ref="I325:J325"/>
    <mergeCell ref="K325:L325"/>
    <mergeCell ref="I327:J327"/>
    <mergeCell ref="K327:L327"/>
    <mergeCell ref="I317:J317"/>
    <mergeCell ref="K317:L317"/>
    <mergeCell ref="I319:J319"/>
    <mergeCell ref="K319:L319"/>
    <mergeCell ref="I321:J321"/>
    <mergeCell ref="K321:L321"/>
    <mergeCell ref="I299:J299"/>
    <mergeCell ref="K299:L299"/>
    <mergeCell ref="I310:J310"/>
    <mergeCell ref="K310:L310"/>
    <mergeCell ref="I315:J315"/>
    <mergeCell ref="K315:L315"/>
    <mergeCell ref="I281:J281"/>
    <mergeCell ref="K281:L281"/>
    <mergeCell ref="I292:J292"/>
    <mergeCell ref="K292:L292"/>
    <mergeCell ref="I297:J297"/>
    <mergeCell ref="K297:L297"/>
    <mergeCell ref="I263:J263"/>
    <mergeCell ref="K263:L263"/>
    <mergeCell ref="I274:J274"/>
    <mergeCell ref="K274:L274"/>
    <mergeCell ref="I279:J279"/>
    <mergeCell ref="K279:L279"/>
    <mergeCell ref="I257:J257"/>
    <mergeCell ref="K257:L257"/>
    <mergeCell ref="I259:J259"/>
    <mergeCell ref="K259:L259"/>
    <mergeCell ref="I261:J261"/>
    <mergeCell ref="K261:L261"/>
    <mergeCell ref="I240:J240"/>
    <mergeCell ref="K240:L240"/>
    <mergeCell ref="I242:J242"/>
    <mergeCell ref="K242:L242"/>
    <mergeCell ref="I252:J252"/>
    <mergeCell ref="K252:L252"/>
    <mergeCell ref="I223:J223"/>
    <mergeCell ref="K223:L223"/>
    <mergeCell ref="I233:J233"/>
    <mergeCell ref="K233:L233"/>
    <mergeCell ref="I238:J238"/>
    <mergeCell ref="K238:L238"/>
    <mergeCell ref="I217:J217"/>
    <mergeCell ref="K217:L217"/>
    <mergeCell ref="I219:J219"/>
    <mergeCell ref="K219:L219"/>
    <mergeCell ref="I221:J221"/>
    <mergeCell ref="K221:L221"/>
    <mergeCell ref="I200:J200"/>
    <mergeCell ref="K200:L200"/>
    <mergeCell ref="I202:J202"/>
    <mergeCell ref="K202:L202"/>
    <mergeCell ref="I212:J212"/>
    <mergeCell ref="K212:L212"/>
    <mergeCell ref="I191:J191"/>
    <mergeCell ref="K191:L191"/>
    <mergeCell ref="I196:J196"/>
    <mergeCell ref="K196:L196"/>
    <mergeCell ref="I198:J198"/>
    <mergeCell ref="K198:L198"/>
    <mergeCell ref="A164:L164"/>
    <mergeCell ref="I174:J174"/>
    <mergeCell ref="K174:L174"/>
    <mergeCell ref="I179:J179"/>
    <mergeCell ref="K179:L179"/>
    <mergeCell ref="I181:J181"/>
    <mergeCell ref="K181:L181"/>
    <mergeCell ref="A160:H160"/>
    <mergeCell ref="I160:J160"/>
    <mergeCell ref="K160:L160"/>
    <mergeCell ref="I158:J158"/>
    <mergeCell ref="K158:L158"/>
    <mergeCell ref="I152:J152"/>
    <mergeCell ref="K152:L152"/>
    <mergeCell ref="I154:J154"/>
    <mergeCell ref="K154:L154"/>
    <mergeCell ref="I156:J156"/>
    <mergeCell ref="K156:L156"/>
    <mergeCell ref="I134:J134"/>
    <mergeCell ref="K134:L134"/>
    <mergeCell ref="I136:J136"/>
    <mergeCell ref="K136:L136"/>
    <mergeCell ref="I147:J147"/>
    <mergeCell ref="K147:L147"/>
    <mergeCell ref="I125:J125"/>
    <mergeCell ref="K125:L125"/>
    <mergeCell ref="I130:J130"/>
    <mergeCell ref="K130:L130"/>
    <mergeCell ref="I132:J132"/>
    <mergeCell ref="K132:L132"/>
    <mergeCell ref="I109:J109"/>
    <mergeCell ref="K109:L109"/>
    <mergeCell ref="A111:H111"/>
    <mergeCell ref="I111:J111"/>
    <mergeCell ref="K111:L111"/>
    <mergeCell ref="A115:L115"/>
    <mergeCell ref="I103:J103"/>
    <mergeCell ref="K103:L103"/>
    <mergeCell ref="I105:J105"/>
    <mergeCell ref="K105:L105"/>
    <mergeCell ref="I107:J107"/>
    <mergeCell ref="K107:L107"/>
    <mergeCell ref="I85:J85"/>
    <mergeCell ref="K85:L85"/>
    <mergeCell ref="I87:J87"/>
    <mergeCell ref="K87:L87"/>
    <mergeCell ref="I98:J98"/>
    <mergeCell ref="K98:L98"/>
    <mergeCell ref="I76:J76"/>
    <mergeCell ref="K76:L76"/>
    <mergeCell ref="I81:J81"/>
    <mergeCell ref="K81:L81"/>
    <mergeCell ref="I83:J83"/>
    <mergeCell ref="K83:L83"/>
    <mergeCell ref="A63:L63"/>
    <mergeCell ref="I65:J65"/>
    <mergeCell ref="K65:L65"/>
    <mergeCell ref="A59:H59"/>
    <mergeCell ref="I59:J59"/>
    <mergeCell ref="K59:L59"/>
    <mergeCell ref="I53:J53"/>
    <mergeCell ref="K53:L53"/>
    <mergeCell ref="I55:J55"/>
    <mergeCell ref="K55:L55"/>
    <mergeCell ref="I57:J57"/>
    <mergeCell ref="K57:L57"/>
    <mergeCell ref="I35:J35"/>
    <mergeCell ref="K35:L35"/>
    <mergeCell ref="I37:J37"/>
    <mergeCell ref="K37:L37"/>
    <mergeCell ref="I48:J48"/>
    <mergeCell ref="K48:L48"/>
    <mergeCell ref="A19:L19"/>
    <mergeCell ref="I30:J30"/>
    <mergeCell ref="K30:L30"/>
    <mergeCell ref="A1:L1"/>
    <mergeCell ref="A2:L2"/>
    <mergeCell ref="A15:L15"/>
    <mergeCell ref="A16:L16"/>
    <mergeCell ref="A17:L17"/>
    <mergeCell ref="A12:L12"/>
    <mergeCell ref="A13:L13"/>
    <mergeCell ref="A14:L14"/>
    <mergeCell ref="J5:J9"/>
    <mergeCell ref="K5:K9"/>
    <mergeCell ref="L5:L9"/>
    <mergeCell ref="A6:A9"/>
    <mergeCell ref="B6:B9"/>
    <mergeCell ref="A4:L4"/>
    <mergeCell ref="A5:B5"/>
    <mergeCell ref="C5:C9"/>
    <mergeCell ref="D5:D9"/>
    <mergeCell ref="E5:E9"/>
    <mergeCell ref="F5:F9"/>
    <mergeCell ref="G5:G9"/>
    <mergeCell ref="H5:H9"/>
    <mergeCell ref="I5:I9"/>
  </mergeCells>
  <pageMargins left="0.39370078740157483" right="0.19685039370078741" top="0.19685039370078741" bottom="0.39370078740157483" header="0.19685039370078741" footer="0.19685039370078741"/>
  <pageSetup paperSize="9" scale="61" firstPageNumber="16" fitToHeight="0" orientation="portrait" useFirstPageNumber="1" r:id="rId1"/>
  <headerFooter>
    <oddHeader>&amp;L&amp;8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8"/>
  <sheetViews>
    <sheetView view="pageBreakPreview" topLeftCell="A162" zoomScale="70" zoomScaleNormal="100" zoomScaleSheetLayoutView="70" workbookViewId="0">
      <selection activeCell="G178" sqref="G178"/>
    </sheetView>
  </sheetViews>
  <sheetFormatPr defaultRowHeight="12.75" x14ac:dyDescent="0.2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9" max="9" width="10.7109375" customWidth="1"/>
    <col min="10" max="10" width="17.7109375" customWidth="1"/>
    <col min="11" max="11" width="12.7109375" customWidth="1"/>
    <col min="12" max="12" width="19.7109375" customWidth="1"/>
    <col min="13" max="13" width="16.7109375" customWidth="1"/>
    <col min="15" max="30" width="0" hidden="1" customWidth="1"/>
    <col min="31" max="31" width="155.7109375" hidden="1" customWidth="1"/>
    <col min="32" max="32" width="109.7109375" hidden="1" customWidth="1"/>
    <col min="33" max="36" width="0" hidden="1" customWidth="1"/>
    <col min="37" max="37" width="12.140625" bestFit="1" customWidth="1"/>
  </cols>
  <sheetData>
    <row r="1" spans="1:12" s="32" customFormat="1" ht="14.25" customHeight="1" x14ac:dyDescent="0.25">
      <c r="A1" s="533" t="s">
        <v>396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1:12" s="32" customFormat="1" ht="37.5" customHeight="1" x14ac:dyDescent="0.2">
      <c r="A2" s="534" t="s">
        <v>198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25" x14ac:dyDescent="0.2">
      <c r="A4" s="519" t="s">
        <v>107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ht="14.25" x14ac:dyDescent="0.2">
      <c r="A5" s="520" t="s">
        <v>7</v>
      </c>
      <c r="B5" s="520"/>
      <c r="C5" s="520" t="s">
        <v>8</v>
      </c>
      <c r="D5" s="520" t="s">
        <v>9</v>
      </c>
      <c r="E5" s="520" t="s">
        <v>10</v>
      </c>
      <c r="F5" s="520" t="s">
        <v>11</v>
      </c>
      <c r="G5" s="520" t="s">
        <v>12</v>
      </c>
      <c r="H5" s="521" t="s">
        <v>13</v>
      </c>
      <c r="I5" s="521" t="s">
        <v>14</v>
      </c>
      <c r="J5" s="520" t="s">
        <v>15</v>
      </c>
      <c r="K5" s="520" t="s">
        <v>16</v>
      </c>
      <c r="L5" s="520" t="s">
        <v>17</v>
      </c>
    </row>
    <row r="6" spans="1:12" x14ac:dyDescent="0.2">
      <c r="A6" s="521" t="s">
        <v>18</v>
      </c>
      <c r="B6" s="521" t="s">
        <v>19</v>
      </c>
      <c r="C6" s="520"/>
      <c r="D6" s="520"/>
      <c r="E6" s="520"/>
      <c r="F6" s="520"/>
      <c r="G6" s="520"/>
      <c r="H6" s="522"/>
      <c r="I6" s="522"/>
      <c r="J6" s="520"/>
      <c r="K6" s="520"/>
      <c r="L6" s="520"/>
    </row>
    <row r="7" spans="1:12" x14ac:dyDescent="0.2">
      <c r="A7" s="522"/>
      <c r="B7" s="522"/>
      <c r="C7" s="520"/>
      <c r="D7" s="520"/>
      <c r="E7" s="520"/>
      <c r="F7" s="520"/>
      <c r="G7" s="520"/>
      <c r="H7" s="522"/>
      <c r="I7" s="522"/>
      <c r="J7" s="520"/>
      <c r="K7" s="520"/>
      <c r="L7" s="520"/>
    </row>
    <row r="8" spans="1:12" ht="20.100000000000001" customHeight="1" x14ac:dyDescent="0.2">
      <c r="A8" s="522"/>
      <c r="B8" s="522"/>
      <c r="C8" s="520"/>
      <c r="D8" s="520"/>
      <c r="E8" s="520"/>
      <c r="F8" s="520"/>
      <c r="G8" s="520"/>
      <c r="H8" s="522"/>
      <c r="I8" s="522"/>
      <c r="J8" s="520"/>
      <c r="K8" s="520"/>
      <c r="L8" s="520"/>
    </row>
    <row r="9" spans="1:12" ht="20.100000000000001" customHeight="1" x14ac:dyDescent="0.2">
      <c r="A9" s="523"/>
      <c r="B9" s="523"/>
      <c r="C9" s="520"/>
      <c r="D9" s="520"/>
      <c r="E9" s="520"/>
      <c r="F9" s="520"/>
      <c r="G9" s="520"/>
      <c r="H9" s="523"/>
      <c r="I9" s="523"/>
      <c r="J9" s="520"/>
      <c r="K9" s="520"/>
      <c r="L9" s="520"/>
    </row>
    <row r="10" spans="1:12" ht="14.25" x14ac:dyDescent="0.2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  <c r="J10" s="28">
        <v>10</v>
      </c>
      <c r="K10" s="28">
        <v>11</v>
      </c>
      <c r="L10" s="28">
        <v>12</v>
      </c>
    </row>
    <row r="12" spans="1:12" s="32" customFormat="1" ht="15.75" x14ac:dyDescent="0.25">
      <c r="A12" s="515" t="s">
        <v>57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1:12" s="32" customFormat="1" ht="15.75" x14ac:dyDescent="0.25">
      <c r="A13" s="515" t="s">
        <v>199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1:12" s="32" customFormat="1" ht="15.75" x14ac:dyDescent="0.25">
      <c r="A14" s="515" t="s">
        <v>200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1:12" s="32" customFormat="1" ht="15.75" hidden="1" x14ac:dyDescent="0.25">
      <c r="A15" s="516" t="s">
        <v>60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</row>
    <row r="16" spans="1:12" s="32" customFormat="1" ht="15.75" hidden="1" x14ac:dyDescent="0.2">
      <c r="A16" s="549" t="s">
        <v>61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49"/>
      <c r="L16" s="549"/>
    </row>
    <row r="17" spans="1:22" s="32" customFormat="1" ht="15.75" hidden="1" x14ac:dyDescent="0.2">
      <c r="A17" s="549" t="s">
        <v>62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</row>
    <row r="18" spans="1:22" s="32" customFormat="1" ht="14.25" x14ac:dyDescent="0.2">
      <c r="A18" s="33" t="s">
        <v>63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20" spans="1:22" ht="16.5" x14ac:dyDescent="0.25">
      <c r="A20" s="514" t="str">
        <f>CONCATENATE("Раздел: ",IF([86]Source!G73&lt;&gt;"Новый раздел", [86]Source!G73, ""))</f>
        <v>Раздел: Вентиляция</v>
      </c>
      <c r="B20" s="514"/>
      <c r="C20" s="514"/>
      <c r="D20" s="514"/>
      <c r="E20" s="514"/>
      <c r="F20" s="514"/>
      <c r="G20" s="514"/>
      <c r="H20" s="514"/>
      <c r="I20" s="514"/>
      <c r="J20" s="514"/>
      <c r="K20" s="514"/>
      <c r="L20" s="514"/>
    </row>
    <row r="22" spans="1:22" ht="16.5" x14ac:dyDescent="0.25">
      <c r="A22" s="514" t="str">
        <f>CONCATENATE("Подраздел: ",IF([86]Source!G993&lt;&gt;"Новый подраздел", [86]Source!G993, ""))</f>
        <v>Подраздел: В2-35</v>
      </c>
      <c r="B22" s="514"/>
      <c r="C22" s="514"/>
      <c r="D22" s="514"/>
      <c r="E22" s="514"/>
      <c r="F22" s="514"/>
      <c r="G22" s="514"/>
      <c r="H22" s="514"/>
      <c r="I22" s="514"/>
      <c r="J22" s="514"/>
      <c r="K22" s="514"/>
      <c r="L22" s="514"/>
    </row>
    <row r="23" spans="1:22" ht="14.25" x14ac:dyDescent="0.2">
      <c r="D23" s="61" t="str">
        <f>[86]Source!G1013</f>
        <v/>
      </c>
    </row>
    <row r="24" spans="1:22" ht="42.75" x14ac:dyDescent="0.2">
      <c r="A24" s="4">
        <v>1</v>
      </c>
      <c r="B24" s="4" t="str">
        <f>[86]Source!E1098</f>
        <v>134</v>
      </c>
      <c r="C24" s="5" t="str">
        <f>[86]Source!F1098</f>
        <v>3.20-12-6</v>
      </c>
      <c r="D24" s="5" t="s">
        <v>187</v>
      </c>
      <c r="E24" s="6" t="str">
        <f>[86]Source!H1098</f>
        <v>1  ШТ.</v>
      </c>
      <c r="F24" s="2">
        <f>[86]Source!I1098</f>
        <v>2</v>
      </c>
      <c r="G24" s="7"/>
      <c r="H24" s="8"/>
      <c r="I24" s="2"/>
      <c r="J24" s="25"/>
      <c r="K24" s="2"/>
      <c r="L24" s="25"/>
      <c r="Q24">
        <f>[86]Source!X1098</f>
        <v>55.55</v>
      </c>
      <c r="R24">
        <f>[86]Source!X1099</f>
        <v>1063.8900000000001</v>
      </c>
      <c r="S24">
        <f>[86]Source!Y1098</f>
        <v>41.77</v>
      </c>
      <c r="T24">
        <f>[86]Source!Y1099</f>
        <v>478.75</v>
      </c>
      <c r="U24">
        <f>ROUND((175/100)*ROUND([86]Source!R1098, 2), 2)</f>
        <v>0.88</v>
      </c>
      <c r="V24">
        <f>ROUND((157/100)*ROUND([86]Source!R1099, 2), 2)</f>
        <v>18.79</v>
      </c>
    </row>
    <row r="25" spans="1:22" ht="14.25" x14ac:dyDescent="0.2">
      <c r="A25" s="4"/>
      <c r="B25" s="4"/>
      <c r="C25" s="5"/>
      <c r="D25" s="5" t="s">
        <v>20</v>
      </c>
      <c r="E25" s="6"/>
      <c r="F25" s="2"/>
      <c r="G25" s="7">
        <f>[86]Source!AO1098</f>
        <v>12.47</v>
      </c>
      <c r="H25" s="8" t="str">
        <f>[86]Source!DG1098</f>
        <v>)*1,67</v>
      </c>
      <c r="I25" s="2">
        <f>[86]Source!AV1099</f>
        <v>1.0669999999999999</v>
      </c>
      <c r="J25" s="25">
        <f>[86]Source!S1098</f>
        <v>44.44</v>
      </c>
      <c r="K25" s="2">
        <f>IF([86]Source!BA1099&lt;&gt; 0, [86]Source!BA1099, 1)</f>
        <v>23.94</v>
      </c>
      <c r="L25" s="25">
        <f>[86]Source!S1099</f>
        <v>1063.8900000000001</v>
      </c>
    </row>
    <row r="26" spans="1:22" ht="14.25" x14ac:dyDescent="0.2">
      <c r="A26" s="4"/>
      <c r="B26" s="4"/>
      <c r="C26" s="5"/>
      <c r="D26" s="5" t="s">
        <v>21</v>
      </c>
      <c r="E26" s="6"/>
      <c r="F26" s="2"/>
      <c r="G26" s="7">
        <f>[86]Source!AM1098</f>
        <v>0.77</v>
      </c>
      <c r="H26" s="8" t="str">
        <f>[86]Source!DE1098</f>
        <v/>
      </c>
      <c r="I26" s="2">
        <f>[86]Source!AV1099</f>
        <v>1.0669999999999999</v>
      </c>
      <c r="J26" s="25">
        <f>[86]Source!Q1098-J35</f>
        <v>1.64</v>
      </c>
      <c r="K26" s="2">
        <f>IF([86]Source!BB1099&lt;&gt; 0, [86]Source!BB1099, 1)</f>
        <v>9.0299999999999994</v>
      </c>
      <c r="L26" s="25">
        <f>[86]Source!Q1099-L35</f>
        <v>14.81</v>
      </c>
    </row>
    <row r="27" spans="1:22" ht="14.25" x14ac:dyDescent="0.2">
      <c r="A27" s="4"/>
      <c r="B27" s="4"/>
      <c r="C27" s="5"/>
      <c r="D27" s="5" t="s">
        <v>22</v>
      </c>
      <c r="E27" s="6"/>
      <c r="F27" s="2"/>
      <c r="G27" s="7">
        <f>[86]Source!AN1098</f>
        <v>0.14000000000000001</v>
      </c>
      <c r="H27" s="8" t="str">
        <f>[86]Source!DE1098</f>
        <v/>
      </c>
      <c r="I27" s="2">
        <f>[86]Source!AV1099</f>
        <v>1.0669999999999999</v>
      </c>
      <c r="J27" s="10">
        <f>[86]Source!R1098-J36</f>
        <v>0.3</v>
      </c>
      <c r="K27" s="2">
        <f>IF([86]Source!BS1099&lt;&gt; 0, [86]Source!BS1099, 1)</f>
        <v>23.94</v>
      </c>
      <c r="L27" s="10">
        <f>[86]Source!R1099-L36</f>
        <v>7.18</v>
      </c>
    </row>
    <row r="28" spans="1:22" ht="14.25" x14ac:dyDescent="0.2">
      <c r="A28" s="4"/>
      <c r="B28" s="4"/>
      <c r="C28" s="5"/>
      <c r="D28" s="5" t="s">
        <v>23</v>
      </c>
      <c r="E28" s="6"/>
      <c r="F28" s="2"/>
      <c r="G28" s="7">
        <f>[86]Source!AL1098</f>
        <v>16.53</v>
      </c>
      <c r="H28" s="8" t="str">
        <f>[86]Source!DD1098</f>
        <v/>
      </c>
      <c r="I28" s="2">
        <f>[86]Source!AW1099</f>
        <v>1</v>
      </c>
      <c r="J28" s="25">
        <f>[86]Source!P1098</f>
        <v>33.06</v>
      </c>
      <c r="K28" s="2">
        <f>IF([86]Source!BC1099&lt;&gt; 0, [86]Source!BC1099, 1)</f>
        <v>2.5299999999999998</v>
      </c>
      <c r="L28" s="25">
        <f>[86]Source!P1099</f>
        <v>83.64</v>
      </c>
    </row>
    <row r="29" spans="1:22" ht="14.25" x14ac:dyDescent="0.2">
      <c r="A29" s="4"/>
      <c r="B29" s="4"/>
      <c r="C29" s="5"/>
      <c r="D29" s="5" t="s">
        <v>24</v>
      </c>
      <c r="E29" s="6" t="s">
        <v>25</v>
      </c>
      <c r="F29" s="2">
        <f>[86]Source!DN1099</f>
        <v>125</v>
      </c>
      <c r="G29" s="7"/>
      <c r="H29" s="8"/>
      <c r="I29" s="2"/>
      <c r="J29" s="25">
        <f>SUM(Q24:Q28)</f>
        <v>55.55</v>
      </c>
      <c r="K29" s="2">
        <f>[86]Source!BZ1099</f>
        <v>100</v>
      </c>
      <c r="L29" s="25">
        <f>SUM(R24:R28)</f>
        <v>1063.8900000000001</v>
      </c>
    </row>
    <row r="30" spans="1:22" ht="14.25" x14ac:dyDescent="0.2">
      <c r="A30" s="4"/>
      <c r="B30" s="4"/>
      <c r="C30" s="5"/>
      <c r="D30" s="5" t="s">
        <v>26</v>
      </c>
      <c r="E30" s="6" t="s">
        <v>25</v>
      </c>
      <c r="F30" s="2">
        <f>[86]Source!DO1099</f>
        <v>94</v>
      </c>
      <c r="G30" s="7"/>
      <c r="H30" s="8"/>
      <c r="I30" s="2"/>
      <c r="J30" s="25">
        <f>SUM(S24:S29)</f>
        <v>41.77</v>
      </c>
      <c r="K30" s="2">
        <f>[86]Source!CA1099</f>
        <v>45</v>
      </c>
      <c r="L30" s="25">
        <f>SUM(T24:T29)</f>
        <v>478.75</v>
      </c>
    </row>
    <row r="31" spans="1:22" ht="14.25" x14ac:dyDescent="0.2">
      <c r="A31" s="4"/>
      <c r="B31" s="4"/>
      <c r="C31" s="5"/>
      <c r="D31" s="5" t="s">
        <v>27</v>
      </c>
      <c r="E31" s="6" t="s">
        <v>25</v>
      </c>
      <c r="F31" s="2">
        <f>175</f>
        <v>175</v>
      </c>
      <c r="G31" s="7"/>
      <c r="H31" s="8"/>
      <c r="I31" s="2"/>
      <c r="J31" s="25">
        <f>SUM(U24:U30)-J37</f>
        <v>0.53</v>
      </c>
      <c r="K31" s="2">
        <f>157</f>
        <v>157</v>
      </c>
      <c r="L31" s="25">
        <f>SUM(V24:V30)-L37</f>
        <v>11.27</v>
      </c>
    </row>
    <row r="32" spans="1:22" ht="14.25" x14ac:dyDescent="0.2">
      <c r="A32" s="4"/>
      <c r="B32" s="4"/>
      <c r="C32" s="5"/>
      <c r="D32" s="5" t="s">
        <v>28</v>
      </c>
      <c r="E32" s="6" t="s">
        <v>29</v>
      </c>
      <c r="F32" s="2">
        <f>[86]Source!AQ1098</f>
        <v>1.06</v>
      </c>
      <c r="G32" s="7"/>
      <c r="H32" s="8" t="str">
        <f>[86]Source!DI1098</f>
        <v/>
      </c>
      <c r="I32" s="2">
        <f>[86]Source!AV1099</f>
        <v>1.0669999999999999</v>
      </c>
      <c r="J32" s="25">
        <f>[86]Source!U1098</f>
        <v>2.2599999999999998</v>
      </c>
      <c r="K32" s="2"/>
      <c r="L32" s="25"/>
    </row>
    <row r="33" spans="1:22" ht="15" x14ac:dyDescent="0.25">
      <c r="I33" s="525">
        <f>J25+J26+J28+J29+J30+J31</f>
        <v>176.99</v>
      </c>
      <c r="J33" s="525"/>
      <c r="K33" s="525">
        <f>L25+L26+L28+L29+L30+L31</f>
        <v>2716.25</v>
      </c>
      <c r="L33" s="525"/>
      <c r="O33" s="11">
        <f>J25+J26+J28+J29+J30+J31</f>
        <v>176.99</v>
      </c>
      <c r="P33" s="11">
        <f>L25+L26+L28+L29+L30+L31</f>
        <v>2716.25</v>
      </c>
    </row>
    <row r="34" spans="1:22" ht="28.5" x14ac:dyDescent="0.2">
      <c r="A34" s="12"/>
      <c r="B34" s="12"/>
      <c r="C34" s="13"/>
      <c r="D34" s="13" t="s">
        <v>30</v>
      </c>
      <c r="E34" s="6"/>
      <c r="F34" s="14"/>
      <c r="G34" s="15"/>
      <c r="H34" s="6"/>
      <c r="I34" s="14"/>
      <c r="J34" s="10"/>
      <c r="K34" s="14"/>
      <c r="L34" s="10"/>
    </row>
    <row r="35" spans="1:22" ht="14.25" x14ac:dyDescent="0.2">
      <c r="A35" s="12"/>
      <c r="B35" s="12"/>
      <c r="C35" s="13"/>
      <c r="D35" s="13" t="s">
        <v>21</v>
      </c>
      <c r="E35" s="6"/>
      <c r="F35" s="14"/>
      <c r="G35" s="15">
        <f t="shared" ref="G35:L35" si="0">G36</f>
        <v>0.14000000000000001</v>
      </c>
      <c r="H35" s="16" t="str">
        <f t="shared" si="0"/>
        <v>)*(1.67-1)</v>
      </c>
      <c r="I35" s="14">
        <f t="shared" si="0"/>
        <v>1.0669999999999999</v>
      </c>
      <c r="J35" s="10">
        <f t="shared" si="0"/>
        <v>0.2</v>
      </c>
      <c r="K35" s="14">
        <f t="shared" si="0"/>
        <v>23.94</v>
      </c>
      <c r="L35" s="10">
        <f t="shared" si="0"/>
        <v>4.79</v>
      </c>
    </row>
    <row r="36" spans="1:22" ht="14.25" x14ac:dyDescent="0.2">
      <c r="A36" s="12"/>
      <c r="B36" s="12"/>
      <c r="C36" s="13"/>
      <c r="D36" s="13" t="s">
        <v>22</v>
      </c>
      <c r="E36" s="6"/>
      <c r="F36" s="14"/>
      <c r="G36" s="15">
        <f>[86]Source!AN1098</f>
        <v>0.14000000000000001</v>
      </c>
      <c r="H36" s="16" t="s">
        <v>31</v>
      </c>
      <c r="I36" s="14">
        <f>[86]Source!AV1099</f>
        <v>1.0669999999999999</v>
      </c>
      <c r="J36" s="10">
        <f>ROUND(F24*G36*I36*(1.67-1), 2)</f>
        <v>0.2</v>
      </c>
      <c r="K36" s="14">
        <f>IF([86]Source!BS1099&lt;&gt; 0, [86]Source!BS1099, 1)</f>
        <v>23.94</v>
      </c>
      <c r="L36" s="10">
        <f>ROUND(F24*G36*I36*(1.67-1)*K36, 2)</f>
        <v>4.79</v>
      </c>
    </row>
    <row r="37" spans="1:22" ht="14.25" x14ac:dyDescent="0.2">
      <c r="A37" s="12"/>
      <c r="B37" s="12"/>
      <c r="C37" s="13"/>
      <c r="D37" s="13" t="s">
        <v>27</v>
      </c>
      <c r="E37" s="6" t="s">
        <v>25</v>
      </c>
      <c r="F37" s="14">
        <f>175</f>
        <v>175</v>
      </c>
      <c r="G37" s="15"/>
      <c r="H37" s="6"/>
      <c r="I37" s="14"/>
      <c r="J37" s="10">
        <f>ROUND(J36*(F37/100), 2)</f>
        <v>0.35</v>
      </c>
      <c r="K37" s="14">
        <f>157</f>
        <v>157</v>
      </c>
      <c r="L37" s="10">
        <f>ROUND(L36*(K37/100), 2)</f>
        <v>7.52</v>
      </c>
    </row>
    <row r="38" spans="1:22" ht="15" x14ac:dyDescent="0.25">
      <c r="I38" s="525">
        <f>J37+J36</f>
        <v>0.55000000000000004</v>
      </c>
      <c r="J38" s="525"/>
      <c r="K38" s="525">
        <f>L37+L36</f>
        <v>12.31</v>
      </c>
      <c r="L38" s="525"/>
      <c r="O38" s="11">
        <f>I38</f>
        <v>0.55000000000000004</v>
      </c>
      <c r="P38" s="11">
        <f>K38</f>
        <v>12.31</v>
      </c>
    </row>
    <row r="40" spans="1:22" ht="15" x14ac:dyDescent="0.25">
      <c r="A40" s="37"/>
      <c r="B40" s="37"/>
      <c r="C40" s="38"/>
      <c r="D40" s="38" t="s">
        <v>32</v>
      </c>
      <c r="E40" s="39"/>
      <c r="F40" s="40"/>
      <c r="G40" s="41"/>
      <c r="H40" s="42"/>
      <c r="I40" s="524">
        <f>I33+I38</f>
        <v>177.54</v>
      </c>
      <c r="J40" s="524"/>
      <c r="K40" s="524">
        <f>K33+K38</f>
        <v>2728.56</v>
      </c>
      <c r="L40" s="524"/>
    </row>
    <row r="41" spans="1:22" ht="57" x14ac:dyDescent="0.2">
      <c r="A41" s="4">
        <v>2</v>
      </c>
      <c r="B41" s="4" t="str">
        <f>[86]Source!E1104</f>
        <v>135</v>
      </c>
      <c r="C41" s="5" t="str">
        <f>[86]Source!F1104</f>
        <v>1.19-6-75</v>
      </c>
      <c r="D41" s="5" t="s">
        <v>188</v>
      </c>
      <c r="E41" s="6" t="str">
        <f>[86]Source!H1104</f>
        <v>шт.</v>
      </c>
      <c r="F41" s="2">
        <f>[86]Source!I1104</f>
        <v>2</v>
      </c>
      <c r="G41" s="7">
        <f>[86]Source!AL1104</f>
        <v>258.63</v>
      </c>
      <c r="H41" s="8" t="str">
        <f>[86]Source!DD1104</f>
        <v/>
      </c>
      <c r="I41" s="2">
        <f>[86]Source!AW1105</f>
        <v>1</v>
      </c>
      <c r="J41" s="25">
        <f>[86]Source!P1104</f>
        <v>517.26</v>
      </c>
      <c r="K41" s="2">
        <f>IF([86]Source!BC1105&lt;&gt; 0, [86]Source!BC1105, 1)</f>
        <v>3.51</v>
      </c>
      <c r="L41" s="25">
        <f>[86]Source!P1105</f>
        <v>1815.58</v>
      </c>
      <c r="Q41">
        <f>[86]Source!X1104</f>
        <v>0</v>
      </c>
      <c r="R41">
        <f>[86]Source!X1105</f>
        <v>0</v>
      </c>
      <c r="S41">
        <f>[86]Source!Y1104</f>
        <v>0</v>
      </c>
      <c r="T41">
        <f>[86]Source!Y1105</f>
        <v>0</v>
      </c>
      <c r="U41">
        <f>ROUND((175/100)*ROUND([86]Source!R1104, 2), 2)</f>
        <v>0</v>
      </c>
      <c r="V41">
        <f>ROUND((157/100)*ROUND([86]Source!R1105, 2), 2)</f>
        <v>0</v>
      </c>
    </row>
    <row r="42" spans="1:22" ht="15" x14ac:dyDescent="0.25">
      <c r="A42" s="35"/>
      <c r="B42" s="35"/>
      <c r="C42" s="35"/>
      <c r="D42" s="35"/>
      <c r="E42" s="35"/>
      <c r="F42" s="35"/>
      <c r="G42" s="35"/>
      <c r="H42" s="35"/>
      <c r="I42" s="524">
        <f>J41</f>
        <v>517.26</v>
      </c>
      <c r="J42" s="524"/>
      <c r="K42" s="524">
        <f>L41</f>
        <v>1815.58</v>
      </c>
      <c r="L42" s="524"/>
      <c r="O42" s="11">
        <f>J41</f>
        <v>517.26</v>
      </c>
      <c r="P42" s="11">
        <f>L41</f>
        <v>1815.58</v>
      </c>
    </row>
    <row r="43" spans="1:22" ht="42.75" x14ac:dyDescent="0.2">
      <c r="A43" s="4">
        <v>3</v>
      </c>
      <c r="B43" s="4" t="str">
        <f>[86]Source!E1106</f>
        <v>136</v>
      </c>
      <c r="C43" s="5" t="str">
        <f>[86]Source!F1106</f>
        <v>3.20-12-7</v>
      </c>
      <c r="D43" s="5" t="s">
        <v>189</v>
      </c>
      <c r="E43" s="6" t="str">
        <f>[86]Source!H1106</f>
        <v>1  ШТ.</v>
      </c>
      <c r="F43" s="2">
        <f>[86]Source!I1106</f>
        <v>7</v>
      </c>
      <c r="G43" s="7"/>
      <c r="H43" s="8"/>
      <c r="I43" s="2"/>
      <c r="J43" s="25"/>
      <c r="K43" s="2"/>
      <c r="L43" s="25"/>
      <c r="Q43">
        <f>[86]Source!X1106</f>
        <v>218.9</v>
      </c>
      <c r="R43">
        <f>[86]Source!X1107</f>
        <v>4192.37</v>
      </c>
      <c r="S43">
        <f>[86]Source!Y1106</f>
        <v>164.61</v>
      </c>
      <c r="T43">
        <f>[86]Source!Y1107</f>
        <v>1886.57</v>
      </c>
      <c r="U43">
        <f>ROUND((175/100)*ROUND([86]Source!R1106, 2), 2)</f>
        <v>3.06</v>
      </c>
      <c r="V43">
        <f>ROUND((157/100)*ROUND([86]Source!R1107, 2), 2)</f>
        <v>65.78</v>
      </c>
    </row>
    <row r="44" spans="1:22" ht="14.25" x14ac:dyDescent="0.2">
      <c r="A44" s="4"/>
      <c r="B44" s="4"/>
      <c r="C44" s="5"/>
      <c r="D44" s="5" t="s">
        <v>20</v>
      </c>
      <c r="E44" s="6"/>
      <c r="F44" s="2"/>
      <c r="G44" s="7">
        <f>[86]Source!AO1106</f>
        <v>14.04</v>
      </c>
      <c r="H44" s="8" t="str">
        <f>[86]Source!DG1106</f>
        <v>)*1,67</v>
      </c>
      <c r="I44" s="2">
        <f>[86]Source!AV1107</f>
        <v>1.0669999999999999</v>
      </c>
      <c r="J44" s="25">
        <f>[86]Source!S1106</f>
        <v>175.12</v>
      </c>
      <c r="K44" s="2">
        <f>IF([86]Source!BA1107&lt;&gt; 0, [86]Source!BA1107, 1)</f>
        <v>23.94</v>
      </c>
      <c r="L44" s="25">
        <f>[86]Source!S1107</f>
        <v>4192.37</v>
      </c>
    </row>
    <row r="45" spans="1:22" ht="14.25" x14ac:dyDescent="0.2">
      <c r="A45" s="4"/>
      <c r="B45" s="4"/>
      <c r="C45" s="5"/>
      <c r="D45" s="5" t="s">
        <v>21</v>
      </c>
      <c r="E45" s="6"/>
      <c r="F45" s="2"/>
      <c r="G45" s="7">
        <f>[86]Source!AM1106</f>
        <v>0.77</v>
      </c>
      <c r="H45" s="8" t="str">
        <f>[86]Source!DE1106</f>
        <v/>
      </c>
      <c r="I45" s="2">
        <f>[86]Source!AV1107</f>
        <v>1.0669999999999999</v>
      </c>
      <c r="J45" s="25">
        <f>[86]Source!Q1106-J54</f>
        <v>5.75</v>
      </c>
      <c r="K45" s="2">
        <f>IF([86]Source!BB1107&lt;&gt; 0, [86]Source!BB1107, 1)</f>
        <v>9.0299999999999994</v>
      </c>
      <c r="L45" s="25">
        <f>[86]Source!Q1107-L54</f>
        <v>51.91</v>
      </c>
    </row>
    <row r="46" spans="1:22" ht="14.25" x14ac:dyDescent="0.2">
      <c r="A46" s="4"/>
      <c r="B46" s="4"/>
      <c r="C46" s="5"/>
      <c r="D46" s="5" t="s">
        <v>22</v>
      </c>
      <c r="E46" s="6"/>
      <c r="F46" s="2"/>
      <c r="G46" s="7">
        <f>[86]Source!AN1106</f>
        <v>0.14000000000000001</v>
      </c>
      <c r="H46" s="8" t="str">
        <f>[86]Source!DE1106</f>
        <v/>
      </c>
      <c r="I46" s="2">
        <f>[86]Source!AV1107</f>
        <v>1.0669999999999999</v>
      </c>
      <c r="J46" s="10">
        <f>[86]Source!R1106-J55</f>
        <v>1.05</v>
      </c>
      <c r="K46" s="2">
        <f>IF([86]Source!BS1107&lt;&gt; 0, [86]Source!BS1107, 1)</f>
        <v>23.94</v>
      </c>
      <c r="L46" s="10">
        <f>[86]Source!R1107-L55</f>
        <v>25.13</v>
      </c>
    </row>
    <row r="47" spans="1:22" ht="14.25" x14ac:dyDescent="0.2">
      <c r="A47" s="4"/>
      <c r="B47" s="4"/>
      <c r="C47" s="5"/>
      <c r="D47" s="5" t="s">
        <v>23</v>
      </c>
      <c r="E47" s="6"/>
      <c r="F47" s="2"/>
      <c r="G47" s="7">
        <f>[86]Source!AL1106</f>
        <v>21.31</v>
      </c>
      <c r="H47" s="8" t="str">
        <f>[86]Source!DD1106</f>
        <v/>
      </c>
      <c r="I47" s="2">
        <f>[86]Source!AW1107</f>
        <v>1</v>
      </c>
      <c r="J47" s="25">
        <f>[86]Source!P1106</f>
        <v>149.16999999999999</v>
      </c>
      <c r="K47" s="2">
        <f>IF([86]Source!BC1107&lt;&gt; 0, [86]Source!BC1107, 1)</f>
        <v>2.6</v>
      </c>
      <c r="L47" s="25">
        <f>[86]Source!P1107</f>
        <v>387.84</v>
      </c>
    </row>
    <row r="48" spans="1:22" ht="14.25" x14ac:dyDescent="0.2">
      <c r="A48" s="4"/>
      <c r="B48" s="4"/>
      <c r="C48" s="5"/>
      <c r="D48" s="5" t="s">
        <v>24</v>
      </c>
      <c r="E48" s="6" t="s">
        <v>25</v>
      </c>
      <c r="F48" s="2">
        <f>[86]Source!DN1107</f>
        <v>125</v>
      </c>
      <c r="G48" s="7"/>
      <c r="H48" s="8"/>
      <c r="I48" s="2"/>
      <c r="J48" s="25">
        <f>SUM(Q43:Q47)</f>
        <v>218.9</v>
      </c>
      <c r="K48" s="2">
        <f>[86]Source!BZ1107</f>
        <v>100</v>
      </c>
      <c r="L48" s="25">
        <f>SUM(R43:R47)</f>
        <v>4192.37</v>
      </c>
    </row>
    <row r="49" spans="1:22" ht="14.25" x14ac:dyDescent="0.2">
      <c r="A49" s="4"/>
      <c r="B49" s="4"/>
      <c r="C49" s="5"/>
      <c r="D49" s="5" t="s">
        <v>26</v>
      </c>
      <c r="E49" s="6" t="s">
        <v>25</v>
      </c>
      <c r="F49" s="2">
        <f>[86]Source!DO1107</f>
        <v>94</v>
      </c>
      <c r="G49" s="7"/>
      <c r="H49" s="8"/>
      <c r="I49" s="2"/>
      <c r="J49" s="25">
        <f>SUM(S43:S48)</f>
        <v>164.61</v>
      </c>
      <c r="K49" s="2">
        <f>[86]Source!CA1107</f>
        <v>45</v>
      </c>
      <c r="L49" s="25">
        <f>SUM(T43:T48)</f>
        <v>1886.57</v>
      </c>
    </row>
    <row r="50" spans="1:22" ht="14.25" x14ac:dyDescent="0.2">
      <c r="A50" s="4"/>
      <c r="B50" s="4"/>
      <c r="C50" s="5"/>
      <c r="D50" s="5" t="s">
        <v>27</v>
      </c>
      <c r="E50" s="6" t="s">
        <v>25</v>
      </c>
      <c r="F50" s="2">
        <f>175</f>
        <v>175</v>
      </c>
      <c r="G50" s="7"/>
      <c r="H50" s="8"/>
      <c r="I50" s="2"/>
      <c r="J50" s="25">
        <f>SUM(U43:U49)-J56</f>
        <v>1.83</v>
      </c>
      <c r="K50" s="2">
        <f>157</f>
        <v>157</v>
      </c>
      <c r="L50" s="25">
        <f>SUM(V43:V49)-L56</f>
        <v>39.450000000000003</v>
      </c>
    </row>
    <row r="51" spans="1:22" ht="14.25" x14ac:dyDescent="0.2">
      <c r="A51" s="4"/>
      <c r="B51" s="4"/>
      <c r="C51" s="5"/>
      <c r="D51" s="5" t="s">
        <v>28</v>
      </c>
      <c r="E51" s="6" t="s">
        <v>29</v>
      </c>
      <c r="F51" s="2">
        <f>[86]Source!AQ1106</f>
        <v>1.18</v>
      </c>
      <c r="G51" s="7"/>
      <c r="H51" s="8" t="str">
        <f>[86]Source!DI1106</f>
        <v/>
      </c>
      <c r="I51" s="2">
        <f>[86]Source!AV1107</f>
        <v>1.0669999999999999</v>
      </c>
      <c r="J51" s="25">
        <f>[86]Source!U1106</f>
        <v>8.81</v>
      </c>
      <c r="K51" s="2"/>
      <c r="L51" s="25"/>
    </row>
    <row r="52" spans="1:22" ht="15" x14ac:dyDescent="0.25">
      <c r="I52" s="525">
        <f>J44+J45+J47+J48+J49+J50</f>
        <v>715.38</v>
      </c>
      <c r="J52" s="525"/>
      <c r="K52" s="525">
        <f>L44+L45+L47+L48+L49+L50</f>
        <v>10750.51</v>
      </c>
      <c r="L52" s="525"/>
      <c r="O52" s="11">
        <f>J44+J45+J47+J48+J49+J50</f>
        <v>715.38</v>
      </c>
      <c r="P52" s="11">
        <f>L44+L45+L47+L48+L49+L50</f>
        <v>10750.51</v>
      </c>
    </row>
    <row r="53" spans="1:22" ht="28.5" x14ac:dyDescent="0.2">
      <c r="A53" s="12"/>
      <c r="B53" s="12"/>
      <c r="C53" s="13"/>
      <c r="D53" s="13" t="s">
        <v>30</v>
      </c>
      <c r="E53" s="6"/>
      <c r="F53" s="14"/>
      <c r="G53" s="15"/>
      <c r="H53" s="6"/>
      <c r="I53" s="14"/>
      <c r="J53" s="10"/>
      <c r="K53" s="14"/>
      <c r="L53" s="10"/>
    </row>
    <row r="54" spans="1:22" ht="14.25" x14ac:dyDescent="0.2">
      <c r="A54" s="12"/>
      <c r="B54" s="12"/>
      <c r="C54" s="13"/>
      <c r="D54" s="13" t="s">
        <v>21</v>
      </c>
      <c r="E54" s="6"/>
      <c r="F54" s="14"/>
      <c r="G54" s="15">
        <f t="shared" ref="G54:L54" si="1">G55</f>
        <v>0.14000000000000001</v>
      </c>
      <c r="H54" s="16" t="str">
        <f t="shared" si="1"/>
        <v>)*(1.67-1)</v>
      </c>
      <c r="I54" s="14">
        <f t="shared" si="1"/>
        <v>1.0669999999999999</v>
      </c>
      <c r="J54" s="10">
        <f t="shared" si="1"/>
        <v>0.7</v>
      </c>
      <c r="K54" s="14">
        <f t="shared" si="1"/>
        <v>23.94</v>
      </c>
      <c r="L54" s="10">
        <f t="shared" si="1"/>
        <v>16.77</v>
      </c>
    </row>
    <row r="55" spans="1:22" ht="14.25" x14ac:dyDescent="0.2">
      <c r="A55" s="12"/>
      <c r="B55" s="12"/>
      <c r="C55" s="13"/>
      <c r="D55" s="13" t="s">
        <v>22</v>
      </c>
      <c r="E55" s="6"/>
      <c r="F55" s="14"/>
      <c r="G55" s="15">
        <f>[86]Source!AN1106</f>
        <v>0.14000000000000001</v>
      </c>
      <c r="H55" s="16" t="s">
        <v>31</v>
      </c>
      <c r="I55" s="14">
        <f>[86]Source!AV1107</f>
        <v>1.0669999999999999</v>
      </c>
      <c r="J55" s="10">
        <f>ROUND(F43*G55*I55*(1.67-1), 2)</f>
        <v>0.7</v>
      </c>
      <c r="K55" s="14">
        <f>IF([86]Source!BS1107&lt;&gt; 0, [86]Source!BS1107, 1)</f>
        <v>23.94</v>
      </c>
      <c r="L55" s="10">
        <f>ROUND(F43*G55*I55*(1.67-1)*K55, 2)</f>
        <v>16.77</v>
      </c>
    </row>
    <row r="56" spans="1:22" ht="14.25" x14ac:dyDescent="0.2">
      <c r="A56" s="12"/>
      <c r="B56" s="12"/>
      <c r="C56" s="13"/>
      <c r="D56" s="13" t="s">
        <v>27</v>
      </c>
      <c r="E56" s="6" t="s">
        <v>25</v>
      </c>
      <c r="F56" s="14">
        <f>175</f>
        <v>175</v>
      </c>
      <c r="G56" s="15"/>
      <c r="H56" s="6"/>
      <c r="I56" s="14"/>
      <c r="J56" s="10">
        <f>ROUND(J55*(F56/100), 2)</f>
        <v>1.23</v>
      </c>
      <c r="K56" s="14">
        <f>157</f>
        <v>157</v>
      </c>
      <c r="L56" s="10">
        <f>ROUND(L55*(K56/100), 2)</f>
        <v>26.33</v>
      </c>
    </row>
    <row r="57" spans="1:22" ht="15" x14ac:dyDescent="0.25">
      <c r="I57" s="525">
        <f>J56+J55</f>
        <v>1.93</v>
      </c>
      <c r="J57" s="525"/>
      <c r="K57" s="525">
        <f>L56+L55</f>
        <v>43.1</v>
      </c>
      <c r="L57" s="525"/>
      <c r="O57" s="11">
        <f>I57</f>
        <v>1.93</v>
      </c>
      <c r="P57" s="11">
        <f>K57</f>
        <v>43.1</v>
      </c>
    </row>
    <row r="59" spans="1:22" ht="15" x14ac:dyDescent="0.25">
      <c r="A59" s="37"/>
      <c r="B59" s="37"/>
      <c r="C59" s="38"/>
      <c r="D59" s="38" t="s">
        <v>32</v>
      </c>
      <c r="E59" s="39"/>
      <c r="F59" s="40"/>
      <c r="G59" s="41"/>
      <c r="H59" s="42"/>
      <c r="I59" s="524">
        <f>I52+I57</f>
        <v>717.31</v>
      </c>
      <c r="J59" s="524"/>
      <c r="K59" s="524">
        <f>K52+K57</f>
        <v>10793.61</v>
      </c>
      <c r="L59" s="524"/>
    </row>
    <row r="60" spans="1:22" ht="57" x14ac:dyDescent="0.2">
      <c r="A60" s="4">
        <v>4</v>
      </c>
      <c r="B60" s="4" t="str">
        <f>[86]Source!E1108</f>
        <v>137</v>
      </c>
      <c r="C60" s="5" t="str">
        <f>[86]Source!F1108</f>
        <v>1.19-6-81</v>
      </c>
      <c r="D60" s="5" t="s">
        <v>190</v>
      </c>
      <c r="E60" s="6" t="str">
        <f>[86]Source!H1108</f>
        <v>шт.</v>
      </c>
      <c r="F60" s="2">
        <f>[86]Source!I1108</f>
        <v>7</v>
      </c>
      <c r="G60" s="7">
        <f>[86]Source!AL1108</f>
        <v>468.44</v>
      </c>
      <c r="H60" s="8" t="str">
        <f>[86]Source!DD1108</f>
        <v/>
      </c>
      <c r="I60" s="2">
        <f>[86]Source!AW1109</f>
        <v>1</v>
      </c>
      <c r="J60" s="25">
        <f>[86]Source!P1108</f>
        <v>3279.08</v>
      </c>
      <c r="K60" s="2">
        <f>IF([86]Source!BC1109&lt;&gt; 0, [86]Source!BC1109, 1)</f>
        <v>4.24</v>
      </c>
      <c r="L60" s="25">
        <f>[86]Source!P1109</f>
        <v>13903.3</v>
      </c>
      <c r="Q60">
        <f>[86]Source!X1108</f>
        <v>0</v>
      </c>
      <c r="R60">
        <f>[86]Source!X1109</f>
        <v>0</v>
      </c>
      <c r="S60">
        <f>[86]Source!Y1108</f>
        <v>0</v>
      </c>
      <c r="T60">
        <f>[86]Source!Y1109</f>
        <v>0</v>
      </c>
      <c r="U60">
        <f>ROUND((175/100)*ROUND([86]Source!R1108, 2), 2)</f>
        <v>0</v>
      </c>
      <c r="V60">
        <f>ROUND((157/100)*ROUND([86]Source!R1109, 2), 2)</f>
        <v>0</v>
      </c>
    </row>
    <row r="61" spans="1:22" ht="15" x14ac:dyDescent="0.25">
      <c r="A61" s="35"/>
      <c r="B61" s="35"/>
      <c r="C61" s="35"/>
      <c r="D61" s="35"/>
      <c r="E61" s="35"/>
      <c r="F61" s="35"/>
      <c r="G61" s="35"/>
      <c r="H61" s="35"/>
      <c r="I61" s="524">
        <f>J60</f>
        <v>3279.08</v>
      </c>
      <c r="J61" s="524"/>
      <c r="K61" s="524">
        <f>L60</f>
        <v>13903.3</v>
      </c>
      <c r="L61" s="524"/>
      <c r="O61" s="11">
        <f>J60</f>
        <v>3279.08</v>
      </c>
      <c r="P61" s="11">
        <f>L60</f>
        <v>13903.3</v>
      </c>
    </row>
    <row r="62" spans="1:22" ht="42.75" x14ac:dyDescent="0.2">
      <c r="A62" s="4">
        <v>5</v>
      </c>
      <c r="B62" s="4" t="str">
        <f>[86]Source!E1110</f>
        <v>138</v>
      </c>
      <c r="C62" s="5" t="str">
        <f>[86]Source!F1110</f>
        <v>3.20-12-8</v>
      </c>
      <c r="D62" s="5" t="s">
        <v>191</v>
      </c>
      <c r="E62" s="6" t="str">
        <f>[86]Source!H1110</f>
        <v>1  ШТ.</v>
      </c>
      <c r="F62" s="2">
        <f>[86]Source!I1110</f>
        <v>6</v>
      </c>
      <c r="G62" s="7"/>
      <c r="H62" s="8"/>
      <c r="I62" s="2"/>
      <c r="J62" s="25"/>
      <c r="K62" s="2"/>
      <c r="L62" s="25"/>
      <c r="Q62">
        <f>[86]Source!X1110</f>
        <v>228.13</v>
      </c>
      <c r="R62">
        <f>[86]Source!X1111</f>
        <v>4369.05</v>
      </c>
      <c r="S62">
        <f>[86]Source!Y1110</f>
        <v>171.55</v>
      </c>
      <c r="T62">
        <f>[86]Source!Y1111</f>
        <v>1966.07</v>
      </c>
      <c r="U62">
        <f>ROUND((175/100)*ROUND([86]Source!R1110, 2), 2)</f>
        <v>2.63</v>
      </c>
      <c r="V62">
        <f>ROUND((157/100)*ROUND([86]Source!R1111, 2), 2)</f>
        <v>56.38</v>
      </c>
    </row>
    <row r="63" spans="1:22" ht="14.25" x14ac:dyDescent="0.2">
      <c r="A63" s="4"/>
      <c r="B63" s="4"/>
      <c r="C63" s="5"/>
      <c r="D63" s="5" t="s">
        <v>20</v>
      </c>
      <c r="E63" s="6"/>
      <c r="F63" s="2"/>
      <c r="G63" s="7">
        <f>[86]Source!AO1110</f>
        <v>17.07</v>
      </c>
      <c r="H63" s="8" t="str">
        <f>[86]Source!DG1110</f>
        <v>)*1,67</v>
      </c>
      <c r="I63" s="2">
        <f>[86]Source!AV1111</f>
        <v>1.0669999999999999</v>
      </c>
      <c r="J63" s="25">
        <f>[86]Source!S1110</f>
        <v>182.5</v>
      </c>
      <c r="K63" s="2">
        <f>IF([86]Source!BA1111&lt;&gt; 0, [86]Source!BA1111, 1)</f>
        <v>23.94</v>
      </c>
      <c r="L63" s="25">
        <f>[86]Source!S1111</f>
        <v>4369.05</v>
      </c>
    </row>
    <row r="64" spans="1:22" ht="14.25" x14ac:dyDescent="0.2">
      <c r="A64" s="4"/>
      <c r="B64" s="4"/>
      <c r="C64" s="5"/>
      <c r="D64" s="5" t="s">
        <v>21</v>
      </c>
      <c r="E64" s="6"/>
      <c r="F64" s="2"/>
      <c r="G64" s="7">
        <f>[86]Source!AM1110</f>
        <v>0.77</v>
      </c>
      <c r="H64" s="8" t="str">
        <f>[86]Source!DE1110</f>
        <v/>
      </c>
      <c r="I64" s="2">
        <f>[86]Source!AV1111</f>
        <v>1.0669999999999999</v>
      </c>
      <c r="J64" s="25">
        <f>[86]Source!Q1110-J73</f>
        <v>4.93</v>
      </c>
      <c r="K64" s="2">
        <f>IF([86]Source!BB1111&lt;&gt; 0, [86]Source!BB1111, 1)</f>
        <v>9.0299999999999994</v>
      </c>
      <c r="L64" s="25">
        <f>[86]Source!Q1111-L73</f>
        <v>44.5</v>
      </c>
    </row>
    <row r="65" spans="1:22" ht="14.25" x14ac:dyDescent="0.2">
      <c r="A65" s="4"/>
      <c r="B65" s="4"/>
      <c r="C65" s="5"/>
      <c r="D65" s="5" t="s">
        <v>22</v>
      </c>
      <c r="E65" s="6"/>
      <c r="F65" s="2"/>
      <c r="G65" s="7">
        <f>[86]Source!AN1110</f>
        <v>0.14000000000000001</v>
      </c>
      <c r="H65" s="8" t="str">
        <f>[86]Source!DE1110</f>
        <v/>
      </c>
      <c r="I65" s="2">
        <f>[86]Source!AV1111</f>
        <v>1.0669999999999999</v>
      </c>
      <c r="J65" s="10">
        <f>[86]Source!R1110-J74</f>
        <v>0.9</v>
      </c>
      <c r="K65" s="2">
        <f>IF([86]Source!BS1111&lt;&gt; 0, [86]Source!BS1111, 1)</f>
        <v>23.94</v>
      </c>
      <c r="L65" s="10">
        <f>[86]Source!R1111-L74</f>
        <v>21.53</v>
      </c>
    </row>
    <row r="66" spans="1:22" ht="14.25" x14ac:dyDescent="0.2">
      <c r="A66" s="4"/>
      <c r="B66" s="4"/>
      <c r="C66" s="5"/>
      <c r="D66" s="5" t="s">
        <v>23</v>
      </c>
      <c r="E66" s="6"/>
      <c r="F66" s="2"/>
      <c r="G66" s="7">
        <f>[86]Source!AL1110</f>
        <v>32.75</v>
      </c>
      <c r="H66" s="8" t="str">
        <f>[86]Source!DD1110</f>
        <v/>
      </c>
      <c r="I66" s="2">
        <f>[86]Source!AW1111</f>
        <v>1</v>
      </c>
      <c r="J66" s="25">
        <f>[86]Source!P1110</f>
        <v>196.5</v>
      </c>
      <c r="K66" s="2">
        <f>IF([86]Source!BC1111&lt;&gt; 0, [86]Source!BC1111, 1)</f>
        <v>2.65</v>
      </c>
      <c r="L66" s="25">
        <f>[86]Source!P1111</f>
        <v>520.73</v>
      </c>
    </row>
    <row r="67" spans="1:22" ht="14.25" x14ac:dyDescent="0.2">
      <c r="A67" s="4"/>
      <c r="B67" s="4"/>
      <c r="C67" s="5"/>
      <c r="D67" s="5" t="s">
        <v>24</v>
      </c>
      <c r="E67" s="6" t="s">
        <v>25</v>
      </c>
      <c r="F67" s="2">
        <f>[86]Source!DN1111</f>
        <v>125</v>
      </c>
      <c r="G67" s="7"/>
      <c r="H67" s="8"/>
      <c r="I67" s="2"/>
      <c r="J67" s="25">
        <f>SUM(Q62:Q66)</f>
        <v>228.13</v>
      </c>
      <c r="K67" s="2">
        <f>[86]Source!BZ1111</f>
        <v>100</v>
      </c>
      <c r="L67" s="25">
        <f>SUM(R62:R66)</f>
        <v>4369.05</v>
      </c>
    </row>
    <row r="68" spans="1:22" ht="14.25" x14ac:dyDescent="0.2">
      <c r="A68" s="4"/>
      <c r="B68" s="4"/>
      <c r="C68" s="5"/>
      <c r="D68" s="5" t="s">
        <v>26</v>
      </c>
      <c r="E68" s="6" t="s">
        <v>25</v>
      </c>
      <c r="F68" s="2">
        <f>[86]Source!DO1111</f>
        <v>94</v>
      </c>
      <c r="G68" s="7"/>
      <c r="H68" s="8"/>
      <c r="I68" s="2"/>
      <c r="J68" s="25">
        <f>SUM(S62:S67)</f>
        <v>171.55</v>
      </c>
      <c r="K68" s="2">
        <f>[86]Source!CA1111</f>
        <v>45</v>
      </c>
      <c r="L68" s="25">
        <f>SUM(T62:T67)</f>
        <v>1966.07</v>
      </c>
    </row>
    <row r="69" spans="1:22" ht="14.25" x14ac:dyDescent="0.2">
      <c r="A69" s="4"/>
      <c r="B69" s="4"/>
      <c r="C69" s="5"/>
      <c r="D69" s="5" t="s">
        <v>27</v>
      </c>
      <c r="E69" s="6" t="s">
        <v>25</v>
      </c>
      <c r="F69" s="2">
        <f>175</f>
        <v>175</v>
      </c>
      <c r="G69" s="7"/>
      <c r="H69" s="8"/>
      <c r="I69" s="2"/>
      <c r="J69" s="25">
        <f>SUM(U62:U68)-J75</f>
        <v>1.58</v>
      </c>
      <c r="K69" s="2">
        <f>157</f>
        <v>157</v>
      </c>
      <c r="L69" s="25">
        <f>SUM(V62:V68)-L75</f>
        <v>33.799999999999997</v>
      </c>
    </row>
    <row r="70" spans="1:22" ht="14.25" x14ac:dyDescent="0.2">
      <c r="A70" s="4"/>
      <c r="B70" s="4"/>
      <c r="C70" s="5"/>
      <c r="D70" s="5" t="s">
        <v>28</v>
      </c>
      <c r="E70" s="6" t="s">
        <v>29</v>
      </c>
      <c r="F70" s="2">
        <f>[86]Source!AQ1110</f>
        <v>1.47</v>
      </c>
      <c r="G70" s="7"/>
      <c r="H70" s="8" t="str">
        <f>[86]Source!DI1110</f>
        <v/>
      </c>
      <c r="I70" s="2">
        <f>[86]Source!AV1111</f>
        <v>1.0669999999999999</v>
      </c>
      <c r="J70" s="25">
        <f>[86]Source!U1110</f>
        <v>9.41</v>
      </c>
      <c r="K70" s="2"/>
      <c r="L70" s="25"/>
    </row>
    <row r="71" spans="1:22" ht="15" x14ac:dyDescent="0.25">
      <c r="I71" s="525">
        <f>J63+J64+J66+J67+J68+J69</f>
        <v>785.19</v>
      </c>
      <c r="J71" s="525"/>
      <c r="K71" s="525">
        <f>L63+L64+L66+L67+L68+L69</f>
        <v>11303.2</v>
      </c>
      <c r="L71" s="525"/>
      <c r="O71" s="11">
        <f>J63+J64+J66+J67+J68+J69</f>
        <v>785.19</v>
      </c>
      <c r="P71" s="11">
        <f>L63+L64+L66+L67+L68+L69</f>
        <v>11303.2</v>
      </c>
    </row>
    <row r="72" spans="1:22" ht="28.5" x14ac:dyDescent="0.2">
      <c r="A72" s="12"/>
      <c r="B72" s="12"/>
      <c r="C72" s="13"/>
      <c r="D72" s="13" t="s">
        <v>30</v>
      </c>
      <c r="E72" s="6"/>
      <c r="F72" s="14"/>
      <c r="G72" s="15"/>
      <c r="H72" s="6"/>
      <c r="I72" s="14"/>
      <c r="J72" s="10"/>
      <c r="K72" s="14"/>
      <c r="L72" s="10"/>
    </row>
    <row r="73" spans="1:22" ht="14.25" x14ac:dyDescent="0.2">
      <c r="A73" s="12"/>
      <c r="B73" s="12"/>
      <c r="C73" s="13"/>
      <c r="D73" s="13" t="s">
        <v>21</v>
      </c>
      <c r="E73" s="6"/>
      <c r="F73" s="14"/>
      <c r="G73" s="15">
        <f t="shared" ref="G73:L73" si="2">G74</f>
        <v>0.14000000000000001</v>
      </c>
      <c r="H73" s="16" t="str">
        <f t="shared" si="2"/>
        <v>)*(1.67-1)</v>
      </c>
      <c r="I73" s="14">
        <f t="shared" si="2"/>
        <v>1.0669999999999999</v>
      </c>
      <c r="J73" s="10">
        <f t="shared" si="2"/>
        <v>0.6</v>
      </c>
      <c r="K73" s="14">
        <f t="shared" si="2"/>
        <v>23.94</v>
      </c>
      <c r="L73" s="10">
        <f t="shared" si="2"/>
        <v>14.38</v>
      </c>
    </row>
    <row r="74" spans="1:22" ht="14.25" x14ac:dyDescent="0.2">
      <c r="A74" s="12"/>
      <c r="B74" s="12"/>
      <c r="C74" s="13"/>
      <c r="D74" s="13" t="s">
        <v>22</v>
      </c>
      <c r="E74" s="6"/>
      <c r="F74" s="14"/>
      <c r="G74" s="15">
        <f>[86]Source!AN1110</f>
        <v>0.14000000000000001</v>
      </c>
      <c r="H74" s="16" t="s">
        <v>31</v>
      </c>
      <c r="I74" s="14">
        <f>[86]Source!AV1111</f>
        <v>1.0669999999999999</v>
      </c>
      <c r="J74" s="10">
        <f>ROUND(F62*G74*I74*(1.67-1), 2)</f>
        <v>0.6</v>
      </c>
      <c r="K74" s="14">
        <f>IF([86]Source!BS1111&lt;&gt; 0, [86]Source!BS1111, 1)</f>
        <v>23.94</v>
      </c>
      <c r="L74" s="10">
        <f>ROUND(F62*G74*I74*(1.67-1)*K74, 2)</f>
        <v>14.38</v>
      </c>
    </row>
    <row r="75" spans="1:22" ht="14.25" x14ac:dyDescent="0.2">
      <c r="A75" s="12"/>
      <c r="B75" s="12"/>
      <c r="C75" s="13"/>
      <c r="D75" s="13" t="s">
        <v>27</v>
      </c>
      <c r="E75" s="6" t="s">
        <v>25</v>
      </c>
      <c r="F75" s="14">
        <f>175</f>
        <v>175</v>
      </c>
      <c r="G75" s="15"/>
      <c r="H75" s="6"/>
      <c r="I75" s="14"/>
      <c r="J75" s="10">
        <f>ROUND(J74*(F75/100), 2)</f>
        <v>1.05</v>
      </c>
      <c r="K75" s="14">
        <f>157</f>
        <v>157</v>
      </c>
      <c r="L75" s="10">
        <f>ROUND(L74*(K75/100), 2)</f>
        <v>22.58</v>
      </c>
    </row>
    <row r="76" spans="1:22" ht="15" x14ac:dyDescent="0.25">
      <c r="I76" s="525">
        <f>J75+J74</f>
        <v>1.65</v>
      </c>
      <c r="J76" s="525"/>
      <c r="K76" s="525">
        <f>L75+L74</f>
        <v>36.96</v>
      </c>
      <c r="L76" s="525"/>
      <c r="O76" s="11">
        <f>I76</f>
        <v>1.65</v>
      </c>
      <c r="P76" s="11">
        <f>K76</f>
        <v>36.96</v>
      </c>
    </row>
    <row r="78" spans="1:22" ht="15" x14ac:dyDescent="0.25">
      <c r="A78" s="37"/>
      <c r="B78" s="37"/>
      <c r="C78" s="38"/>
      <c r="D78" s="38" t="s">
        <v>32</v>
      </c>
      <c r="E78" s="39"/>
      <c r="F78" s="40"/>
      <c r="G78" s="41"/>
      <c r="H78" s="42"/>
      <c r="I78" s="524">
        <f>I71+I76</f>
        <v>786.84</v>
      </c>
      <c r="J78" s="524"/>
      <c r="K78" s="524">
        <f>K71+K76</f>
        <v>11340.16</v>
      </c>
      <c r="L78" s="524"/>
    </row>
    <row r="79" spans="1:22" ht="57" x14ac:dyDescent="0.2">
      <c r="A79" s="4">
        <v>6</v>
      </c>
      <c r="B79" s="4" t="str">
        <f>[86]Source!E1112</f>
        <v>139</v>
      </c>
      <c r="C79" s="5" t="str">
        <f>[86]Source!F1112</f>
        <v>1.19-6-83</v>
      </c>
      <c r="D79" s="5" t="s">
        <v>192</v>
      </c>
      <c r="E79" s="6" t="str">
        <f>[86]Source!H1112</f>
        <v>шт.</v>
      </c>
      <c r="F79" s="2">
        <f>[86]Source!I1112</f>
        <v>4</v>
      </c>
      <c r="G79" s="7">
        <f>[86]Source!AL1112</f>
        <v>494</v>
      </c>
      <c r="H79" s="8" t="str">
        <f>[86]Source!DD1112</f>
        <v/>
      </c>
      <c r="I79" s="2">
        <f>[86]Source!AW1113</f>
        <v>1</v>
      </c>
      <c r="J79" s="25">
        <f>[86]Source!P1112</f>
        <v>1976</v>
      </c>
      <c r="K79" s="2">
        <f>IF([86]Source!BC1113&lt;&gt; 0, [86]Source!BC1113, 1)</f>
        <v>8.6</v>
      </c>
      <c r="L79" s="25">
        <f>[86]Source!P1113</f>
        <v>16993.599999999999</v>
      </c>
      <c r="Q79">
        <f>[86]Source!X1112</f>
        <v>0</v>
      </c>
      <c r="R79">
        <f>[86]Source!X1113</f>
        <v>0</v>
      </c>
      <c r="S79">
        <f>[86]Source!Y1112</f>
        <v>0</v>
      </c>
      <c r="T79">
        <f>[86]Source!Y1113</f>
        <v>0</v>
      </c>
      <c r="U79">
        <f>ROUND((175/100)*ROUND([86]Source!R1112, 2), 2)</f>
        <v>0</v>
      </c>
      <c r="V79">
        <f>ROUND((157/100)*ROUND([86]Source!R1113, 2), 2)</f>
        <v>0</v>
      </c>
    </row>
    <row r="80" spans="1:22" ht="15" x14ac:dyDescent="0.25">
      <c r="A80" s="35"/>
      <c r="B80" s="35"/>
      <c r="C80" s="35"/>
      <c r="D80" s="35"/>
      <c r="E80" s="35"/>
      <c r="F80" s="35"/>
      <c r="G80" s="35"/>
      <c r="H80" s="35"/>
      <c r="I80" s="524">
        <f>J79</f>
        <v>1976</v>
      </c>
      <c r="J80" s="524"/>
      <c r="K80" s="524">
        <f>L79</f>
        <v>16993.599999999999</v>
      </c>
      <c r="L80" s="524"/>
      <c r="O80" s="11">
        <f>J79</f>
        <v>1976</v>
      </c>
      <c r="P80" s="11">
        <f>L79</f>
        <v>16993.599999999999</v>
      </c>
    </row>
    <row r="81" spans="1:22" ht="57" x14ac:dyDescent="0.2">
      <c r="A81" s="4">
        <v>7</v>
      </c>
      <c r="B81" s="4" t="str">
        <f>[86]Source!E1114</f>
        <v>140</v>
      </c>
      <c r="C81" s="5" t="str">
        <f>[86]Source!F1114</f>
        <v>1.19-6-84</v>
      </c>
      <c r="D81" s="5" t="s">
        <v>193</v>
      </c>
      <c r="E81" s="6" t="str">
        <f>[86]Source!H1114</f>
        <v>шт.</v>
      </c>
      <c r="F81" s="2">
        <f>[86]Source!I1114</f>
        <v>2</v>
      </c>
      <c r="G81" s="7">
        <f>[86]Source!AL1114</f>
        <v>570.87</v>
      </c>
      <c r="H81" s="8" t="str">
        <f>[86]Source!DD1114</f>
        <v/>
      </c>
      <c r="I81" s="2">
        <f>[86]Source!AW1115</f>
        <v>1</v>
      </c>
      <c r="J81" s="25">
        <f>[86]Source!P1114</f>
        <v>1141.74</v>
      </c>
      <c r="K81" s="2">
        <f>IF([86]Source!BC1115&lt;&gt; 0, [86]Source!BC1115, 1)</f>
        <v>7.77</v>
      </c>
      <c r="L81" s="25">
        <f>[86]Source!P1115</f>
        <v>8871.32</v>
      </c>
      <c r="Q81">
        <f>[86]Source!X1114</f>
        <v>0</v>
      </c>
      <c r="R81">
        <f>[86]Source!X1115</f>
        <v>0</v>
      </c>
      <c r="S81">
        <f>[86]Source!Y1114</f>
        <v>0</v>
      </c>
      <c r="T81">
        <f>[86]Source!Y1115</f>
        <v>0</v>
      </c>
      <c r="U81">
        <f>ROUND((175/100)*ROUND([86]Source!R1114, 2), 2)</f>
        <v>0</v>
      </c>
      <c r="V81">
        <f>ROUND((157/100)*ROUND([86]Source!R1115, 2), 2)</f>
        <v>0</v>
      </c>
    </row>
    <row r="82" spans="1:22" ht="15" x14ac:dyDescent="0.25">
      <c r="A82" s="35"/>
      <c r="B82" s="35"/>
      <c r="C82" s="35"/>
      <c r="D82" s="35"/>
      <c r="E82" s="35"/>
      <c r="F82" s="35"/>
      <c r="G82" s="35"/>
      <c r="H82" s="35"/>
      <c r="I82" s="524">
        <f>J81</f>
        <v>1141.74</v>
      </c>
      <c r="J82" s="524"/>
      <c r="K82" s="524">
        <f>L81</f>
        <v>8871.32</v>
      </c>
      <c r="L82" s="524"/>
      <c r="O82" s="11">
        <f>J81</f>
        <v>1141.74</v>
      </c>
      <c r="P82" s="11">
        <f>L81</f>
        <v>8871.32</v>
      </c>
    </row>
    <row r="83" spans="1:22" ht="71.25" x14ac:dyDescent="0.2">
      <c r="A83" s="4">
        <v>8</v>
      </c>
      <c r="B83" s="4" t="str">
        <f>[86]Source!E1204</f>
        <v>182</v>
      </c>
      <c r="C83" s="5" t="str">
        <f>[86]Source!F1204</f>
        <v>3.20-1-9</v>
      </c>
      <c r="D83" s="5" t="s">
        <v>194</v>
      </c>
      <c r="E83" s="6" t="str">
        <f>[86]Source!H1204</f>
        <v>100 м2 поверхности воздуховодов</v>
      </c>
      <c r="F83" s="2">
        <f>[86]Source!I1204</f>
        <v>0.1258</v>
      </c>
      <c r="G83" s="7"/>
      <c r="H83" s="8"/>
      <c r="I83" s="2"/>
      <c r="J83" s="25"/>
      <c r="K83" s="2"/>
      <c r="L83" s="25"/>
      <c r="Q83">
        <f>[86]Source!X1204</f>
        <v>447.24</v>
      </c>
      <c r="R83">
        <f>[86]Source!X1205</f>
        <v>8565.49</v>
      </c>
      <c r="S83">
        <f>[86]Source!Y1204</f>
        <v>336.32</v>
      </c>
      <c r="T83">
        <f>[86]Source!Y1205</f>
        <v>3854.47</v>
      </c>
      <c r="U83">
        <f>ROUND((175/100)*ROUND([86]Source!R1204, 2), 2)</f>
        <v>6.06</v>
      </c>
      <c r="V83">
        <f>ROUND((157/100)*ROUND([86]Source!R1205, 2), 2)</f>
        <v>130.04</v>
      </c>
    </row>
    <row r="84" spans="1:22" ht="14.25" x14ac:dyDescent="0.2">
      <c r="A84" s="4"/>
      <c r="B84" s="4"/>
      <c r="C84" s="5"/>
      <c r="D84" s="5" t="s">
        <v>20</v>
      </c>
      <c r="E84" s="6"/>
      <c r="F84" s="2"/>
      <c r="G84" s="7">
        <f>[86]Source!AO1204</f>
        <v>1596.12</v>
      </c>
      <c r="H84" s="8" t="str">
        <f>[86]Source!DG1204</f>
        <v>)*1,67</v>
      </c>
      <c r="I84" s="2">
        <f>[86]Source!AV1205</f>
        <v>1.0669999999999999</v>
      </c>
      <c r="J84" s="25">
        <f>[86]Source!S1204</f>
        <v>357.79</v>
      </c>
      <c r="K84" s="2">
        <f>IF([86]Source!BA1205&lt;&gt; 0, [86]Source!BA1205, 1)</f>
        <v>23.94</v>
      </c>
      <c r="L84" s="25">
        <f>[86]Source!S1205</f>
        <v>8565.49</v>
      </c>
    </row>
    <row r="85" spans="1:22" ht="14.25" x14ac:dyDescent="0.2">
      <c r="A85" s="4"/>
      <c r="B85" s="4"/>
      <c r="C85" s="5"/>
      <c r="D85" s="5" t="s">
        <v>21</v>
      </c>
      <c r="E85" s="6"/>
      <c r="F85" s="2"/>
      <c r="G85" s="7">
        <f>[86]Source!AM1204</f>
        <v>125.93</v>
      </c>
      <c r="H85" s="8" t="str">
        <f>[86]Source!DE1204</f>
        <v/>
      </c>
      <c r="I85" s="2">
        <f>[86]Source!AV1205</f>
        <v>1.0669999999999999</v>
      </c>
      <c r="J85" s="25">
        <f>[86]Source!Q1204-J95</f>
        <v>16.899999999999999</v>
      </c>
      <c r="K85" s="2">
        <f>IF([86]Source!BB1205&lt;&gt; 0, [86]Source!BB1205, 1)</f>
        <v>8.3699999999999992</v>
      </c>
      <c r="L85" s="25">
        <f>[86]Source!Q1205-L95</f>
        <v>141.51</v>
      </c>
    </row>
    <row r="86" spans="1:22" ht="14.25" x14ac:dyDescent="0.2">
      <c r="A86" s="4"/>
      <c r="B86" s="4"/>
      <c r="C86" s="5"/>
      <c r="D86" s="5" t="s">
        <v>22</v>
      </c>
      <c r="E86" s="6"/>
      <c r="F86" s="2"/>
      <c r="G86" s="7">
        <f>[86]Source!AN1204</f>
        <v>15.43</v>
      </c>
      <c r="H86" s="8" t="str">
        <f>[86]Source!DE1204</f>
        <v/>
      </c>
      <c r="I86" s="2">
        <f>[86]Source!AV1205</f>
        <v>1.0669999999999999</v>
      </c>
      <c r="J86" s="10">
        <f>[86]Source!R1204-J96</f>
        <v>2.0699999999999998</v>
      </c>
      <c r="K86" s="2">
        <f>IF([86]Source!BS1205&lt;&gt; 0, [86]Source!BS1205, 1)</f>
        <v>23.94</v>
      </c>
      <c r="L86" s="10">
        <f>[86]Source!R1205-L96</f>
        <v>49.61</v>
      </c>
    </row>
    <row r="87" spans="1:22" ht="14.25" x14ac:dyDescent="0.2">
      <c r="A87" s="4"/>
      <c r="B87" s="4"/>
      <c r="C87" s="5"/>
      <c r="D87" s="5" t="s">
        <v>23</v>
      </c>
      <c r="E87" s="6"/>
      <c r="F87" s="2"/>
      <c r="G87" s="7">
        <f>[86]Source!AL1204</f>
        <v>499.17</v>
      </c>
      <c r="H87" s="8" t="str">
        <f>[86]Source!DD1204</f>
        <v/>
      </c>
      <c r="I87" s="2">
        <f>[86]Source!AW1205</f>
        <v>1</v>
      </c>
      <c r="J87" s="25">
        <f>[86]Source!P1204</f>
        <v>62.8</v>
      </c>
      <c r="K87" s="2">
        <f>IF([86]Source!BC1205&lt;&gt; 0, [86]Source!BC1205, 1)</f>
        <v>3.58</v>
      </c>
      <c r="L87" s="25">
        <f>[86]Source!P1205</f>
        <v>224.82</v>
      </c>
    </row>
    <row r="88" spans="1:22" ht="57" x14ac:dyDescent="0.2">
      <c r="A88" s="4">
        <v>9</v>
      </c>
      <c r="B88" s="4" t="str">
        <f>[86]Source!E1206</f>
        <v>182,1</v>
      </c>
      <c r="C88" s="5" t="str">
        <f>[86]Source!F1206</f>
        <v>1.19-3-12</v>
      </c>
      <c r="D88" s="5" t="s">
        <v>94</v>
      </c>
      <c r="E88" s="6" t="str">
        <f>[86]Source!H1206</f>
        <v>м2</v>
      </c>
      <c r="F88" s="2">
        <f>[86]Source!I1206</f>
        <v>12.58</v>
      </c>
      <c r="G88" s="7">
        <f>[86]Source!AK1206</f>
        <v>125.64</v>
      </c>
      <c r="H88" s="36" t="s">
        <v>90</v>
      </c>
      <c r="I88" s="2">
        <f>[86]Source!AW1207</f>
        <v>1</v>
      </c>
      <c r="J88" s="25">
        <f>[86]Source!O1206</f>
        <v>1580.55</v>
      </c>
      <c r="K88" s="2">
        <f>IF([86]Source!BC1207&lt;&gt; 0, [86]Source!BC1207, 1)</f>
        <v>3.84</v>
      </c>
      <c r="L88" s="25">
        <f>[86]Source!O1207</f>
        <v>6069.31</v>
      </c>
      <c r="Q88">
        <f>[86]Source!X1206</f>
        <v>0</v>
      </c>
      <c r="R88">
        <f>[86]Source!X1207</f>
        <v>0</v>
      </c>
      <c r="S88">
        <f>[86]Source!Y1206</f>
        <v>0</v>
      </c>
      <c r="T88">
        <f>[86]Source!Y1207</f>
        <v>0</v>
      </c>
      <c r="U88">
        <f>ROUND((175/100)*ROUND([86]Source!R1206, 2), 2)</f>
        <v>0</v>
      </c>
      <c r="V88">
        <f>ROUND((157/100)*ROUND([86]Source!R1207, 2), 2)</f>
        <v>0</v>
      </c>
    </row>
    <row r="89" spans="1:22" ht="14.25" x14ac:dyDescent="0.2">
      <c r="A89" s="4"/>
      <c r="B89" s="4"/>
      <c r="C89" s="5"/>
      <c r="D89" s="5" t="s">
        <v>24</v>
      </c>
      <c r="E89" s="6" t="s">
        <v>25</v>
      </c>
      <c r="F89" s="2">
        <f>[86]Source!DN1205</f>
        <v>125</v>
      </c>
      <c r="G89" s="7"/>
      <c r="H89" s="8"/>
      <c r="I89" s="2"/>
      <c r="J89" s="25">
        <f>SUM(Q83:Q88)</f>
        <v>447.24</v>
      </c>
      <c r="K89" s="2">
        <f>[86]Source!BZ1205</f>
        <v>100</v>
      </c>
      <c r="L89" s="25">
        <f>SUM(R83:R88)</f>
        <v>8565.49</v>
      </c>
    </row>
    <row r="90" spans="1:22" ht="14.25" x14ac:dyDescent="0.2">
      <c r="A90" s="4"/>
      <c r="B90" s="4"/>
      <c r="C90" s="5"/>
      <c r="D90" s="5" t="s">
        <v>26</v>
      </c>
      <c r="E90" s="6" t="s">
        <v>25</v>
      </c>
      <c r="F90" s="2">
        <f>[86]Source!DO1205</f>
        <v>94</v>
      </c>
      <c r="G90" s="7"/>
      <c r="H90" s="8"/>
      <c r="I90" s="2"/>
      <c r="J90" s="25">
        <f>SUM(S83:S89)</f>
        <v>336.32</v>
      </c>
      <c r="K90" s="2">
        <f>[86]Source!CA1205</f>
        <v>45</v>
      </c>
      <c r="L90" s="25">
        <f>SUM(T83:T89)</f>
        <v>3854.47</v>
      </c>
    </row>
    <row r="91" spans="1:22" ht="14.25" x14ac:dyDescent="0.2">
      <c r="A91" s="4"/>
      <c r="B91" s="4"/>
      <c r="C91" s="5"/>
      <c r="D91" s="5" t="s">
        <v>27</v>
      </c>
      <c r="E91" s="6" t="s">
        <v>25</v>
      </c>
      <c r="F91" s="2">
        <f>175</f>
        <v>175</v>
      </c>
      <c r="G91" s="7"/>
      <c r="H91" s="8"/>
      <c r="I91" s="2"/>
      <c r="J91" s="25">
        <f>SUM(U83:U90)-J97</f>
        <v>3.63</v>
      </c>
      <c r="K91" s="2">
        <f>157</f>
        <v>157</v>
      </c>
      <c r="L91" s="25">
        <f>SUM(V83:V90)-L97</f>
        <v>77.88</v>
      </c>
    </row>
    <row r="92" spans="1:22" ht="14.25" x14ac:dyDescent="0.2">
      <c r="A92" s="4"/>
      <c r="B92" s="4"/>
      <c r="C92" s="5"/>
      <c r="D92" s="5" t="s">
        <v>28</v>
      </c>
      <c r="E92" s="6" t="s">
        <v>29</v>
      </c>
      <c r="F92" s="2">
        <f>[86]Source!AQ1204</f>
        <v>141</v>
      </c>
      <c r="G92" s="7"/>
      <c r="H92" s="8" t="str">
        <f>[86]Source!DI1204</f>
        <v/>
      </c>
      <c r="I92" s="2">
        <f>[86]Source!AV1205</f>
        <v>1.0669999999999999</v>
      </c>
      <c r="J92" s="25">
        <f>[86]Source!U1204</f>
        <v>18.93</v>
      </c>
      <c r="K92" s="2"/>
      <c r="L92" s="25"/>
    </row>
    <row r="93" spans="1:22" ht="15" x14ac:dyDescent="0.25">
      <c r="I93" s="525">
        <f>J84+J85+J87+J89+J90+J91+SUM(J88:J88)</f>
        <v>2805.23</v>
      </c>
      <c r="J93" s="525"/>
      <c r="K93" s="525">
        <f>L84+L85+L87+L89+L90+L91+SUM(L88:L88)</f>
        <v>27498.97</v>
      </c>
      <c r="L93" s="525"/>
      <c r="O93" s="11">
        <f>J84+J85+J87+J89+J90+J91+SUM(J88:J88)</f>
        <v>2805.23</v>
      </c>
      <c r="P93" s="11">
        <f>L84+L85+L87+L89+L90+L91+SUM(L88:L88)</f>
        <v>27498.97</v>
      </c>
    </row>
    <row r="94" spans="1:22" ht="28.5" x14ac:dyDescent="0.2">
      <c r="A94" s="12"/>
      <c r="B94" s="12"/>
      <c r="C94" s="13"/>
      <c r="D94" s="13" t="s">
        <v>30</v>
      </c>
      <c r="E94" s="6"/>
      <c r="F94" s="14"/>
      <c r="G94" s="15"/>
      <c r="H94" s="6"/>
      <c r="I94" s="14"/>
      <c r="J94" s="10"/>
      <c r="K94" s="14"/>
      <c r="L94" s="10"/>
    </row>
    <row r="95" spans="1:22" ht="14.25" x14ac:dyDescent="0.2">
      <c r="A95" s="12"/>
      <c r="B95" s="12"/>
      <c r="C95" s="13"/>
      <c r="D95" s="13" t="s">
        <v>21</v>
      </c>
      <c r="E95" s="6"/>
      <c r="F95" s="14"/>
      <c r="G95" s="15">
        <f t="shared" ref="G95:L95" si="3">G96</f>
        <v>15.43</v>
      </c>
      <c r="H95" s="16" t="str">
        <f t="shared" si="3"/>
        <v>)*(1.67-1)</v>
      </c>
      <c r="I95" s="14">
        <f t="shared" si="3"/>
        <v>1.0669999999999999</v>
      </c>
      <c r="J95" s="10">
        <f t="shared" si="3"/>
        <v>1.39</v>
      </c>
      <c r="K95" s="14">
        <f t="shared" si="3"/>
        <v>23.94</v>
      </c>
      <c r="L95" s="10">
        <f t="shared" si="3"/>
        <v>33.22</v>
      </c>
    </row>
    <row r="96" spans="1:22" ht="14.25" x14ac:dyDescent="0.2">
      <c r="A96" s="12"/>
      <c r="B96" s="12"/>
      <c r="C96" s="13"/>
      <c r="D96" s="13" t="s">
        <v>22</v>
      </c>
      <c r="E96" s="6"/>
      <c r="F96" s="14"/>
      <c r="G96" s="15">
        <f>[86]Source!AN1204</f>
        <v>15.43</v>
      </c>
      <c r="H96" s="16" t="s">
        <v>31</v>
      </c>
      <c r="I96" s="14">
        <f>[86]Source!AV1205</f>
        <v>1.0669999999999999</v>
      </c>
      <c r="J96" s="10">
        <f>ROUND(F83*G96*I96*(1.67-1), 2)</f>
        <v>1.39</v>
      </c>
      <c r="K96" s="14">
        <f>IF([86]Source!BS1205&lt;&gt; 0, [86]Source!BS1205, 1)</f>
        <v>23.94</v>
      </c>
      <c r="L96" s="10">
        <f>ROUND(F83*G96*I96*(1.67-1)*K96, 2)</f>
        <v>33.22</v>
      </c>
    </row>
    <row r="97" spans="1:22" ht="14.25" x14ac:dyDescent="0.2">
      <c r="A97" s="12"/>
      <c r="B97" s="12"/>
      <c r="C97" s="13"/>
      <c r="D97" s="13" t="s">
        <v>27</v>
      </c>
      <c r="E97" s="6" t="s">
        <v>25</v>
      </c>
      <c r="F97" s="14">
        <f>175</f>
        <v>175</v>
      </c>
      <c r="G97" s="15"/>
      <c r="H97" s="6"/>
      <c r="I97" s="14"/>
      <c r="J97" s="10">
        <f>ROUND(J96*(F97/100), 2)</f>
        <v>2.4300000000000002</v>
      </c>
      <c r="K97" s="14">
        <f>157</f>
        <v>157</v>
      </c>
      <c r="L97" s="10">
        <f>ROUND(L96*(K97/100), 2)</f>
        <v>52.16</v>
      </c>
    </row>
    <row r="98" spans="1:22" ht="15" x14ac:dyDescent="0.25">
      <c r="I98" s="525">
        <f>J97+J96</f>
        <v>3.82</v>
      </c>
      <c r="J98" s="525"/>
      <c r="K98" s="525">
        <f>L97+L96</f>
        <v>85.38</v>
      </c>
      <c r="L98" s="525"/>
      <c r="O98" s="11">
        <f>I98</f>
        <v>3.82</v>
      </c>
      <c r="P98" s="11">
        <f>K98</f>
        <v>85.38</v>
      </c>
    </row>
    <row r="100" spans="1:22" ht="15" x14ac:dyDescent="0.25">
      <c r="A100" s="37"/>
      <c r="B100" s="37"/>
      <c r="C100" s="38"/>
      <c r="D100" s="38" t="s">
        <v>32</v>
      </c>
      <c r="E100" s="39"/>
      <c r="F100" s="40"/>
      <c r="G100" s="41"/>
      <c r="H100" s="42"/>
      <c r="I100" s="524">
        <f>I93+I98</f>
        <v>2809.05</v>
      </c>
      <c r="J100" s="524"/>
      <c r="K100" s="524">
        <f>K93+K98</f>
        <v>27584.35</v>
      </c>
      <c r="L100" s="524"/>
    </row>
    <row r="101" spans="1:22" ht="71.25" x14ac:dyDescent="0.2">
      <c r="A101" s="4">
        <v>10</v>
      </c>
      <c r="B101" s="4" t="str">
        <f>[86]Source!E1216</f>
        <v>185</v>
      </c>
      <c r="C101" s="5" t="str">
        <f>[86]Source!F1216</f>
        <v>3.20-1-9</v>
      </c>
      <c r="D101" s="5" t="s">
        <v>194</v>
      </c>
      <c r="E101" s="6" t="str">
        <f>[86]Source!H1216</f>
        <v>100 м2 поверхности воздуховодов</v>
      </c>
      <c r="F101" s="2">
        <f>[86]Source!I1216</f>
        <v>5.0200000000000002E-2</v>
      </c>
      <c r="G101" s="7"/>
      <c r="H101" s="8"/>
      <c r="I101" s="2"/>
      <c r="J101" s="25"/>
      <c r="K101" s="2"/>
      <c r="L101" s="25"/>
      <c r="Q101">
        <f>[86]Source!X1216</f>
        <v>178.46</v>
      </c>
      <c r="R101">
        <f>[86]Source!X1217</f>
        <v>3417.91</v>
      </c>
      <c r="S101">
        <f>[86]Source!Y1216</f>
        <v>134.19999999999999</v>
      </c>
      <c r="T101">
        <f>[86]Source!Y1217</f>
        <v>1538.06</v>
      </c>
      <c r="U101">
        <f>ROUND((175/100)*ROUND([86]Source!R1216, 2), 2)</f>
        <v>2.42</v>
      </c>
      <c r="V101">
        <f>ROUND((157/100)*ROUND([86]Source!R1217, 2), 2)</f>
        <v>51.87</v>
      </c>
    </row>
    <row r="102" spans="1:22" ht="14.25" x14ac:dyDescent="0.2">
      <c r="A102" s="4"/>
      <c r="B102" s="4"/>
      <c r="C102" s="5"/>
      <c r="D102" s="5" t="s">
        <v>20</v>
      </c>
      <c r="E102" s="6"/>
      <c r="F102" s="2"/>
      <c r="G102" s="7">
        <f>[86]Source!AO1216</f>
        <v>1596.12</v>
      </c>
      <c r="H102" s="8" t="str">
        <f>[86]Source!DG1216</f>
        <v>)*1,67</v>
      </c>
      <c r="I102" s="2">
        <f>[86]Source!AV1217</f>
        <v>1.0669999999999999</v>
      </c>
      <c r="J102" s="25">
        <f>[86]Source!S1216</f>
        <v>142.77000000000001</v>
      </c>
      <c r="K102" s="2">
        <f>IF([86]Source!BA1217&lt;&gt; 0, [86]Source!BA1217, 1)</f>
        <v>23.94</v>
      </c>
      <c r="L102" s="25">
        <f>[86]Source!S1217</f>
        <v>3417.91</v>
      </c>
    </row>
    <row r="103" spans="1:22" ht="14.25" x14ac:dyDescent="0.2">
      <c r="A103" s="4"/>
      <c r="B103" s="4"/>
      <c r="C103" s="5"/>
      <c r="D103" s="5" t="s">
        <v>21</v>
      </c>
      <c r="E103" s="6"/>
      <c r="F103" s="2"/>
      <c r="G103" s="7">
        <f>[86]Source!AM1216</f>
        <v>125.93</v>
      </c>
      <c r="H103" s="8" t="str">
        <f>[86]Source!DE1216</f>
        <v/>
      </c>
      <c r="I103" s="2">
        <f>[86]Source!AV1217</f>
        <v>1.0669999999999999</v>
      </c>
      <c r="J103" s="25">
        <f>[86]Source!Q1216-J113</f>
        <v>6.75</v>
      </c>
      <c r="K103" s="2">
        <f>IF([86]Source!BB1217&lt;&gt; 0, [86]Source!BB1217, 1)</f>
        <v>8.3699999999999992</v>
      </c>
      <c r="L103" s="25">
        <f>[86]Source!Q1217-L113</f>
        <v>56.41</v>
      </c>
    </row>
    <row r="104" spans="1:22" ht="14.25" x14ac:dyDescent="0.2">
      <c r="A104" s="4"/>
      <c r="B104" s="4"/>
      <c r="C104" s="5"/>
      <c r="D104" s="5" t="s">
        <v>22</v>
      </c>
      <c r="E104" s="6"/>
      <c r="F104" s="2"/>
      <c r="G104" s="7">
        <f>[86]Source!AN1216</f>
        <v>15.43</v>
      </c>
      <c r="H104" s="8" t="str">
        <f>[86]Source!DE1216</f>
        <v/>
      </c>
      <c r="I104" s="2">
        <f>[86]Source!AV1217</f>
        <v>1.0669999999999999</v>
      </c>
      <c r="J104" s="10">
        <f>[86]Source!R1216-J114</f>
        <v>0.83</v>
      </c>
      <c r="K104" s="2">
        <f>IF([86]Source!BS1217&lt;&gt; 0, [86]Source!BS1217, 1)</f>
        <v>23.94</v>
      </c>
      <c r="L104" s="10">
        <f>[86]Source!R1217-L114</f>
        <v>19.78</v>
      </c>
    </row>
    <row r="105" spans="1:22" ht="14.25" x14ac:dyDescent="0.2">
      <c r="A105" s="4"/>
      <c r="B105" s="4"/>
      <c r="C105" s="5"/>
      <c r="D105" s="5" t="s">
        <v>23</v>
      </c>
      <c r="E105" s="6"/>
      <c r="F105" s="2"/>
      <c r="G105" s="7">
        <f>[86]Source!AL1216</f>
        <v>499.17</v>
      </c>
      <c r="H105" s="8" t="str">
        <f>[86]Source!DD1216</f>
        <v/>
      </c>
      <c r="I105" s="2">
        <f>[86]Source!AW1217</f>
        <v>1</v>
      </c>
      <c r="J105" s="25">
        <f>[86]Source!P1216</f>
        <v>25.06</v>
      </c>
      <c r="K105" s="2">
        <f>IF([86]Source!BC1217&lt;&gt; 0, [86]Source!BC1217, 1)</f>
        <v>3.58</v>
      </c>
      <c r="L105" s="25">
        <f>[86]Source!P1217</f>
        <v>89.71</v>
      </c>
    </row>
    <row r="106" spans="1:22" ht="57" x14ac:dyDescent="0.2">
      <c r="A106" s="4">
        <v>11</v>
      </c>
      <c r="B106" s="4" t="str">
        <f>[86]Source!E1218</f>
        <v>185,1</v>
      </c>
      <c r="C106" s="5" t="str">
        <f>[86]Source!F1218</f>
        <v>1.19-3-12</v>
      </c>
      <c r="D106" s="5" t="s">
        <v>94</v>
      </c>
      <c r="E106" s="6" t="str">
        <f>[86]Source!H1218</f>
        <v>м2</v>
      </c>
      <c r="F106" s="2">
        <f>[86]Source!I1218</f>
        <v>5.0199999999999996</v>
      </c>
      <c r="G106" s="7">
        <f>[86]Source!AK1218</f>
        <v>125.64</v>
      </c>
      <c r="H106" s="36" t="s">
        <v>90</v>
      </c>
      <c r="I106" s="2">
        <f>[86]Source!AW1219</f>
        <v>1</v>
      </c>
      <c r="J106" s="25">
        <f>[86]Source!O1218</f>
        <v>630.71</v>
      </c>
      <c r="K106" s="2">
        <f>IF([86]Source!BC1219&lt;&gt; 0, [86]Source!BC1219, 1)</f>
        <v>3.84</v>
      </c>
      <c r="L106" s="25">
        <f>[86]Source!O1219</f>
        <v>2421.9299999999998</v>
      </c>
      <c r="Q106">
        <f>[86]Source!X1218</f>
        <v>0</v>
      </c>
      <c r="R106">
        <f>[86]Source!X1219</f>
        <v>0</v>
      </c>
      <c r="S106">
        <f>[86]Source!Y1218</f>
        <v>0</v>
      </c>
      <c r="T106">
        <f>[86]Source!Y1219</f>
        <v>0</v>
      </c>
      <c r="U106">
        <f>ROUND((175/100)*ROUND([86]Source!R1218, 2), 2)</f>
        <v>0</v>
      </c>
      <c r="V106">
        <f>ROUND((157/100)*ROUND([86]Source!R1219, 2), 2)</f>
        <v>0</v>
      </c>
    </row>
    <row r="107" spans="1:22" ht="14.25" x14ac:dyDescent="0.2">
      <c r="A107" s="4"/>
      <c r="B107" s="4"/>
      <c r="C107" s="5"/>
      <c r="D107" s="5" t="s">
        <v>24</v>
      </c>
      <c r="E107" s="6" t="s">
        <v>25</v>
      </c>
      <c r="F107" s="2">
        <f>[86]Source!DN1217</f>
        <v>125</v>
      </c>
      <c r="G107" s="7"/>
      <c r="H107" s="8"/>
      <c r="I107" s="2"/>
      <c r="J107" s="25">
        <f>SUM(Q101:Q106)</f>
        <v>178.46</v>
      </c>
      <c r="K107" s="2">
        <f>[86]Source!BZ1217</f>
        <v>100</v>
      </c>
      <c r="L107" s="25">
        <f>SUM(R101:R106)</f>
        <v>3417.91</v>
      </c>
    </row>
    <row r="108" spans="1:22" ht="14.25" x14ac:dyDescent="0.2">
      <c r="A108" s="4"/>
      <c r="B108" s="4"/>
      <c r="C108" s="5"/>
      <c r="D108" s="5" t="s">
        <v>26</v>
      </c>
      <c r="E108" s="6" t="s">
        <v>25</v>
      </c>
      <c r="F108" s="2">
        <f>[86]Source!DO1217</f>
        <v>94</v>
      </c>
      <c r="G108" s="7"/>
      <c r="H108" s="8"/>
      <c r="I108" s="2"/>
      <c r="J108" s="25">
        <f>SUM(S101:S107)</f>
        <v>134.19999999999999</v>
      </c>
      <c r="K108" s="2">
        <f>[86]Source!CA1217</f>
        <v>45</v>
      </c>
      <c r="L108" s="25">
        <f>SUM(T101:T107)</f>
        <v>1538.06</v>
      </c>
    </row>
    <row r="109" spans="1:22" ht="14.25" x14ac:dyDescent="0.2">
      <c r="A109" s="4"/>
      <c r="B109" s="4"/>
      <c r="C109" s="5"/>
      <c r="D109" s="5" t="s">
        <v>27</v>
      </c>
      <c r="E109" s="6" t="s">
        <v>25</v>
      </c>
      <c r="F109" s="2">
        <f>175</f>
        <v>175</v>
      </c>
      <c r="G109" s="7"/>
      <c r="H109" s="8"/>
      <c r="I109" s="2"/>
      <c r="J109" s="25">
        <f>SUM(U101:U108)-J115</f>
        <v>1.46</v>
      </c>
      <c r="K109" s="2">
        <f>157</f>
        <v>157</v>
      </c>
      <c r="L109" s="25">
        <f>SUM(V101:V108)-L115</f>
        <v>31.05</v>
      </c>
    </row>
    <row r="110" spans="1:22" ht="14.25" x14ac:dyDescent="0.2">
      <c r="A110" s="4"/>
      <c r="B110" s="4"/>
      <c r="C110" s="5"/>
      <c r="D110" s="5" t="s">
        <v>28</v>
      </c>
      <c r="E110" s="6" t="s">
        <v>29</v>
      </c>
      <c r="F110" s="2">
        <f>[86]Source!AQ1216</f>
        <v>141</v>
      </c>
      <c r="G110" s="7"/>
      <c r="H110" s="8" t="str">
        <f>[86]Source!DI1216</f>
        <v/>
      </c>
      <c r="I110" s="2">
        <f>[86]Source!AV1217</f>
        <v>1.0669999999999999</v>
      </c>
      <c r="J110" s="25">
        <f>[86]Source!U1216</f>
        <v>7.55</v>
      </c>
      <c r="K110" s="2"/>
      <c r="L110" s="25"/>
    </row>
    <row r="111" spans="1:22" ht="15" x14ac:dyDescent="0.25">
      <c r="I111" s="525">
        <f>J102+J103+J105+J107+J108+J109+SUM(J106:J106)</f>
        <v>1119.4100000000001</v>
      </c>
      <c r="J111" s="525"/>
      <c r="K111" s="525">
        <f>L102+L103+L105+L107+L108+L109+SUM(L106:L106)</f>
        <v>10972.98</v>
      </c>
      <c r="L111" s="525"/>
      <c r="O111" s="11">
        <f>J102+J103+J105+J107+J108+J109+SUM(J106:J106)</f>
        <v>1119.4100000000001</v>
      </c>
      <c r="P111" s="11">
        <f>L102+L103+L105+L107+L108+L109+SUM(L106:L106)</f>
        <v>10972.98</v>
      </c>
    </row>
    <row r="112" spans="1:22" ht="28.5" x14ac:dyDescent="0.2">
      <c r="A112" s="12"/>
      <c r="B112" s="12"/>
      <c r="C112" s="13"/>
      <c r="D112" s="13" t="s">
        <v>30</v>
      </c>
      <c r="E112" s="6"/>
      <c r="F112" s="14"/>
      <c r="G112" s="15"/>
      <c r="H112" s="6"/>
      <c r="I112" s="14"/>
      <c r="J112" s="10"/>
      <c r="K112" s="14"/>
      <c r="L112" s="10"/>
    </row>
    <row r="113" spans="1:22" ht="14.25" x14ac:dyDescent="0.2">
      <c r="A113" s="12"/>
      <c r="B113" s="12"/>
      <c r="C113" s="13"/>
      <c r="D113" s="13" t="s">
        <v>21</v>
      </c>
      <c r="E113" s="6"/>
      <c r="F113" s="14"/>
      <c r="G113" s="15">
        <f t="shared" ref="G113:L113" si="4">G114</f>
        <v>15.43</v>
      </c>
      <c r="H113" s="16" t="str">
        <f t="shared" si="4"/>
        <v>)*(1.67-1)</v>
      </c>
      <c r="I113" s="14">
        <f t="shared" si="4"/>
        <v>1.0669999999999999</v>
      </c>
      <c r="J113" s="10">
        <f t="shared" si="4"/>
        <v>0.55000000000000004</v>
      </c>
      <c r="K113" s="14">
        <f t="shared" si="4"/>
        <v>23.94</v>
      </c>
      <c r="L113" s="10">
        <f t="shared" si="4"/>
        <v>13.26</v>
      </c>
    </row>
    <row r="114" spans="1:22" ht="14.25" x14ac:dyDescent="0.2">
      <c r="A114" s="12"/>
      <c r="B114" s="12"/>
      <c r="C114" s="13"/>
      <c r="D114" s="13" t="s">
        <v>22</v>
      </c>
      <c r="E114" s="6"/>
      <c r="F114" s="14"/>
      <c r="G114" s="15">
        <f>[86]Source!AN1216</f>
        <v>15.43</v>
      </c>
      <c r="H114" s="16" t="s">
        <v>31</v>
      </c>
      <c r="I114" s="14">
        <f>[86]Source!AV1217</f>
        <v>1.0669999999999999</v>
      </c>
      <c r="J114" s="10">
        <f>ROUND(F101*G114*I114*(1.67-1), 2)</f>
        <v>0.55000000000000004</v>
      </c>
      <c r="K114" s="14">
        <f>IF([86]Source!BS1217&lt;&gt; 0, [86]Source!BS1217, 1)</f>
        <v>23.94</v>
      </c>
      <c r="L114" s="10">
        <f>ROUND(F101*G114*I114*(1.67-1)*K114, 2)</f>
        <v>13.26</v>
      </c>
    </row>
    <row r="115" spans="1:22" ht="14.25" x14ac:dyDescent="0.2">
      <c r="A115" s="12"/>
      <c r="B115" s="12"/>
      <c r="C115" s="13"/>
      <c r="D115" s="13" t="s">
        <v>27</v>
      </c>
      <c r="E115" s="6" t="s">
        <v>25</v>
      </c>
      <c r="F115" s="14">
        <f>175</f>
        <v>175</v>
      </c>
      <c r="G115" s="15"/>
      <c r="H115" s="6"/>
      <c r="I115" s="14"/>
      <c r="J115" s="10">
        <f>ROUND(J114*(F115/100), 2)</f>
        <v>0.96</v>
      </c>
      <c r="K115" s="14">
        <f>157</f>
        <v>157</v>
      </c>
      <c r="L115" s="10">
        <f>ROUND(L114*(K115/100), 2)</f>
        <v>20.82</v>
      </c>
    </row>
    <row r="116" spans="1:22" ht="15" x14ac:dyDescent="0.25">
      <c r="I116" s="525">
        <f>J115+J114</f>
        <v>1.51</v>
      </c>
      <c r="J116" s="525"/>
      <c r="K116" s="525">
        <f>L115+L114</f>
        <v>34.08</v>
      </c>
      <c r="L116" s="525"/>
      <c r="O116" s="11">
        <f>I116</f>
        <v>1.51</v>
      </c>
      <c r="P116" s="11">
        <f>K116</f>
        <v>34.08</v>
      </c>
    </row>
    <row r="118" spans="1:22" ht="15" x14ac:dyDescent="0.25">
      <c r="A118" s="37"/>
      <c r="B118" s="37"/>
      <c r="C118" s="38"/>
      <c r="D118" s="38" t="s">
        <v>32</v>
      </c>
      <c r="E118" s="39"/>
      <c r="F118" s="40"/>
      <c r="G118" s="41"/>
      <c r="H118" s="42"/>
      <c r="I118" s="524">
        <f>I111+I116</f>
        <v>1120.92</v>
      </c>
      <c r="J118" s="524"/>
      <c r="K118" s="524">
        <f>K111+K116</f>
        <v>11007.06</v>
      </c>
      <c r="L118" s="524"/>
    </row>
    <row r="119" spans="1:22" ht="71.25" x14ac:dyDescent="0.2">
      <c r="A119" s="4">
        <v>12</v>
      </c>
      <c r="B119" s="4" t="str">
        <f>[86]Source!E1232</f>
        <v>189</v>
      </c>
      <c r="C119" s="5" t="str">
        <f>[86]Source!F1232</f>
        <v>3.20-1-11</v>
      </c>
      <c r="D119" s="5" t="s">
        <v>96</v>
      </c>
      <c r="E119" s="6" t="str">
        <f>[86]Source!H1232</f>
        <v>100 м2 поверхности воздуховодов</v>
      </c>
      <c r="F119" s="2">
        <f>[86]Source!I1232</f>
        <v>2.1507999999999998</v>
      </c>
      <c r="G119" s="7"/>
      <c r="H119" s="8"/>
      <c r="I119" s="2"/>
      <c r="J119" s="25"/>
      <c r="K119" s="2"/>
      <c r="L119" s="25"/>
      <c r="Q119">
        <f>[86]Source!X1232</f>
        <v>4978.3100000000004</v>
      </c>
      <c r="R119">
        <f>[86]Source!X1233</f>
        <v>95344.639999999999</v>
      </c>
      <c r="S119">
        <f>[86]Source!Y1232</f>
        <v>3743.69</v>
      </c>
      <c r="T119">
        <f>[86]Source!Y1233</f>
        <v>42905.09</v>
      </c>
      <c r="U119">
        <f>ROUND((175/100)*ROUND([86]Source!R1232, 2), 2)</f>
        <v>71.7</v>
      </c>
      <c r="V119">
        <f>ROUND((157/100)*ROUND([86]Source!R1233, 2), 2)</f>
        <v>1539.89</v>
      </c>
    </row>
    <row r="120" spans="1:22" ht="14.25" x14ac:dyDescent="0.2">
      <c r="A120" s="4"/>
      <c r="B120" s="4"/>
      <c r="C120" s="5"/>
      <c r="D120" s="5" t="s">
        <v>20</v>
      </c>
      <c r="E120" s="6"/>
      <c r="F120" s="2"/>
      <c r="G120" s="7">
        <f>[86]Source!AO1232</f>
        <v>1039.18</v>
      </c>
      <c r="H120" s="8" t="str">
        <f>[86]Source!DG1232</f>
        <v>)*1,67</v>
      </c>
      <c r="I120" s="2">
        <f>[86]Source!AV1233</f>
        <v>1.0669999999999999</v>
      </c>
      <c r="J120" s="25">
        <f>[86]Source!S1232</f>
        <v>3982.65</v>
      </c>
      <c r="K120" s="2">
        <f>IF([86]Source!BA1233&lt;&gt; 0, [86]Source!BA1233, 1)</f>
        <v>23.94</v>
      </c>
      <c r="L120" s="25">
        <f>[86]Source!S1233</f>
        <v>95344.639999999999</v>
      </c>
    </row>
    <row r="121" spans="1:22" ht="14.25" x14ac:dyDescent="0.2">
      <c r="A121" s="4"/>
      <c r="B121" s="4"/>
      <c r="C121" s="5"/>
      <c r="D121" s="5" t="s">
        <v>21</v>
      </c>
      <c r="E121" s="6"/>
      <c r="F121" s="2"/>
      <c r="G121" s="7">
        <f>[86]Source!AM1232</f>
        <v>87.46</v>
      </c>
      <c r="H121" s="8" t="str">
        <f>[86]Source!DE1232</f>
        <v/>
      </c>
      <c r="I121" s="2">
        <f>[86]Source!AV1233</f>
        <v>1.0669999999999999</v>
      </c>
      <c r="J121" s="25">
        <f>[86]Source!Q1232-J131</f>
        <v>200.71</v>
      </c>
      <c r="K121" s="2">
        <f>IF([86]Source!BB1233&lt;&gt; 0, [86]Source!BB1233, 1)</f>
        <v>8.3800000000000008</v>
      </c>
      <c r="L121" s="25">
        <f>[86]Source!Q1233-L131</f>
        <v>1682.02</v>
      </c>
    </row>
    <row r="122" spans="1:22" ht="14.25" x14ac:dyDescent="0.2">
      <c r="A122" s="4"/>
      <c r="B122" s="4"/>
      <c r="C122" s="5"/>
      <c r="D122" s="5" t="s">
        <v>22</v>
      </c>
      <c r="E122" s="6"/>
      <c r="F122" s="2"/>
      <c r="G122" s="7">
        <f>[86]Source!AN1232</f>
        <v>10.69</v>
      </c>
      <c r="H122" s="8" t="str">
        <f>[86]Source!DE1232</f>
        <v/>
      </c>
      <c r="I122" s="2">
        <f>[86]Source!AV1233</f>
        <v>1.0669999999999999</v>
      </c>
      <c r="J122" s="10">
        <f>[86]Source!R1232-J132</f>
        <v>24.53</v>
      </c>
      <c r="K122" s="2">
        <f>IF([86]Source!BS1233&lt;&gt; 0, [86]Source!BS1233, 1)</f>
        <v>23.94</v>
      </c>
      <c r="L122" s="10">
        <f>[86]Source!R1233-L132</f>
        <v>587.32000000000005</v>
      </c>
    </row>
    <row r="123" spans="1:22" ht="14.25" x14ac:dyDescent="0.2">
      <c r="A123" s="4"/>
      <c r="B123" s="4"/>
      <c r="C123" s="5"/>
      <c r="D123" s="5" t="s">
        <v>23</v>
      </c>
      <c r="E123" s="6"/>
      <c r="F123" s="2"/>
      <c r="G123" s="7">
        <f>[86]Source!AL1232</f>
        <v>409.71</v>
      </c>
      <c r="H123" s="8" t="str">
        <f>[86]Source!DD1232</f>
        <v/>
      </c>
      <c r="I123" s="2">
        <f>[86]Source!AW1233</f>
        <v>1</v>
      </c>
      <c r="J123" s="25">
        <f>[86]Source!P1232</f>
        <v>881.2</v>
      </c>
      <c r="K123" s="2">
        <f>IF([86]Source!BC1233&lt;&gt; 0, [86]Source!BC1233, 1)</f>
        <v>3.23</v>
      </c>
      <c r="L123" s="25">
        <f>[86]Source!P1233</f>
        <v>2846.28</v>
      </c>
    </row>
    <row r="124" spans="1:22" ht="57" x14ac:dyDescent="0.2">
      <c r="A124" s="4">
        <v>13</v>
      </c>
      <c r="B124" s="4" t="str">
        <f>[86]Source!E1234</f>
        <v>189,1</v>
      </c>
      <c r="C124" s="5" t="str">
        <f>[86]Source!F1234</f>
        <v>1.19-3-13</v>
      </c>
      <c r="D124" s="5" t="s">
        <v>97</v>
      </c>
      <c r="E124" s="6" t="str">
        <f>[86]Source!H1234</f>
        <v>м2</v>
      </c>
      <c r="F124" s="2">
        <f>[86]Source!I1234</f>
        <v>215.08</v>
      </c>
      <c r="G124" s="7">
        <f>[86]Source!AK1234</f>
        <v>157.54</v>
      </c>
      <c r="H124" s="36" t="s">
        <v>90</v>
      </c>
      <c r="I124" s="2">
        <f>[86]Source!AW1235</f>
        <v>1</v>
      </c>
      <c r="J124" s="25">
        <f>[86]Source!O1234</f>
        <v>33883.699999999997</v>
      </c>
      <c r="K124" s="2">
        <f>IF([86]Source!BC1235&lt;&gt; 0, [86]Source!BC1235, 1)</f>
        <v>3.07</v>
      </c>
      <c r="L124" s="25">
        <f>[86]Source!O1235</f>
        <v>104022.96</v>
      </c>
      <c r="Q124">
        <f>[86]Source!X1234</f>
        <v>0</v>
      </c>
      <c r="R124">
        <f>[86]Source!X1235</f>
        <v>0</v>
      </c>
      <c r="S124">
        <f>[86]Source!Y1234</f>
        <v>0</v>
      </c>
      <c r="T124">
        <f>[86]Source!Y1235</f>
        <v>0</v>
      </c>
      <c r="U124">
        <f>ROUND((175/100)*ROUND([86]Source!R1234, 2), 2)</f>
        <v>0</v>
      </c>
      <c r="V124">
        <f>ROUND((157/100)*ROUND([86]Source!R1235, 2), 2)</f>
        <v>0</v>
      </c>
    </row>
    <row r="125" spans="1:22" ht="14.25" x14ac:dyDescent="0.2">
      <c r="A125" s="4"/>
      <c r="B125" s="4"/>
      <c r="C125" s="5"/>
      <c r="D125" s="5" t="s">
        <v>24</v>
      </c>
      <c r="E125" s="6" t="s">
        <v>25</v>
      </c>
      <c r="F125" s="2">
        <f>[86]Source!DN1233</f>
        <v>125</v>
      </c>
      <c r="G125" s="7"/>
      <c r="H125" s="8"/>
      <c r="I125" s="2"/>
      <c r="J125" s="25">
        <f>SUM(Q119:Q124)</f>
        <v>4978.3100000000004</v>
      </c>
      <c r="K125" s="2">
        <f>[86]Source!BZ1233</f>
        <v>100</v>
      </c>
      <c r="L125" s="25">
        <f>SUM(R119:R124)</f>
        <v>95344.639999999999</v>
      </c>
    </row>
    <row r="126" spans="1:22" ht="14.25" x14ac:dyDescent="0.2">
      <c r="A126" s="4"/>
      <c r="B126" s="4"/>
      <c r="C126" s="5"/>
      <c r="D126" s="5" t="s">
        <v>26</v>
      </c>
      <c r="E126" s="6" t="s">
        <v>25</v>
      </c>
      <c r="F126" s="2">
        <f>[86]Source!DO1233</f>
        <v>94</v>
      </c>
      <c r="G126" s="7"/>
      <c r="H126" s="8"/>
      <c r="I126" s="2"/>
      <c r="J126" s="25">
        <f>SUM(S119:S125)</f>
        <v>3743.69</v>
      </c>
      <c r="K126" s="2">
        <f>[86]Source!CA1233</f>
        <v>45</v>
      </c>
      <c r="L126" s="25">
        <f>SUM(T119:T125)</f>
        <v>42905.09</v>
      </c>
    </row>
    <row r="127" spans="1:22" ht="14.25" x14ac:dyDescent="0.2">
      <c r="A127" s="4"/>
      <c r="B127" s="4"/>
      <c r="C127" s="5"/>
      <c r="D127" s="5" t="s">
        <v>27</v>
      </c>
      <c r="E127" s="6" t="s">
        <v>25</v>
      </c>
      <c r="F127" s="2">
        <f>175</f>
        <v>175</v>
      </c>
      <c r="G127" s="7"/>
      <c r="H127" s="8"/>
      <c r="I127" s="2"/>
      <c r="J127" s="25">
        <f>SUM(U119:U126)-J133</f>
        <v>42.93</v>
      </c>
      <c r="K127" s="2">
        <f>157</f>
        <v>157</v>
      </c>
      <c r="L127" s="25">
        <f>SUM(V119:V126)-L133</f>
        <v>922.09</v>
      </c>
    </row>
    <row r="128" spans="1:22" ht="14.25" x14ac:dyDescent="0.2">
      <c r="A128" s="4"/>
      <c r="B128" s="4"/>
      <c r="C128" s="5"/>
      <c r="D128" s="5" t="s">
        <v>28</v>
      </c>
      <c r="E128" s="6" t="s">
        <v>29</v>
      </c>
      <c r="F128" s="2">
        <f>[86]Source!AQ1232</f>
        <v>91.8</v>
      </c>
      <c r="G128" s="7"/>
      <c r="H128" s="8" t="str">
        <f>[86]Source!DI1232</f>
        <v/>
      </c>
      <c r="I128" s="2">
        <f>[86]Source!AV1233</f>
        <v>1.0669999999999999</v>
      </c>
      <c r="J128" s="25">
        <f>[86]Source!U1232</f>
        <v>210.67</v>
      </c>
      <c r="K128" s="2"/>
      <c r="L128" s="25"/>
    </row>
    <row r="129" spans="1:22" ht="15" x14ac:dyDescent="0.25">
      <c r="I129" s="525">
        <f>J120+J121+J123+J125+J126+J127+SUM(J124:J124)</f>
        <v>47713.19</v>
      </c>
      <c r="J129" s="525"/>
      <c r="K129" s="525">
        <f>L120+L121+L123+L125+L126+L127+SUM(L124:L124)</f>
        <v>343067.72</v>
      </c>
      <c r="L129" s="525"/>
      <c r="O129" s="11">
        <f>J120+J121+J123+J125+J126+J127+SUM(J124:J124)</f>
        <v>47713.19</v>
      </c>
      <c r="P129" s="11">
        <f>L120+L121+L123+L125+L126+L127+SUM(L124:L124)</f>
        <v>343067.72</v>
      </c>
    </row>
    <row r="130" spans="1:22" ht="28.5" x14ac:dyDescent="0.2">
      <c r="A130" s="12"/>
      <c r="B130" s="12"/>
      <c r="C130" s="13"/>
      <c r="D130" s="13" t="s">
        <v>30</v>
      </c>
      <c r="E130" s="6"/>
      <c r="F130" s="14"/>
      <c r="G130" s="15"/>
      <c r="H130" s="6"/>
      <c r="I130" s="14"/>
      <c r="J130" s="10"/>
      <c r="K130" s="14"/>
      <c r="L130" s="10"/>
    </row>
    <row r="131" spans="1:22" ht="14.25" x14ac:dyDescent="0.2">
      <c r="A131" s="12"/>
      <c r="B131" s="12"/>
      <c r="C131" s="13"/>
      <c r="D131" s="13" t="s">
        <v>21</v>
      </c>
      <c r="E131" s="6"/>
      <c r="F131" s="14"/>
      <c r="G131" s="15">
        <f t="shared" ref="G131:L131" si="5">G132</f>
        <v>10.69</v>
      </c>
      <c r="H131" s="16" t="str">
        <f t="shared" si="5"/>
        <v>)*(1.67-1)</v>
      </c>
      <c r="I131" s="14">
        <f t="shared" si="5"/>
        <v>1.0669999999999999</v>
      </c>
      <c r="J131" s="10">
        <f t="shared" si="5"/>
        <v>16.440000000000001</v>
      </c>
      <c r="K131" s="14">
        <f t="shared" si="5"/>
        <v>23.94</v>
      </c>
      <c r="L131" s="10">
        <f t="shared" si="5"/>
        <v>393.5</v>
      </c>
    </row>
    <row r="132" spans="1:22" ht="14.25" x14ac:dyDescent="0.2">
      <c r="A132" s="12"/>
      <c r="B132" s="12"/>
      <c r="C132" s="13"/>
      <c r="D132" s="13" t="s">
        <v>22</v>
      </c>
      <c r="E132" s="6"/>
      <c r="F132" s="14"/>
      <c r="G132" s="15">
        <f>[86]Source!AN1232</f>
        <v>10.69</v>
      </c>
      <c r="H132" s="16" t="s">
        <v>31</v>
      </c>
      <c r="I132" s="14">
        <f>[86]Source!AV1233</f>
        <v>1.0669999999999999</v>
      </c>
      <c r="J132" s="10">
        <f>ROUND(F119*G132*I132*(1.67-1), 2)</f>
        <v>16.440000000000001</v>
      </c>
      <c r="K132" s="14">
        <f>IF([86]Source!BS1233&lt;&gt; 0, [86]Source!BS1233, 1)</f>
        <v>23.94</v>
      </c>
      <c r="L132" s="10">
        <f>ROUND(F119*G132*I132*(1.67-1)*K132, 2)</f>
        <v>393.5</v>
      </c>
    </row>
    <row r="133" spans="1:22" ht="14.25" x14ac:dyDescent="0.2">
      <c r="A133" s="12"/>
      <c r="B133" s="12"/>
      <c r="C133" s="13"/>
      <c r="D133" s="13" t="s">
        <v>27</v>
      </c>
      <c r="E133" s="6" t="s">
        <v>25</v>
      </c>
      <c r="F133" s="14">
        <f>175</f>
        <v>175</v>
      </c>
      <c r="G133" s="15"/>
      <c r="H133" s="6"/>
      <c r="I133" s="14"/>
      <c r="J133" s="10">
        <f>ROUND(J132*(F133/100), 2)</f>
        <v>28.77</v>
      </c>
      <c r="K133" s="14">
        <f>157</f>
        <v>157</v>
      </c>
      <c r="L133" s="10">
        <f>ROUND(L132*(K133/100), 2)</f>
        <v>617.79999999999995</v>
      </c>
    </row>
    <row r="134" spans="1:22" ht="15" x14ac:dyDescent="0.25">
      <c r="I134" s="525">
        <f>J133+J132</f>
        <v>45.21</v>
      </c>
      <c r="J134" s="525"/>
      <c r="K134" s="525">
        <f>L133+L132</f>
        <v>1011.3</v>
      </c>
      <c r="L134" s="525"/>
      <c r="O134" s="11">
        <f>I134</f>
        <v>45.21</v>
      </c>
      <c r="P134" s="11">
        <f>K134</f>
        <v>1011.3</v>
      </c>
    </row>
    <row r="136" spans="1:22" ht="15" x14ac:dyDescent="0.25">
      <c r="A136" s="37"/>
      <c r="B136" s="37"/>
      <c r="C136" s="38"/>
      <c r="D136" s="38" t="s">
        <v>32</v>
      </c>
      <c r="E136" s="39"/>
      <c r="F136" s="40"/>
      <c r="G136" s="41"/>
      <c r="H136" s="42"/>
      <c r="I136" s="524">
        <f>I129+I134</f>
        <v>47758.400000000001</v>
      </c>
      <c r="J136" s="524"/>
      <c r="K136" s="524">
        <f>K129+K134</f>
        <v>344079.02</v>
      </c>
      <c r="L136" s="524"/>
    </row>
    <row r="137" spans="1:22" ht="71.25" x14ac:dyDescent="0.2">
      <c r="A137" s="4">
        <v>14</v>
      </c>
      <c r="B137" s="4" t="str">
        <f>[86]Source!E1250</f>
        <v>193</v>
      </c>
      <c r="C137" s="5" t="str">
        <f>[86]Source!F1250</f>
        <v>3.20-1-16</v>
      </c>
      <c r="D137" s="5" t="s">
        <v>195</v>
      </c>
      <c r="E137" s="6" t="str">
        <f>[86]Source!H1250</f>
        <v>100 м2 поверхности воздуховодов</v>
      </c>
      <c r="F137" s="2">
        <f>[86]Source!I1250</f>
        <v>6.9199999999999998E-2</v>
      </c>
      <c r="G137" s="7"/>
      <c r="H137" s="8"/>
      <c r="I137" s="2"/>
      <c r="J137" s="25"/>
      <c r="K137" s="2"/>
      <c r="L137" s="25"/>
      <c r="Q137">
        <f>[86]Source!X1250</f>
        <v>96.49</v>
      </c>
      <c r="R137">
        <f>[86]Source!X1251</f>
        <v>1847.93</v>
      </c>
      <c r="S137">
        <f>[86]Source!Y1250</f>
        <v>72.56</v>
      </c>
      <c r="T137">
        <f>[86]Source!Y1251</f>
        <v>831.57</v>
      </c>
      <c r="U137">
        <f>ROUND((175/100)*ROUND([86]Source!R1250, 2), 2)</f>
        <v>2.56</v>
      </c>
      <c r="V137">
        <f>ROUND((157/100)*ROUND([86]Source!R1251, 2), 2)</f>
        <v>54.87</v>
      </c>
    </row>
    <row r="138" spans="1:22" ht="14.25" x14ac:dyDescent="0.2">
      <c r="A138" s="4"/>
      <c r="B138" s="4"/>
      <c r="C138" s="5"/>
      <c r="D138" s="5" t="s">
        <v>20</v>
      </c>
      <c r="E138" s="6"/>
      <c r="F138" s="2"/>
      <c r="G138" s="7">
        <f>[86]Source!AO1250</f>
        <v>626.02</v>
      </c>
      <c r="H138" s="8" t="str">
        <f>[86]Source!DG1250</f>
        <v>)*1,67</v>
      </c>
      <c r="I138" s="2">
        <f>[86]Source!AV1251</f>
        <v>1.0669999999999999</v>
      </c>
      <c r="J138" s="25">
        <f>[86]Source!S1250</f>
        <v>77.19</v>
      </c>
      <c r="K138" s="2">
        <f>IF([86]Source!BA1251&lt;&gt; 0, [86]Source!BA1251, 1)</f>
        <v>23.94</v>
      </c>
      <c r="L138" s="25">
        <f>[86]Source!S1251</f>
        <v>1847.93</v>
      </c>
    </row>
    <row r="139" spans="1:22" ht="14.25" x14ac:dyDescent="0.2">
      <c r="A139" s="4"/>
      <c r="B139" s="4"/>
      <c r="C139" s="5"/>
      <c r="D139" s="5" t="s">
        <v>21</v>
      </c>
      <c r="E139" s="6"/>
      <c r="F139" s="2"/>
      <c r="G139" s="7">
        <f>[86]Source!AM1250</f>
        <v>95.33</v>
      </c>
      <c r="H139" s="8" t="str">
        <f>[86]Source!DE1250</f>
        <v/>
      </c>
      <c r="I139" s="2">
        <f>[86]Source!AV1251</f>
        <v>1.0669999999999999</v>
      </c>
      <c r="J139" s="25">
        <f>[86]Source!Q1250-J149</f>
        <v>7.04</v>
      </c>
      <c r="K139" s="2">
        <f>IF([86]Source!BB1251&lt;&gt; 0, [86]Source!BB1251, 1)</f>
        <v>8.39</v>
      </c>
      <c r="L139" s="25">
        <f>[86]Source!Q1251-L149</f>
        <v>59.13</v>
      </c>
    </row>
    <row r="140" spans="1:22" ht="14.25" x14ac:dyDescent="0.2">
      <c r="A140" s="4"/>
      <c r="B140" s="4"/>
      <c r="C140" s="5"/>
      <c r="D140" s="5" t="s">
        <v>22</v>
      </c>
      <c r="E140" s="6"/>
      <c r="F140" s="2"/>
      <c r="G140" s="7">
        <f>[86]Source!AN1250</f>
        <v>11.87</v>
      </c>
      <c r="H140" s="8" t="str">
        <f>[86]Source!DE1250</f>
        <v/>
      </c>
      <c r="I140" s="2">
        <f>[86]Source!AV1251</f>
        <v>1.0669999999999999</v>
      </c>
      <c r="J140" s="10">
        <f>[86]Source!R1250-J150</f>
        <v>0.87</v>
      </c>
      <c r="K140" s="2">
        <f>IF([86]Source!BS1251&lt;&gt; 0, [86]Source!BS1251, 1)</f>
        <v>23.94</v>
      </c>
      <c r="L140" s="10">
        <f>[86]Source!R1251-L150</f>
        <v>20.89</v>
      </c>
    </row>
    <row r="141" spans="1:22" ht="14.25" x14ac:dyDescent="0.2">
      <c r="A141" s="4"/>
      <c r="B141" s="4"/>
      <c r="C141" s="5"/>
      <c r="D141" s="5" t="s">
        <v>23</v>
      </c>
      <c r="E141" s="6"/>
      <c r="F141" s="2"/>
      <c r="G141" s="7">
        <f>[86]Source!AL1250</f>
        <v>702.53</v>
      </c>
      <c r="H141" s="8" t="str">
        <f>[86]Source!DD1250</f>
        <v/>
      </c>
      <c r="I141" s="2">
        <f>[86]Source!AW1251</f>
        <v>1</v>
      </c>
      <c r="J141" s="25">
        <f>[86]Source!P1250</f>
        <v>48.62</v>
      </c>
      <c r="K141" s="2">
        <f>IF([86]Source!BC1251&lt;&gt; 0, [86]Source!BC1251, 1)</f>
        <v>3.69</v>
      </c>
      <c r="L141" s="25">
        <f>[86]Source!P1251</f>
        <v>179.41</v>
      </c>
    </row>
    <row r="142" spans="1:22" ht="57" x14ac:dyDescent="0.2">
      <c r="A142" s="4">
        <v>15</v>
      </c>
      <c r="B142" s="4" t="str">
        <f>[86]Source!E1252</f>
        <v>193,1</v>
      </c>
      <c r="C142" s="5" t="str">
        <f>[86]Source!F1252</f>
        <v>1.19-3-14</v>
      </c>
      <c r="D142" s="5" t="s">
        <v>196</v>
      </c>
      <c r="E142" s="6" t="str">
        <f>[86]Source!H1252</f>
        <v>м2</v>
      </c>
      <c r="F142" s="2">
        <f>[86]Source!I1252</f>
        <v>6.92</v>
      </c>
      <c r="G142" s="7">
        <f>[86]Source!AK1252</f>
        <v>159.4</v>
      </c>
      <c r="H142" s="36" t="s">
        <v>90</v>
      </c>
      <c r="I142" s="2">
        <f>[86]Source!AW1253</f>
        <v>1</v>
      </c>
      <c r="J142" s="25">
        <f>[86]Source!O1252</f>
        <v>1103.05</v>
      </c>
      <c r="K142" s="2">
        <f>IF([86]Source!BC1253&lt;&gt; 0, [86]Source!BC1253, 1)</f>
        <v>3.03</v>
      </c>
      <c r="L142" s="25">
        <f>[86]Source!O1253</f>
        <v>3342.24</v>
      </c>
      <c r="Q142">
        <f>[86]Source!X1252</f>
        <v>0</v>
      </c>
      <c r="R142">
        <f>[86]Source!X1253</f>
        <v>0</v>
      </c>
      <c r="S142">
        <f>[86]Source!Y1252</f>
        <v>0</v>
      </c>
      <c r="T142">
        <f>[86]Source!Y1253</f>
        <v>0</v>
      </c>
      <c r="U142">
        <f>ROUND((175/100)*ROUND([86]Source!R1252, 2), 2)</f>
        <v>0</v>
      </c>
      <c r="V142">
        <f>ROUND((157/100)*ROUND([86]Source!R1253, 2), 2)</f>
        <v>0</v>
      </c>
    </row>
    <row r="143" spans="1:22" ht="14.25" x14ac:dyDescent="0.2">
      <c r="A143" s="4"/>
      <c r="B143" s="4"/>
      <c r="C143" s="5"/>
      <c r="D143" s="5" t="s">
        <v>24</v>
      </c>
      <c r="E143" s="6" t="s">
        <v>25</v>
      </c>
      <c r="F143" s="2">
        <f>[86]Source!DN1251</f>
        <v>125</v>
      </c>
      <c r="G143" s="7"/>
      <c r="H143" s="8"/>
      <c r="I143" s="2"/>
      <c r="J143" s="25">
        <f>SUM(Q137:Q142)</f>
        <v>96.49</v>
      </c>
      <c r="K143" s="2">
        <f>[86]Source!BZ1251</f>
        <v>100</v>
      </c>
      <c r="L143" s="25">
        <f>SUM(R137:R142)</f>
        <v>1847.93</v>
      </c>
    </row>
    <row r="144" spans="1:22" ht="14.25" x14ac:dyDescent="0.2">
      <c r="A144" s="4"/>
      <c r="B144" s="4"/>
      <c r="C144" s="5"/>
      <c r="D144" s="5" t="s">
        <v>26</v>
      </c>
      <c r="E144" s="6" t="s">
        <v>25</v>
      </c>
      <c r="F144" s="2">
        <f>[86]Source!DO1251</f>
        <v>94</v>
      </c>
      <c r="G144" s="7"/>
      <c r="H144" s="8"/>
      <c r="I144" s="2"/>
      <c r="J144" s="25">
        <f>SUM(S137:S143)</f>
        <v>72.56</v>
      </c>
      <c r="K144" s="2">
        <f>[86]Source!CA1251</f>
        <v>45</v>
      </c>
      <c r="L144" s="25">
        <f>SUM(T137:T143)</f>
        <v>831.57</v>
      </c>
    </row>
    <row r="145" spans="1:22" ht="14.25" x14ac:dyDescent="0.2">
      <c r="A145" s="4"/>
      <c r="B145" s="4"/>
      <c r="C145" s="5"/>
      <c r="D145" s="5" t="s">
        <v>27</v>
      </c>
      <c r="E145" s="6" t="s">
        <v>25</v>
      </c>
      <c r="F145" s="2">
        <f>175</f>
        <v>175</v>
      </c>
      <c r="G145" s="7"/>
      <c r="H145" s="8"/>
      <c r="I145" s="2"/>
      <c r="J145" s="25">
        <f>SUM(U137:U144)-J151</f>
        <v>1.53</v>
      </c>
      <c r="K145" s="2">
        <f>157</f>
        <v>157</v>
      </c>
      <c r="L145" s="25">
        <f>SUM(V137:V144)-L151</f>
        <v>32.799999999999997</v>
      </c>
    </row>
    <row r="146" spans="1:22" ht="14.25" x14ac:dyDescent="0.2">
      <c r="A146" s="4"/>
      <c r="B146" s="4"/>
      <c r="C146" s="5"/>
      <c r="D146" s="5" t="s">
        <v>28</v>
      </c>
      <c r="E146" s="6" t="s">
        <v>29</v>
      </c>
      <c r="F146" s="2">
        <f>[86]Source!AQ1250</f>
        <v>56.5</v>
      </c>
      <c r="G146" s="7"/>
      <c r="H146" s="8" t="str">
        <f>[86]Source!DI1250</f>
        <v/>
      </c>
      <c r="I146" s="2">
        <f>[86]Source!AV1251</f>
        <v>1.0669999999999999</v>
      </c>
      <c r="J146" s="25">
        <f>[86]Source!U1250</f>
        <v>4.17</v>
      </c>
      <c r="K146" s="2"/>
      <c r="L146" s="25"/>
    </row>
    <row r="147" spans="1:22" ht="15" x14ac:dyDescent="0.25">
      <c r="I147" s="525">
        <f>J138+J139+J141+J143+J144+J145+SUM(J142:J142)</f>
        <v>1406.48</v>
      </c>
      <c r="J147" s="525"/>
      <c r="K147" s="525">
        <f>L138+L139+L141+L143+L144+L145+SUM(L142:L142)</f>
        <v>8141.01</v>
      </c>
      <c r="L147" s="525"/>
      <c r="O147" s="11">
        <f>J138+J139+J141+J143+J144+J145+SUM(J142:J142)</f>
        <v>1406.48</v>
      </c>
      <c r="P147" s="11">
        <f>L138+L139+L141+L143+L144+L145+SUM(L142:L142)</f>
        <v>8141.01</v>
      </c>
    </row>
    <row r="148" spans="1:22" ht="28.5" x14ac:dyDescent="0.2">
      <c r="A148" s="12"/>
      <c r="B148" s="12"/>
      <c r="C148" s="13"/>
      <c r="D148" s="13" t="s">
        <v>30</v>
      </c>
      <c r="E148" s="6"/>
      <c r="F148" s="14"/>
      <c r="G148" s="15"/>
      <c r="H148" s="6"/>
      <c r="I148" s="14"/>
      <c r="J148" s="10"/>
      <c r="K148" s="14"/>
      <c r="L148" s="10"/>
    </row>
    <row r="149" spans="1:22" ht="14.25" x14ac:dyDescent="0.2">
      <c r="A149" s="12"/>
      <c r="B149" s="12"/>
      <c r="C149" s="13"/>
      <c r="D149" s="13" t="s">
        <v>21</v>
      </c>
      <c r="E149" s="6"/>
      <c r="F149" s="14"/>
      <c r="G149" s="15">
        <f t="shared" ref="G149:L149" si="6">G150</f>
        <v>11.87</v>
      </c>
      <c r="H149" s="16" t="str">
        <f t="shared" si="6"/>
        <v>)*(1.67-1)</v>
      </c>
      <c r="I149" s="14">
        <f t="shared" si="6"/>
        <v>1.0669999999999999</v>
      </c>
      <c r="J149" s="10">
        <f t="shared" si="6"/>
        <v>0.59</v>
      </c>
      <c r="K149" s="14">
        <f t="shared" si="6"/>
        <v>23.94</v>
      </c>
      <c r="L149" s="10">
        <f t="shared" si="6"/>
        <v>14.06</v>
      </c>
    </row>
    <row r="150" spans="1:22" ht="14.25" x14ac:dyDescent="0.2">
      <c r="A150" s="12"/>
      <c r="B150" s="12"/>
      <c r="C150" s="13"/>
      <c r="D150" s="13" t="s">
        <v>22</v>
      </c>
      <c r="E150" s="6"/>
      <c r="F150" s="14"/>
      <c r="G150" s="15">
        <f>[86]Source!AN1250</f>
        <v>11.87</v>
      </c>
      <c r="H150" s="16" t="s">
        <v>31</v>
      </c>
      <c r="I150" s="14">
        <f>[86]Source!AV1251</f>
        <v>1.0669999999999999</v>
      </c>
      <c r="J150" s="10">
        <f>ROUND(F137*G150*I150*(1.67-1), 2)</f>
        <v>0.59</v>
      </c>
      <c r="K150" s="14">
        <f>IF([86]Source!BS1251&lt;&gt; 0, [86]Source!BS1251, 1)</f>
        <v>23.94</v>
      </c>
      <c r="L150" s="10">
        <f>ROUND(F137*G150*I150*(1.67-1)*K150, 2)</f>
        <v>14.06</v>
      </c>
    </row>
    <row r="151" spans="1:22" ht="14.25" x14ac:dyDescent="0.2">
      <c r="A151" s="12"/>
      <c r="B151" s="12"/>
      <c r="C151" s="13"/>
      <c r="D151" s="13" t="s">
        <v>27</v>
      </c>
      <c r="E151" s="6" t="s">
        <v>25</v>
      </c>
      <c r="F151" s="14">
        <f>175</f>
        <v>175</v>
      </c>
      <c r="G151" s="15"/>
      <c r="H151" s="6"/>
      <c r="I151" s="14"/>
      <c r="J151" s="10">
        <f>ROUND(J150*(F151/100), 2)</f>
        <v>1.03</v>
      </c>
      <c r="K151" s="14">
        <f>157</f>
        <v>157</v>
      </c>
      <c r="L151" s="10">
        <f>ROUND(L150*(K151/100), 2)</f>
        <v>22.07</v>
      </c>
    </row>
    <row r="152" spans="1:22" ht="15" x14ac:dyDescent="0.25">
      <c r="I152" s="525">
        <f>J151+J150</f>
        <v>1.62</v>
      </c>
      <c r="J152" s="525"/>
      <c r="K152" s="525">
        <f>L151+L150</f>
        <v>36.130000000000003</v>
      </c>
      <c r="L152" s="525"/>
      <c r="O152" s="11">
        <f>I152</f>
        <v>1.62</v>
      </c>
      <c r="P152" s="11">
        <f>K152</f>
        <v>36.130000000000003</v>
      </c>
    </row>
    <row r="154" spans="1:22" ht="15" x14ac:dyDescent="0.25">
      <c r="A154" s="37"/>
      <c r="B154" s="37"/>
      <c r="C154" s="38"/>
      <c r="D154" s="38" t="s">
        <v>32</v>
      </c>
      <c r="E154" s="39"/>
      <c r="F154" s="40"/>
      <c r="G154" s="41"/>
      <c r="H154" s="42"/>
      <c r="I154" s="524">
        <f>I147+I152</f>
        <v>1408.1</v>
      </c>
      <c r="J154" s="524"/>
      <c r="K154" s="524">
        <f>K147+K152</f>
        <v>8177.14</v>
      </c>
      <c r="L154" s="524"/>
    </row>
    <row r="155" spans="1:22" ht="42.75" x14ac:dyDescent="0.2">
      <c r="A155" s="4">
        <v>16</v>
      </c>
      <c r="B155" s="4" t="str">
        <f>[86]Source!E1304</f>
        <v>215</v>
      </c>
      <c r="C155" s="5" t="str">
        <f>[86]Source!F1304</f>
        <v>1.19-12-57</v>
      </c>
      <c r="D155" s="5" t="s">
        <v>197</v>
      </c>
      <c r="E155" s="6" t="str">
        <f>[86]Source!H1304</f>
        <v>кг</v>
      </c>
      <c r="F155" s="2">
        <f>[86]Source!I1304</f>
        <v>220</v>
      </c>
      <c r="G155" s="7">
        <f>[86]Source!AL1304</f>
        <v>28.98</v>
      </c>
      <c r="H155" s="8" t="str">
        <f>[86]Source!DD1304</f>
        <v/>
      </c>
      <c r="I155" s="2">
        <f>[86]Source!AW1305</f>
        <v>1</v>
      </c>
      <c r="J155" s="25">
        <f>[86]Source!P1304</f>
        <v>6375.6</v>
      </c>
      <c r="K155" s="2">
        <f>IF([86]Source!BC1305&lt;&gt; 0, [86]Source!BC1305, 1)</f>
        <v>3.71</v>
      </c>
      <c r="L155" s="25">
        <f>[86]Source!P1305</f>
        <v>23653.48</v>
      </c>
      <c r="Q155">
        <f>[86]Source!X1304</f>
        <v>0</v>
      </c>
      <c r="R155">
        <f>[86]Source!X1305</f>
        <v>0</v>
      </c>
      <c r="S155">
        <f>[86]Source!Y1304</f>
        <v>0</v>
      </c>
      <c r="T155">
        <f>[86]Source!Y1305</f>
        <v>0</v>
      </c>
      <c r="U155">
        <f>ROUND((175/100)*ROUND([86]Source!R1304, 2), 2)</f>
        <v>0</v>
      </c>
      <c r="V155">
        <f>ROUND((157/100)*ROUND([86]Source!R1305, 2), 2)</f>
        <v>0</v>
      </c>
    </row>
    <row r="156" spans="1:22" ht="15" x14ac:dyDescent="0.25">
      <c r="A156" s="35"/>
      <c r="B156" s="35"/>
      <c r="C156" s="35"/>
      <c r="D156" s="35"/>
      <c r="E156" s="35"/>
      <c r="F156" s="35"/>
      <c r="G156" s="35"/>
      <c r="H156" s="35"/>
      <c r="I156" s="524">
        <f>J155</f>
        <v>6375.6</v>
      </c>
      <c r="J156" s="524"/>
      <c r="K156" s="524">
        <f>L155</f>
        <v>23653.48</v>
      </c>
      <c r="L156" s="524"/>
      <c r="O156" s="11">
        <f>J155</f>
        <v>6375.6</v>
      </c>
      <c r="P156" s="11">
        <f>L155</f>
        <v>23653.48</v>
      </c>
    </row>
    <row r="157" spans="1:22" ht="14.25" x14ac:dyDescent="0.2">
      <c r="D157" s="61" t="str">
        <f>[86]Source!G1308</f>
        <v/>
      </c>
    </row>
    <row r="159" spans="1:22" ht="15" x14ac:dyDescent="0.25">
      <c r="A159" s="528" t="str">
        <f>CONCATENATE("Итого по подразделу: ",IF([86]Source!G1334&lt;&gt;"Новый подраздел", [86]Source!G1334, ""))</f>
        <v>Итого по подразделу: В2-35</v>
      </c>
      <c r="B159" s="528"/>
      <c r="C159" s="528"/>
      <c r="D159" s="528"/>
      <c r="E159" s="528"/>
      <c r="F159" s="528"/>
      <c r="G159" s="528"/>
      <c r="H159" s="528"/>
      <c r="I159" s="526">
        <f>SUM(O22:O158)</f>
        <v>68067.839999999997</v>
      </c>
      <c r="J159" s="527"/>
      <c r="K159" s="526">
        <f>SUM(P22:P158)</f>
        <v>480947.18</v>
      </c>
      <c r="L159" s="527"/>
    </row>
    <row r="160" spans="1:22" hidden="1" x14ac:dyDescent="0.2">
      <c r="A160" t="s">
        <v>48</v>
      </c>
      <c r="J160">
        <f>SUM(W22:W159)</f>
        <v>0</v>
      </c>
      <c r="K160">
        <f>SUM(X22:X159)</f>
        <v>0</v>
      </c>
    </row>
    <row r="161" spans="1:256" hidden="1" x14ac:dyDescent="0.2">
      <c r="A161" t="s">
        <v>49</v>
      </c>
      <c r="J161">
        <f>SUM(Y22:Y160)</f>
        <v>0</v>
      </c>
      <c r="K161">
        <f>SUM(Z22:Z160)</f>
        <v>0</v>
      </c>
    </row>
    <row r="163" spans="1:256" ht="15" x14ac:dyDescent="0.25">
      <c r="A163" s="528" t="str">
        <f>CONCATENATE("Итого по разделу: ",IF([86]Source!G1499&lt;&gt;"Новый раздел", [86]Source!G1499, ""))</f>
        <v>Итого по разделу: Вентиляция</v>
      </c>
      <c r="B163" s="528"/>
      <c r="C163" s="528"/>
      <c r="D163" s="528"/>
      <c r="E163" s="528"/>
      <c r="F163" s="528"/>
      <c r="G163" s="528"/>
      <c r="H163" s="528"/>
      <c r="I163" s="526">
        <f>SUM(O20:O162)</f>
        <v>68067.839999999997</v>
      </c>
      <c r="J163" s="527"/>
      <c r="K163" s="526">
        <f>SUM(P20:P162)</f>
        <v>480947.18</v>
      </c>
      <c r="L163" s="527"/>
    </row>
    <row r="164" spans="1:256" hidden="1" x14ac:dyDescent="0.2">
      <c r="A164" t="s">
        <v>48</v>
      </c>
      <c r="J164">
        <f>SUM(W20:W163)</f>
        <v>0</v>
      </c>
      <c r="K164">
        <f>SUM(X20:X163)</f>
        <v>0</v>
      </c>
    </row>
    <row r="165" spans="1:256" hidden="1" x14ac:dyDescent="0.2">
      <c r="A165" t="s">
        <v>49</v>
      </c>
      <c r="J165">
        <f>SUM(Y20:Y164)</f>
        <v>0</v>
      </c>
      <c r="K165">
        <f>SUM(Z20:Z164)</f>
        <v>0</v>
      </c>
    </row>
    <row r="167" spans="1:256" ht="30" x14ac:dyDescent="0.25">
      <c r="A167" s="528" t="str">
        <f>CONCATENATE("Итого по локальной смете: ",IF([86]Source!G2326&lt;&gt;"Новая локальная смета", [86]Source!G2326, ""))</f>
        <v>Итого по локальной смете: Станционный комплекс "Аминьевское шоссе". Инженерные системы ТПП. Отопление, вентиляция, кондиционирование, дымоудаление.</v>
      </c>
      <c r="B167" s="528"/>
      <c r="C167" s="528"/>
      <c r="D167" s="528"/>
      <c r="E167" s="528"/>
      <c r="F167" s="528"/>
      <c r="G167" s="528"/>
      <c r="H167" s="528"/>
      <c r="I167" s="526">
        <f>SUM(O12:O166)</f>
        <v>68067.839999999997</v>
      </c>
      <c r="J167" s="527"/>
      <c r="K167" s="526">
        <f>SUM(P12:P166)</f>
        <v>480947.18</v>
      </c>
      <c r="L167" s="527"/>
      <c r="AF167" s="26" t="str">
        <f>CONCATENATE("Итого по локальной смете: ",IF([86]Source!G2326&lt;&gt;"Новая локальная смета", [86]Source!G2326, ""))</f>
        <v>Итого по локальной смете: Станционный комплекс "Аминьевское шоссе". Инженерные системы ТПП. Отопление, вентиляция, кондиционирование, дымоудаление.</v>
      </c>
    </row>
    <row r="168" spans="1:256" hidden="1" x14ac:dyDescent="0.2">
      <c r="A168" t="s">
        <v>48</v>
      </c>
      <c r="J168">
        <f>SUM(W12:W167)</f>
        <v>0</v>
      </c>
      <c r="K168">
        <f>SUM(X12:X167)</f>
        <v>0</v>
      </c>
    </row>
    <row r="169" spans="1:256" hidden="1" x14ac:dyDescent="0.2">
      <c r="A169" t="s">
        <v>49</v>
      </c>
      <c r="J169">
        <f>SUM(Y12:Y168)</f>
        <v>0</v>
      </c>
      <c r="K169">
        <f>SUM(Z12:Z168)</f>
        <v>0</v>
      </c>
    </row>
    <row r="170" spans="1:256" ht="14.25" x14ac:dyDescent="0.2">
      <c r="D170" s="550" t="str">
        <f>[86]Source!H2332</f>
        <v>Стоимость материалов (всего)</v>
      </c>
      <c r="E170" s="550"/>
      <c r="F170" s="550"/>
      <c r="G170" s="550"/>
      <c r="H170" s="550"/>
      <c r="I170" s="551">
        <f>[86]Source!F2332</f>
        <v>51884.1</v>
      </c>
      <c r="J170" s="551"/>
      <c r="K170" s="551">
        <f>[86]Source!P2332</f>
        <v>185426.15</v>
      </c>
      <c r="L170" s="551"/>
    </row>
    <row r="171" spans="1:256" ht="14.25" x14ac:dyDescent="0.2">
      <c r="D171" s="550" t="str">
        <f>[86]Source!H2340</f>
        <v>ЗП машинистов</v>
      </c>
      <c r="E171" s="550"/>
      <c r="F171" s="550"/>
      <c r="G171" s="550"/>
      <c r="H171" s="550"/>
      <c r="I171" s="551">
        <f>[86]Source!F2340</f>
        <v>51.02</v>
      </c>
      <c r="J171" s="551"/>
      <c r="K171" s="551">
        <f>[86]Source!P2340</f>
        <v>1221.42</v>
      </c>
      <c r="L171" s="551"/>
    </row>
    <row r="172" spans="1:256" ht="14.25" x14ac:dyDescent="0.2">
      <c r="D172" s="550" t="str">
        <f>[86]Source!H2341</f>
        <v>Основная ЗП рабочих</v>
      </c>
      <c r="E172" s="550"/>
      <c r="F172" s="550"/>
      <c r="G172" s="550"/>
      <c r="H172" s="550"/>
      <c r="I172" s="551">
        <f>[86]Source!F2341</f>
        <v>4962.46</v>
      </c>
      <c r="J172" s="551"/>
      <c r="K172" s="551">
        <f>[86]Source!P2341</f>
        <v>118801.28</v>
      </c>
      <c r="L172" s="551"/>
    </row>
    <row r="174" spans="1:256" x14ac:dyDescent="0.2">
      <c r="A174" s="74"/>
      <c r="B174" s="74"/>
      <c r="C174" s="74"/>
      <c r="D174" s="543" t="s">
        <v>207</v>
      </c>
      <c r="E174" s="543"/>
      <c r="F174" s="543"/>
      <c r="G174" s="543"/>
      <c r="H174" s="543"/>
      <c r="I174" s="75"/>
      <c r="J174" s="76">
        <v>0</v>
      </c>
      <c r="K174" s="76"/>
      <c r="L174" s="76">
        <v>0</v>
      </c>
      <c r="M174" s="77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74"/>
      <c r="EK174" s="74"/>
      <c r="EL174" s="74"/>
      <c r="EM174" s="74"/>
      <c r="EN174" s="74"/>
      <c r="EO174" s="74"/>
      <c r="EP174" s="74"/>
      <c r="EQ174" s="74"/>
      <c r="ER174" s="74"/>
      <c r="ES174" s="74"/>
      <c r="ET174" s="74"/>
      <c r="EU174" s="74"/>
      <c r="EV174" s="74"/>
      <c r="EW174" s="74"/>
      <c r="EX174" s="74"/>
      <c r="EY174" s="74"/>
      <c r="EZ174" s="74"/>
      <c r="FA174" s="74"/>
      <c r="FB174" s="74"/>
      <c r="FC174" s="74"/>
      <c r="FD174" s="74"/>
      <c r="FE174" s="74"/>
      <c r="FF174" s="74"/>
      <c r="FG174" s="74"/>
      <c r="FH174" s="74"/>
      <c r="FI174" s="74"/>
      <c r="FJ174" s="74"/>
      <c r="FK174" s="74"/>
      <c r="FL174" s="74"/>
      <c r="FM174" s="74"/>
      <c r="FN174" s="74"/>
      <c r="FO174" s="74"/>
      <c r="FP174" s="74"/>
      <c r="FQ174" s="74"/>
      <c r="FR174" s="74"/>
      <c r="FS174" s="74"/>
      <c r="FT174" s="74"/>
      <c r="FU174" s="74"/>
      <c r="FV174" s="74"/>
      <c r="FW174" s="74"/>
      <c r="FX174" s="74"/>
      <c r="FY174" s="74"/>
      <c r="FZ174" s="74"/>
      <c r="GA174" s="74"/>
      <c r="GB174" s="74"/>
      <c r="GC174" s="74"/>
      <c r="GD174" s="74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</row>
    <row r="175" spans="1:256" x14ac:dyDescent="0.2">
      <c r="A175" s="78"/>
      <c r="B175" s="78"/>
      <c r="C175" s="78"/>
      <c r="D175" s="543" t="s">
        <v>208</v>
      </c>
      <c r="E175" s="543"/>
      <c r="F175" s="543"/>
      <c r="G175" s="543"/>
      <c r="H175" s="543"/>
      <c r="I175" s="75"/>
      <c r="J175" s="76">
        <v>0</v>
      </c>
      <c r="K175" s="79"/>
      <c r="L175" s="76">
        <v>0</v>
      </c>
      <c r="M175" s="77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  <c r="CT175" s="80"/>
      <c r="CU175" s="80"/>
      <c r="CV175" s="80"/>
      <c r="CW175" s="80"/>
      <c r="CX175" s="80"/>
      <c r="CY175" s="80"/>
      <c r="CZ175" s="80"/>
      <c r="DA175" s="80"/>
      <c r="DB175" s="80"/>
      <c r="DC175" s="80"/>
      <c r="DD175" s="80"/>
      <c r="DE175" s="80"/>
      <c r="DF175" s="80"/>
      <c r="DG175" s="80"/>
      <c r="DH175" s="80"/>
      <c r="DI175" s="80"/>
      <c r="DJ175" s="80"/>
      <c r="DK175" s="80"/>
      <c r="DL175" s="80"/>
      <c r="DM175" s="80"/>
      <c r="DN175" s="80"/>
      <c r="DO175" s="80"/>
      <c r="DP175" s="80"/>
      <c r="DQ175" s="80"/>
      <c r="DR175" s="80"/>
      <c r="DS175" s="80"/>
      <c r="DT175" s="80"/>
      <c r="DU175" s="80"/>
      <c r="DV175" s="80"/>
      <c r="DW175" s="80"/>
      <c r="DX175" s="80"/>
      <c r="DY175" s="80"/>
      <c r="DZ175" s="80"/>
      <c r="EA175" s="80"/>
      <c r="EB175" s="80"/>
      <c r="EC175" s="80"/>
      <c r="ED175" s="80"/>
      <c r="EE175" s="80"/>
      <c r="EF175" s="80"/>
      <c r="EG175" s="80"/>
      <c r="EH175" s="80"/>
      <c r="EI175" s="80"/>
      <c r="EJ175" s="80"/>
      <c r="EK175" s="80"/>
      <c r="EL175" s="80"/>
      <c r="EM175" s="80"/>
      <c r="EN175" s="80"/>
      <c r="EO175" s="80"/>
      <c r="EP175" s="80"/>
      <c r="EQ175" s="80"/>
      <c r="ER175" s="80"/>
      <c r="ES175" s="80"/>
      <c r="ET175" s="80"/>
      <c r="EU175" s="80"/>
      <c r="EV175" s="80"/>
      <c r="EW175" s="80"/>
      <c r="EX175" s="80"/>
      <c r="EY175" s="80"/>
      <c r="EZ175" s="80"/>
      <c r="FA175" s="80"/>
      <c r="FB175" s="80"/>
      <c r="FC175" s="80"/>
      <c r="FD175" s="80"/>
      <c r="FE175" s="80"/>
      <c r="FF175" s="80"/>
      <c r="FG175" s="80"/>
      <c r="FH175" s="80"/>
      <c r="FI175" s="80"/>
      <c r="FJ175" s="80"/>
      <c r="FK175" s="80"/>
      <c r="FL175" s="80"/>
      <c r="FM175" s="80"/>
      <c r="FN175" s="80"/>
      <c r="FO175" s="80"/>
      <c r="FP175" s="80"/>
      <c r="FQ175" s="80"/>
      <c r="FR175" s="80"/>
      <c r="FS175" s="80"/>
      <c r="FT175" s="80"/>
      <c r="FU175" s="80"/>
      <c r="FV175" s="80"/>
      <c r="FW175" s="80"/>
      <c r="FX175" s="80"/>
      <c r="FY175" s="80"/>
      <c r="FZ175" s="80"/>
      <c r="GA175" s="80"/>
      <c r="GB175" s="80"/>
      <c r="GC175" s="80"/>
      <c r="GD175" s="80"/>
      <c r="GE175" s="80"/>
      <c r="GF175" s="80"/>
      <c r="GG175" s="80"/>
      <c r="GH175" s="80"/>
      <c r="GI175" s="80"/>
      <c r="GJ175" s="80"/>
      <c r="GK175" s="80"/>
      <c r="GL175" s="80"/>
      <c r="GM175" s="80"/>
      <c r="GN175" s="80"/>
      <c r="GO175" s="80"/>
      <c r="GP175" s="80"/>
      <c r="GQ175" s="80"/>
      <c r="GR175" s="80"/>
      <c r="GS175" s="80"/>
      <c r="GT175" s="80"/>
      <c r="GU175" s="80"/>
      <c r="GV175" s="80"/>
      <c r="GW175" s="80"/>
      <c r="GX175" s="80"/>
      <c r="GY175" s="80"/>
      <c r="GZ175" s="80"/>
      <c r="HA175" s="80"/>
      <c r="HB175" s="80"/>
      <c r="HC175" s="80"/>
      <c r="HD175" s="80"/>
      <c r="HE175" s="80"/>
      <c r="HF175" s="80"/>
      <c r="HG175" s="80"/>
      <c r="HH175" s="80"/>
      <c r="HI175" s="80"/>
      <c r="HJ175" s="80"/>
      <c r="HK175" s="80"/>
      <c r="HL175" s="80"/>
      <c r="HM175" s="80"/>
      <c r="HN175" s="80"/>
      <c r="HO175" s="80"/>
      <c r="HP175" s="80"/>
      <c r="HQ175" s="80"/>
      <c r="HR175" s="80"/>
      <c r="HS175" s="80"/>
      <c r="HT175" s="80"/>
      <c r="HU175" s="80"/>
      <c r="HV175" s="80"/>
      <c r="HW175" s="80"/>
      <c r="HX175" s="80"/>
      <c r="HY175" s="80"/>
      <c r="HZ175" s="80"/>
      <c r="IA175" s="80"/>
      <c r="IB175" s="80"/>
      <c r="IC175" s="80"/>
      <c r="ID175" s="80"/>
      <c r="IE175" s="80"/>
      <c r="IF175" s="80"/>
      <c r="IG175" s="80"/>
      <c r="IH175" s="80"/>
      <c r="II175" s="80"/>
      <c r="IJ175" s="80"/>
      <c r="IK175" s="80"/>
      <c r="IL175" s="80"/>
      <c r="IM175" s="80"/>
      <c r="IN175" s="80"/>
      <c r="IO175" s="80"/>
      <c r="IP175" s="80"/>
      <c r="IQ175" s="80"/>
      <c r="IR175" s="80"/>
      <c r="IS175" s="80"/>
      <c r="IT175" s="80"/>
      <c r="IU175" s="80"/>
      <c r="IV175" s="80"/>
    </row>
    <row r="176" spans="1:256" x14ac:dyDescent="0.2">
      <c r="A176" s="78"/>
      <c r="B176" s="78"/>
      <c r="C176" s="78"/>
      <c r="D176" s="79" t="s">
        <v>209</v>
      </c>
      <c r="E176" s="79"/>
      <c r="F176" s="79"/>
      <c r="G176" s="79"/>
      <c r="H176" s="79"/>
      <c r="I176" s="79"/>
      <c r="J176" s="76">
        <f>SUM(J174:J175)</f>
        <v>0</v>
      </c>
      <c r="K176" s="79"/>
      <c r="L176" s="76">
        <f>SUM(L174:L175)</f>
        <v>0</v>
      </c>
      <c r="M176" s="77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  <c r="CT176" s="80"/>
      <c r="CU176" s="80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  <c r="DR176" s="80"/>
      <c r="DS176" s="80"/>
      <c r="DT176" s="80"/>
      <c r="DU176" s="80"/>
      <c r="DV176" s="80"/>
      <c r="DW176" s="80"/>
      <c r="DX176" s="80"/>
      <c r="DY176" s="80"/>
      <c r="DZ176" s="80"/>
      <c r="EA176" s="80"/>
      <c r="EB176" s="80"/>
      <c r="EC176" s="80"/>
      <c r="ED176" s="80"/>
      <c r="EE176" s="80"/>
      <c r="EF176" s="80"/>
      <c r="EG176" s="80"/>
      <c r="EH176" s="80"/>
      <c r="EI176" s="80"/>
      <c r="EJ176" s="80"/>
      <c r="EK176" s="80"/>
      <c r="EL176" s="80"/>
      <c r="EM176" s="80"/>
      <c r="EN176" s="80"/>
      <c r="EO176" s="80"/>
      <c r="EP176" s="80"/>
      <c r="EQ176" s="80"/>
      <c r="ER176" s="80"/>
      <c r="ES176" s="80"/>
      <c r="ET176" s="80"/>
      <c r="EU176" s="80"/>
      <c r="EV176" s="80"/>
      <c r="EW176" s="80"/>
      <c r="EX176" s="80"/>
      <c r="EY176" s="80"/>
      <c r="EZ176" s="80"/>
      <c r="FA176" s="80"/>
      <c r="FB176" s="80"/>
      <c r="FC176" s="80"/>
      <c r="FD176" s="80"/>
      <c r="FE176" s="80"/>
      <c r="FF176" s="80"/>
      <c r="FG176" s="80"/>
      <c r="FH176" s="80"/>
      <c r="FI176" s="80"/>
      <c r="FJ176" s="80"/>
      <c r="FK176" s="80"/>
      <c r="FL176" s="80"/>
      <c r="FM176" s="80"/>
      <c r="FN176" s="80"/>
      <c r="FO176" s="80"/>
      <c r="FP176" s="80"/>
      <c r="FQ176" s="80"/>
      <c r="FR176" s="80"/>
      <c r="FS176" s="80"/>
      <c r="FT176" s="80"/>
      <c r="FU176" s="80"/>
      <c r="FV176" s="80"/>
      <c r="FW176" s="80"/>
      <c r="FX176" s="80"/>
      <c r="FY176" s="80"/>
      <c r="FZ176" s="80"/>
      <c r="GA176" s="80"/>
      <c r="GB176" s="80"/>
      <c r="GC176" s="80"/>
      <c r="GD176" s="80"/>
      <c r="GE176" s="80"/>
      <c r="GF176" s="80"/>
      <c r="GG176" s="80"/>
      <c r="GH176" s="80"/>
      <c r="GI176" s="80"/>
      <c r="GJ176" s="80"/>
      <c r="GK176" s="80"/>
      <c r="GL176" s="80"/>
      <c r="GM176" s="80"/>
      <c r="GN176" s="80"/>
      <c r="GO176" s="80"/>
      <c r="GP176" s="80"/>
      <c r="GQ176" s="80"/>
      <c r="GR176" s="80"/>
      <c r="GS176" s="80"/>
      <c r="GT176" s="80"/>
      <c r="GU176" s="80"/>
      <c r="GV176" s="80"/>
      <c r="GW176" s="80"/>
      <c r="GX176" s="80"/>
      <c r="GY176" s="80"/>
      <c r="GZ176" s="80"/>
      <c r="HA176" s="80"/>
      <c r="HB176" s="80"/>
      <c r="HC176" s="80"/>
      <c r="HD176" s="80"/>
      <c r="HE176" s="80"/>
      <c r="HF176" s="80"/>
      <c r="HG176" s="80"/>
      <c r="HH176" s="80"/>
      <c r="HI176" s="80"/>
      <c r="HJ176" s="80"/>
      <c r="HK176" s="80"/>
      <c r="HL176" s="80"/>
      <c r="HM176" s="80"/>
      <c r="HN176" s="80"/>
      <c r="HO176" s="80"/>
      <c r="HP176" s="80"/>
      <c r="HQ176" s="80"/>
      <c r="HR176" s="80"/>
      <c r="HS176" s="80"/>
      <c r="HT176" s="80"/>
      <c r="HU176" s="80"/>
      <c r="HV176" s="80"/>
      <c r="HW176" s="80"/>
      <c r="HX176" s="80"/>
      <c r="HY176" s="80"/>
      <c r="HZ176" s="80"/>
      <c r="IA176" s="80"/>
      <c r="IB176" s="80"/>
      <c r="IC176" s="80"/>
      <c r="ID176" s="80"/>
      <c r="IE176" s="80"/>
      <c r="IF176" s="80"/>
      <c r="IG176" s="80"/>
      <c r="IH176" s="80"/>
      <c r="II176" s="80"/>
      <c r="IJ176" s="80"/>
      <c r="IK176" s="80"/>
      <c r="IL176" s="80"/>
      <c r="IM176" s="80"/>
      <c r="IN176" s="80"/>
      <c r="IO176" s="80"/>
      <c r="IP176" s="80"/>
      <c r="IQ176" s="80"/>
      <c r="IR176" s="80"/>
      <c r="IS176" s="80"/>
      <c r="IT176" s="80"/>
      <c r="IU176" s="80"/>
      <c r="IV176" s="80"/>
    </row>
    <row r="177" spans="1:256" x14ac:dyDescent="0.2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2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81"/>
      <c r="DF177" s="81"/>
      <c r="DG177" s="81"/>
      <c r="DH177" s="81"/>
      <c r="DI177" s="81"/>
      <c r="DJ177" s="81"/>
      <c r="DK177" s="81"/>
      <c r="DL177" s="81"/>
      <c r="DM177" s="81"/>
      <c r="DN177" s="81"/>
      <c r="DO177" s="81"/>
      <c r="DP177" s="81"/>
      <c r="DQ177" s="81"/>
      <c r="DR177" s="81"/>
      <c r="DS177" s="81"/>
      <c r="DT177" s="81"/>
      <c r="DU177" s="81"/>
      <c r="DV177" s="81"/>
      <c r="DW177" s="81"/>
      <c r="DX177" s="81"/>
      <c r="DY177" s="81"/>
      <c r="DZ177" s="81"/>
      <c r="EA177" s="81"/>
      <c r="EB177" s="81"/>
      <c r="EC177" s="81"/>
      <c r="ED177" s="81"/>
      <c r="EE177" s="81"/>
      <c r="EF177" s="81"/>
      <c r="EG177" s="81"/>
      <c r="EH177" s="81"/>
      <c r="EI177" s="81"/>
      <c r="EJ177" s="81"/>
      <c r="EK177" s="81"/>
      <c r="EL177" s="81"/>
      <c r="EM177" s="81"/>
      <c r="EN177" s="81"/>
      <c r="EO177" s="81"/>
      <c r="EP177" s="81"/>
      <c r="EQ177" s="81"/>
      <c r="ER177" s="81"/>
      <c r="ES177" s="81"/>
      <c r="ET177" s="81"/>
      <c r="EU177" s="81"/>
      <c r="EV177" s="81"/>
      <c r="EW177" s="81"/>
      <c r="EX177" s="81"/>
      <c r="EY177" s="81"/>
      <c r="EZ177" s="81"/>
      <c r="FA177" s="81"/>
      <c r="FB177" s="81"/>
      <c r="FC177" s="81"/>
      <c r="FD177" s="81"/>
      <c r="FE177" s="81"/>
      <c r="FF177" s="81"/>
      <c r="FG177" s="81"/>
      <c r="FH177" s="81"/>
      <c r="FI177" s="81"/>
      <c r="FJ177" s="81"/>
      <c r="FK177" s="81"/>
      <c r="FL177" s="81"/>
      <c r="FM177" s="81"/>
      <c r="FN177" s="81"/>
      <c r="FO177" s="81"/>
      <c r="FP177" s="81"/>
      <c r="FQ177" s="81"/>
      <c r="FR177" s="81"/>
      <c r="FS177" s="81"/>
      <c r="FT177" s="81"/>
      <c r="FU177" s="81"/>
      <c r="FV177" s="81"/>
      <c r="FW177" s="81"/>
      <c r="FX177" s="81"/>
      <c r="FY177" s="81"/>
      <c r="FZ177" s="81"/>
      <c r="GA177" s="81"/>
      <c r="GB177" s="81"/>
      <c r="GC177" s="81"/>
      <c r="GD177" s="81"/>
      <c r="GE177" s="81"/>
      <c r="GF177" s="81"/>
      <c r="GG177" s="81"/>
      <c r="GH177" s="81"/>
      <c r="GI177" s="81"/>
      <c r="GJ177" s="81"/>
      <c r="GK177" s="81"/>
      <c r="GL177" s="81"/>
      <c r="GM177" s="81"/>
      <c r="GN177" s="81"/>
      <c r="GO177" s="81"/>
      <c r="GP177" s="81"/>
      <c r="GQ177" s="81"/>
      <c r="GR177" s="81"/>
      <c r="GS177" s="81"/>
      <c r="GT177" s="81"/>
      <c r="GU177" s="81"/>
      <c r="GV177" s="81"/>
      <c r="GW177" s="81"/>
      <c r="GX177" s="81"/>
      <c r="GY177" s="81"/>
      <c r="GZ177" s="81"/>
      <c r="HA177" s="81"/>
      <c r="HB177" s="81"/>
      <c r="HC177" s="81"/>
      <c r="HD177" s="81"/>
      <c r="HE177" s="81"/>
      <c r="HF177" s="81"/>
      <c r="HG177" s="81"/>
      <c r="HH177" s="81"/>
      <c r="HI177" s="81"/>
      <c r="HJ177" s="81"/>
      <c r="HK177" s="81"/>
      <c r="HL177" s="81"/>
      <c r="HM177" s="81"/>
      <c r="HN177" s="81"/>
      <c r="HO177" s="81"/>
      <c r="HP177" s="81"/>
      <c r="HQ177" s="81"/>
      <c r="HR177" s="81"/>
      <c r="HS177" s="81"/>
      <c r="HT177" s="81"/>
      <c r="HU177" s="81"/>
      <c r="HV177" s="81"/>
      <c r="HW177" s="81"/>
      <c r="HX177" s="81"/>
      <c r="HY177" s="81"/>
      <c r="HZ177" s="81"/>
      <c r="IA177" s="81"/>
      <c r="IB177" s="81"/>
      <c r="IC177" s="81"/>
      <c r="ID177" s="81"/>
      <c r="IE177" s="81"/>
      <c r="IF177" s="81"/>
      <c r="IG177" s="81"/>
      <c r="IH177" s="81"/>
      <c r="II177" s="81"/>
      <c r="IJ177" s="81"/>
      <c r="IK177" s="81"/>
      <c r="IL177" s="81"/>
      <c r="IM177" s="81"/>
      <c r="IN177" s="81"/>
      <c r="IO177" s="81"/>
      <c r="IP177" s="81"/>
      <c r="IQ177" s="81"/>
      <c r="IR177" s="81"/>
      <c r="IS177" s="81"/>
      <c r="IT177" s="81"/>
      <c r="IU177" s="81"/>
      <c r="IV177" s="81"/>
    </row>
    <row r="178" spans="1:256" ht="30" x14ac:dyDescent="0.25">
      <c r="A178" s="78"/>
      <c r="B178" s="78"/>
      <c r="C178" s="78"/>
      <c r="D178" s="83" t="s">
        <v>210</v>
      </c>
      <c r="E178" s="83"/>
      <c r="F178" s="83"/>
      <c r="G178" s="83"/>
      <c r="H178" s="83"/>
      <c r="I178" s="84"/>
      <c r="J178" s="85">
        <f>I167-J176</f>
        <v>68067.839999999997</v>
      </c>
      <c r="K178" s="86"/>
      <c r="L178" s="85">
        <f>K167-L176</f>
        <v>480947.18</v>
      </c>
      <c r="M178" s="82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  <c r="CR178" s="80"/>
      <c r="CS178" s="80"/>
      <c r="CT178" s="80"/>
      <c r="CU178" s="80"/>
      <c r="CV178" s="80"/>
      <c r="CW178" s="80"/>
      <c r="CX178" s="80"/>
      <c r="CY178" s="80"/>
      <c r="CZ178" s="80"/>
      <c r="DA178" s="80"/>
      <c r="DB178" s="80"/>
      <c r="DC178" s="80"/>
      <c r="DD178" s="80"/>
      <c r="DE178" s="80"/>
      <c r="DF178" s="80"/>
      <c r="DG178" s="80"/>
      <c r="DH178" s="80"/>
      <c r="DI178" s="80"/>
      <c r="DJ178" s="80"/>
      <c r="DK178" s="80"/>
      <c r="DL178" s="80"/>
      <c r="DM178" s="80"/>
      <c r="DN178" s="80"/>
      <c r="DO178" s="80"/>
      <c r="DP178" s="80"/>
      <c r="DQ178" s="80"/>
      <c r="DR178" s="80"/>
      <c r="DS178" s="80"/>
      <c r="DT178" s="80"/>
      <c r="DU178" s="80"/>
      <c r="DV178" s="80"/>
      <c r="DW178" s="80"/>
      <c r="DX178" s="80"/>
      <c r="DY178" s="80"/>
      <c r="DZ178" s="80"/>
      <c r="EA178" s="80"/>
      <c r="EB178" s="80"/>
      <c r="EC178" s="80"/>
      <c r="ED178" s="80"/>
      <c r="EE178" s="80"/>
      <c r="EF178" s="80"/>
      <c r="EG178" s="80"/>
      <c r="EH178" s="80"/>
      <c r="EI178" s="80"/>
      <c r="EJ178" s="80"/>
      <c r="EK178" s="80"/>
      <c r="EL178" s="80"/>
      <c r="EM178" s="80"/>
      <c r="EN178" s="80"/>
      <c r="EO178" s="80"/>
      <c r="EP178" s="80"/>
      <c r="EQ178" s="80"/>
      <c r="ER178" s="80"/>
      <c r="ES178" s="80"/>
      <c r="ET178" s="80"/>
      <c r="EU178" s="80"/>
      <c r="EV178" s="80"/>
      <c r="EW178" s="80"/>
      <c r="EX178" s="80"/>
      <c r="EY178" s="80"/>
      <c r="EZ178" s="80"/>
      <c r="FA178" s="80"/>
      <c r="FB178" s="80"/>
      <c r="FC178" s="80"/>
      <c r="FD178" s="80"/>
      <c r="FE178" s="80"/>
      <c r="FF178" s="80"/>
      <c r="FG178" s="80"/>
      <c r="FH178" s="80"/>
      <c r="FI178" s="80"/>
      <c r="FJ178" s="80"/>
      <c r="FK178" s="80"/>
      <c r="FL178" s="80"/>
      <c r="FM178" s="80"/>
      <c r="FN178" s="80"/>
      <c r="FO178" s="80"/>
      <c r="FP178" s="80"/>
      <c r="FQ178" s="80"/>
      <c r="FR178" s="80"/>
      <c r="FS178" s="80"/>
      <c r="FT178" s="80"/>
      <c r="FU178" s="80"/>
      <c r="FV178" s="80"/>
      <c r="FW178" s="80"/>
      <c r="FX178" s="80"/>
      <c r="FY178" s="80"/>
      <c r="FZ178" s="80"/>
      <c r="GA178" s="80"/>
      <c r="GB178" s="80"/>
      <c r="GC178" s="80"/>
      <c r="GD178" s="80"/>
      <c r="GE178" s="80"/>
      <c r="GF178" s="80"/>
      <c r="GG178" s="80"/>
      <c r="GH178" s="80"/>
      <c r="GI178" s="80"/>
      <c r="GJ178" s="80"/>
      <c r="GK178" s="80"/>
      <c r="GL178" s="80"/>
      <c r="GM178" s="80"/>
      <c r="GN178" s="80"/>
      <c r="GO178" s="80"/>
      <c r="GP178" s="80"/>
      <c r="GQ178" s="80"/>
      <c r="GR178" s="80"/>
      <c r="GS178" s="80"/>
      <c r="GT178" s="80"/>
      <c r="GU178" s="80"/>
      <c r="GV178" s="80"/>
      <c r="GW178" s="80"/>
      <c r="GX178" s="80"/>
      <c r="GY178" s="80"/>
      <c r="GZ178" s="80"/>
      <c r="HA178" s="80"/>
      <c r="HB178" s="80"/>
      <c r="HC178" s="80"/>
      <c r="HD178" s="80"/>
      <c r="HE178" s="80"/>
      <c r="HF178" s="80"/>
      <c r="HG178" s="80"/>
      <c r="HH178" s="80"/>
      <c r="HI178" s="80"/>
      <c r="HJ178" s="80"/>
      <c r="HK178" s="80"/>
      <c r="HL178" s="80"/>
      <c r="HM178" s="80"/>
      <c r="HN178" s="80"/>
      <c r="HO178" s="80"/>
      <c r="HP178" s="80"/>
      <c r="HQ178" s="80"/>
      <c r="HR178" s="80"/>
      <c r="HS178" s="80"/>
      <c r="HT178" s="80"/>
      <c r="HU178" s="80"/>
      <c r="HV178" s="80"/>
      <c r="HW178" s="80"/>
      <c r="HX178" s="80"/>
      <c r="HY178" s="80"/>
      <c r="HZ178" s="80"/>
      <c r="IA178" s="80"/>
      <c r="IB178" s="80"/>
      <c r="IC178" s="80"/>
      <c r="ID178" s="80"/>
      <c r="IE178" s="80"/>
      <c r="IF178" s="80"/>
      <c r="IG178" s="80"/>
      <c r="IH178" s="80"/>
      <c r="II178" s="80"/>
      <c r="IJ178" s="80"/>
      <c r="IK178" s="80"/>
      <c r="IL178" s="80"/>
      <c r="IM178" s="80"/>
      <c r="IN178" s="80"/>
      <c r="IO178" s="80"/>
      <c r="IP178" s="80"/>
      <c r="IQ178" s="80"/>
      <c r="IR178" s="80"/>
      <c r="IS178" s="80"/>
      <c r="IT178" s="80"/>
      <c r="IU178" s="80"/>
      <c r="IV178" s="80"/>
    </row>
    <row r="179" spans="1:256" ht="14.25" x14ac:dyDescent="0.2">
      <c r="A179" s="78"/>
      <c r="B179" s="78"/>
      <c r="C179" s="78"/>
      <c r="D179" s="87" t="s">
        <v>211</v>
      </c>
      <c r="E179" s="87"/>
      <c r="F179" s="87"/>
      <c r="G179" s="87"/>
      <c r="H179" s="87"/>
      <c r="I179" s="88"/>
      <c r="J179" s="89">
        <f>J178-J182</f>
        <v>68067.839999999997</v>
      </c>
      <c r="K179" s="90"/>
      <c r="L179" s="89">
        <f>L178-L182</f>
        <v>480947.18</v>
      </c>
      <c r="M179" s="82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  <c r="CT179" s="80"/>
      <c r="CU179" s="80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  <c r="DR179" s="80"/>
      <c r="DS179" s="80"/>
      <c r="DT179" s="80"/>
      <c r="DU179" s="80"/>
      <c r="DV179" s="80"/>
      <c r="DW179" s="80"/>
      <c r="DX179" s="80"/>
      <c r="DY179" s="80"/>
      <c r="DZ179" s="80"/>
      <c r="EA179" s="80"/>
      <c r="EB179" s="80"/>
      <c r="EC179" s="80"/>
      <c r="ED179" s="80"/>
      <c r="EE179" s="80"/>
      <c r="EF179" s="80"/>
      <c r="EG179" s="80"/>
      <c r="EH179" s="80"/>
      <c r="EI179" s="80"/>
      <c r="EJ179" s="80"/>
      <c r="EK179" s="80"/>
      <c r="EL179" s="80"/>
      <c r="EM179" s="80"/>
      <c r="EN179" s="80"/>
      <c r="EO179" s="80"/>
      <c r="EP179" s="80"/>
      <c r="EQ179" s="80"/>
      <c r="ER179" s="80"/>
      <c r="ES179" s="80"/>
      <c r="ET179" s="80"/>
      <c r="EU179" s="80"/>
      <c r="EV179" s="80"/>
      <c r="EW179" s="80"/>
      <c r="EX179" s="80"/>
      <c r="EY179" s="80"/>
      <c r="EZ179" s="80"/>
      <c r="FA179" s="80"/>
      <c r="FB179" s="80"/>
      <c r="FC179" s="80"/>
      <c r="FD179" s="80"/>
      <c r="FE179" s="80"/>
      <c r="FF179" s="80"/>
      <c r="FG179" s="80"/>
      <c r="FH179" s="80"/>
      <c r="FI179" s="80"/>
      <c r="FJ179" s="80"/>
      <c r="FK179" s="80"/>
      <c r="FL179" s="80"/>
      <c r="FM179" s="80"/>
      <c r="FN179" s="80"/>
      <c r="FO179" s="80"/>
      <c r="FP179" s="80"/>
      <c r="FQ179" s="80"/>
      <c r="FR179" s="80"/>
      <c r="FS179" s="80"/>
      <c r="FT179" s="80"/>
      <c r="FU179" s="80"/>
      <c r="FV179" s="80"/>
      <c r="FW179" s="80"/>
      <c r="FX179" s="80"/>
      <c r="FY179" s="80"/>
      <c r="FZ179" s="80"/>
      <c r="GA179" s="80"/>
      <c r="GB179" s="80"/>
      <c r="GC179" s="80"/>
      <c r="GD179" s="80"/>
      <c r="GE179" s="80"/>
      <c r="GF179" s="80"/>
      <c r="GG179" s="80"/>
      <c r="GH179" s="80"/>
      <c r="GI179" s="80"/>
      <c r="GJ179" s="80"/>
      <c r="GK179" s="80"/>
      <c r="GL179" s="80"/>
      <c r="GM179" s="80"/>
      <c r="GN179" s="80"/>
      <c r="GO179" s="80"/>
      <c r="GP179" s="80"/>
      <c r="GQ179" s="80"/>
      <c r="GR179" s="80"/>
      <c r="GS179" s="80"/>
      <c r="GT179" s="80"/>
      <c r="GU179" s="80"/>
      <c r="GV179" s="80"/>
      <c r="GW179" s="80"/>
      <c r="GX179" s="80"/>
      <c r="GY179" s="80"/>
      <c r="GZ179" s="80"/>
      <c r="HA179" s="80"/>
      <c r="HB179" s="80"/>
      <c r="HC179" s="80"/>
      <c r="HD179" s="80"/>
      <c r="HE179" s="80"/>
      <c r="HF179" s="80"/>
      <c r="HG179" s="80"/>
      <c r="HH179" s="80"/>
      <c r="HI179" s="80"/>
      <c r="HJ179" s="80"/>
      <c r="HK179" s="80"/>
      <c r="HL179" s="80"/>
      <c r="HM179" s="80"/>
      <c r="HN179" s="80"/>
      <c r="HO179" s="80"/>
      <c r="HP179" s="80"/>
      <c r="HQ179" s="80"/>
      <c r="HR179" s="80"/>
      <c r="HS179" s="80"/>
      <c r="HT179" s="80"/>
      <c r="HU179" s="80"/>
      <c r="HV179" s="80"/>
      <c r="HW179" s="80"/>
      <c r="HX179" s="80"/>
      <c r="HY179" s="80"/>
      <c r="HZ179" s="80"/>
      <c r="IA179" s="80"/>
      <c r="IB179" s="80"/>
      <c r="IC179" s="80"/>
      <c r="ID179" s="80"/>
      <c r="IE179" s="80"/>
      <c r="IF179" s="80"/>
      <c r="IG179" s="80"/>
      <c r="IH179" s="80"/>
      <c r="II179" s="80"/>
      <c r="IJ179" s="80"/>
      <c r="IK179" s="80"/>
      <c r="IL179" s="80"/>
      <c r="IM179" s="80"/>
      <c r="IN179" s="80"/>
      <c r="IO179" s="80"/>
      <c r="IP179" s="80"/>
      <c r="IQ179" s="80"/>
      <c r="IR179" s="80"/>
      <c r="IS179" s="80"/>
      <c r="IT179" s="80"/>
      <c r="IU179" s="80"/>
      <c r="IV179" s="80"/>
    </row>
    <row r="180" spans="1:256" ht="14.25" x14ac:dyDescent="0.2">
      <c r="A180" s="78"/>
      <c r="B180" s="78"/>
      <c r="C180" s="78"/>
      <c r="D180" s="87" t="s">
        <v>212</v>
      </c>
      <c r="E180" s="87"/>
      <c r="F180" s="87"/>
      <c r="G180" s="87"/>
      <c r="H180" s="87"/>
      <c r="I180" s="88"/>
      <c r="J180" s="89">
        <f>I172+I171</f>
        <v>5013.4799999999996</v>
      </c>
      <c r="K180" s="90"/>
      <c r="L180" s="89">
        <f>K171+K172</f>
        <v>120022.7</v>
      </c>
      <c r="M180" s="82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  <c r="CR180" s="80"/>
      <c r="CS180" s="80"/>
      <c r="CT180" s="80"/>
      <c r="CU180" s="80"/>
      <c r="CV180" s="80"/>
      <c r="CW180" s="80"/>
      <c r="CX180" s="80"/>
      <c r="CY180" s="80"/>
      <c r="CZ180" s="80"/>
      <c r="DA180" s="80"/>
      <c r="DB180" s="80"/>
      <c r="DC180" s="80"/>
      <c r="DD180" s="80"/>
      <c r="DE180" s="80"/>
      <c r="DF180" s="80"/>
      <c r="DG180" s="80"/>
      <c r="DH180" s="80"/>
      <c r="DI180" s="80"/>
      <c r="DJ180" s="80"/>
      <c r="DK180" s="80"/>
      <c r="DL180" s="80"/>
      <c r="DM180" s="80"/>
      <c r="DN180" s="80"/>
      <c r="DO180" s="80"/>
      <c r="DP180" s="80"/>
      <c r="DQ180" s="80"/>
      <c r="DR180" s="80"/>
      <c r="DS180" s="80"/>
      <c r="DT180" s="80"/>
      <c r="DU180" s="80"/>
      <c r="DV180" s="80"/>
      <c r="DW180" s="80"/>
      <c r="DX180" s="80"/>
      <c r="DY180" s="80"/>
      <c r="DZ180" s="80"/>
      <c r="EA180" s="80"/>
      <c r="EB180" s="80"/>
      <c r="EC180" s="80"/>
      <c r="ED180" s="80"/>
      <c r="EE180" s="80"/>
      <c r="EF180" s="80"/>
      <c r="EG180" s="80"/>
      <c r="EH180" s="80"/>
      <c r="EI180" s="80"/>
      <c r="EJ180" s="80"/>
      <c r="EK180" s="80"/>
      <c r="EL180" s="80"/>
      <c r="EM180" s="80"/>
      <c r="EN180" s="80"/>
      <c r="EO180" s="80"/>
      <c r="EP180" s="80"/>
      <c r="EQ180" s="80"/>
      <c r="ER180" s="80"/>
      <c r="ES180" s="80"/>
      <c r="ET180" s="80"/>
      <c r="EU180" s="80"/>
      <c r="EV180" s="80"/>
      <c r="EW180" s="80"/>
      <c r="EX180" s="80"/>
      <c r="EY180" s="80"/>
      <c r="EZ180" s="80"/>
      <c r="FA180" s="80"/>
      <c r="FB180" s="80"/>
      <c r="FC180" s="80"/>
      <c r="FD180" s="80"/>
      <c r="FE180" s="80"/>
      <c r="FF180" s="80"/>
      <c r="FG180" s="80"/>
      <c r="FH180" s="80"/>
      <c r="FI180" s="80"/>
      <c r="FJ180" s="80"/>
      <c r="FK180" s="80"/>
      <c r="FL180" s="80"/>
      <c r="FM180" s="80"/>
      <c r="FN180" s="80"/>
      <c r="FO180" s="80"/>
      <c r="FP180" s="80"/>
      <c r="FQ180" s="80"/>
      <c r="FR180" s="80"/>
      <c r="FS180" s="80"/>
      <c r="FT180" s="80"/>
      <c r="FU180" s="80"/>
      <c r="FV180" s="80"/>
      <c r="FW180" s="80"/>
      <c r="FX180" s="80"/>
      <c r="FY180" s="80"/>
      <c r="FZ180" s="80"/>
      <c r="GA180" s="80"/>
      <c r="GB180" s="80"/>
      <c r="GC180" s="80"/>
      <c r="GD180" s="80"/>
      <c r="GE180" s="80"/>
      <c r="GF180" s="80"/>
      <c r="GG180" s="80"/>
      <c r="GH180" s="80"/>
      <c r="GI180" s="80"/>
      <c r="GJ180" s="80"/>
      <c r="GK180" s="80"/>
      <c r="GL180" s="80"/>
      <c r="GM180" s="80"/>
      <c r="GN180" s="80"/>
      <c r="GO180" s="80"/>
      <c r="GP180" s="80"/>
      <c r="GQ180" s="80"/>
      <c r="GR180" s="80"/>
      <c r="GS180" s="80"/>
      <c r="GT180" s="80"/>
      <c r="GU180" s="80"/>
      <c r="GV180" s="80"/>
      <c r="GW180" s="80"/>
      <c r="GX180" s="80"/>
      <c r="GY180" s="80"/>
      <c r="GZ180" s="80"/>
      <c r="HA180" s="80"/>
      <c r="HB180" s="80"/>
      <c r="HC180" s="80"/>
      <c r="HD180" s="80"/>
      <c r="HE180" s="80"/>
      <c r="HF180" s="80"/>
      <c r="HG180" s="80"/>
      <c r="HH180" s="80"/>
      <c r="HI180" s="80"/>
      <c r="HJ180" s="80"/>
      <c r="HK180" s="80"/>
      <c r="HL180" s="80"/>
      <c r="HM180" s="80"/>
      <c r="HN180" s="80"/>
      <c r="HO180" s="80"/>
      <c r="HP180" s="80"/>
      <c r="HQ180" s="80"/>
      <c r="HR180" s="80"/>
      <c r="HS180" s="80"/>
      <c r="HT180" s="80"/>
      <c r="HU180" s="80"/>
      <c r="HV180" s="80"/>
      <c r="HW180" s="80"/>
      <c r="HX180" s="80"/>
      <c r="HY180" s="80"/>
      <c r="HZ180" s="80"/>
      <c r="IA180" s="80"/>
      <c r="IB180" s="80"/>
      <c r="IC180" s="80"/>
      <c r="ID180" s="80"/>
      <c r="IE180" s="80"/>
      <c r="IF180" s="80"/>
      <c r="IG180" s="80"/>
      <c r="IH180" s="80"/>
      <c r="II180" s="80"/>
      <c r="IJ180" s="80"/>
      <c r="IK180" s="80"/>
      <c r="IL180" s="80"/>
      <c r="IM180" s="80"/>
      <c r="IN180" s="80"/>
      <c r="IO180" s="80"/>
      <c r="IP180" s="80"/>
      <c r="IQ180" s="80"/>
      <c r="IR180" s="80"/>
      <c r="IS180" s="80"/>
      <c r="IT180" s="80"/>
      <c r="IU180" s="80"/>
      <c r="IV180" s="80"/>
    </row>
    <row r="181" spans="1:256" ht="14.25" x14ac:dyDescent="0.2">
      <c r="A181" s="78"/>
      <c r="B181" s="78"/>
      <c r="C181" s="78"/>
      <c r="D181" s="87" t="s">
        <v>213</v>
      </c>
      <c r="E181" s="87"/>
      <c r="F181" s="87"/>
      <c r="G181" s="87"/>
      <c r="H181" s="87"/>
      <c r="I181" s="88"/>
      <c r="J181" s="89">
        <f>I170</f>
        <v>51884.1</v>
      </c>
      <c r="K181" s="90"/>
      <c r="L181" s="89">
        <f>K170</f>
        <v>185426.15</v>
      </c>
      <c r="M181" s="82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  <c r="CT181" s="80"/>
      <c r="CU181" s="80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  <c r="DR181" s="80"/>
      <c r="DS181" s="80"/>
      <c r="DT181" s="80"/>
      <c r="DU181" s="80"/>
      <c r="DV181" s="80"/>
      <c r="DW181" s="80"/>
      <c r="DX181" s="80"/>
      <c r="DY181" s="80"/>
      <c r="DZ181" s="80"/>
      <c r="EA181" s="80"/>
      <c r="EB181" s="80"/>
      <c r="EC181" s="80"/>
      <c r="ED181" s="80"/>
      <c r="EE181" s="80"/>
      <c r="EF181" s="80"/>
      <c r="EG181" s="80"/>
      <c r="EH181" s="80"/>
      <c r="EI181" s="80"/>
      <c r="EJ181" s="80"/>
      <c r="EK181" s="80"/>
      <c r="EL181" s="80"/>
      <c r="EM181" s="80"/>
      <c r="EN181" s="80"/>
      <c r="EO181" s="80"/>
      <c r="EP181" s="80"/>
      <c r="EQ181" s="80"/>
      <c r="ER181" s="80"/>
      <c r="ES181" s="80"/>
      <c r="ET181" s="80"/>
      <c r="EU181" s="80"/>
      <c r="EV181" s="80"/>
      <c r="EW181" s="80"/>
      <c r="EX181" s="80"/>
      <c r="EY181" s="80"/>
      <c r="EZ181" s="80"/>
      <c r="FA181" s="80"/>
      <c r="FB181" s="80"/>
      <c r="FC181" s="80"/>
      <c r="FD181" s="80"/>
      <c r="FE181" s="80"/>
      <c r="FF181" s="80"/>
      <c r="FG181" s="80"/>
      <c r="FH181" s="80"/>
      <c r="FI181" s="80"/>
      <c r="FJ181" s="80"/>
      <c r="FK181" s="80"/>
      <c r="FL181" s="80"/>
      <c r="FM181" s="80"/>
      <c r="FN181" s="80"/>
      <c r="FO181" s="80"/>
      <c r="FP181" s="80"/>
      <c r="FQ181" s="80"/>
      <c r="FR181" s="80"/>
      <c r="FS181" s="80"/>
      <c r="FT181" s="80"/>
      <c r="FU181" s="80"/>
      <c r="FV181" s="80"/>
      <c r="FW181" s="80"/>
      <c r="FX181" s="80"/>
      <c r="FY181" s="80"/>
      <c r="FZ181" s="80"/>
      <c r="GA181" s="80"/>
      <c r="GB181" s="80"/>
      <c r="GC181" s="80"/>
      <c r="GD181" s="80"/>
      <c r="GE181" s="80"/>
      <c r="GF181" s="80"/>
      <c r="GG181" s="80"/>
      <c r="GH181" s="80"/>
      <c r="GI181" s="80"/>
      <c r="GJ181" s="80"/>
      <c r="GK181" s="80"/>
      <c r="GL181" s="80"/>
      <c r="GM181" s="80"/>
      <c r="GN181" s="80"/>
      <c r="GO181" s="80"/>
      <c r="GP181" s="80"/>
      <c r="GQ181" s="80"/>
      <c r="GR181" s="80"/>
      <c r="GS181" s="80"/>
      <c r="GT181" s="80"/>
      <c r="GU181" s="80"/>
      <c r="GV181" s="80"/>
      <c r="GW181" s="80"/>
      <c r="GX181" s="80"/>
      <c r="GY181" s="80"/>
      <c r="GZ181" s="80"/>
      <c r="HA181" s="80"/>
      <c r="HB181" s="80"/>
      <c r="HC181" s="80"/>
      <c r="HD181" s="80"/>
      <c r="HE181" s="80"/>
      <c r="HF181" s="80"/>
      <c r="HG181" s="80"/>
      <c r="HH181" s="80"/>
      <c r="HI181" s="80"/>
      <c r="HJ181" s="80"/>
      <c r="HK181" s="80"/>
      <c r="HL181" s="80"/>
      <c r="HM181" s="80"/>
      <c r="HN181" s="80"/>
      <c r="HO181" s="80"/>
      <c r="HP181" s="80"/>
      <c r="HQ181" s="80"/>
      <c r="HR181" s="80"/>
      <c r="HS181" s="80"/>
      <c r="HT181" s="80"/>
      <c r="HU181" s="80"/>
      <c r="HV181" s="80"/>
      <c r="HW181" s="80"/>
      <c r="HX181" s="80"/>
      <c r="HY181" s="80"/>
      <c r="HZ181" s="80"/>
      <c r="IA181" s="80"/>
      <c r="IB181" s="80"/>
      <c r="IC181" s="80"/>
      <c r="ID181" s="80"/>
      <c r="IE181" s="80"/>
      <c r="IF181" s="80"/>
      <c r="IG181" s="80"/>
      <c r="IH181" s="80"/>
      <c r="II181" s="80"/>
      <c r="IJ181" s="80"/>
      <c r="IK181" s="80"/>
      <c r="IL181" s="80"/>
      <c r="IM181" s="80"/>
      <c r="IN181" s="80"/>
      <c r="IO181" s="80"/>
      <c r="IP181" s="80"/>
      <c r="IQ181" s="80"/>
      <c r="IR181" s="80"/>
      <c r="IS181" s="80"/>
      <c r="IT181" s="80"/>
      <c r="IU181" s="80"/>
      <c r="IV181" s="80"/>
    </row>
    <row r="182" spans="1:256" ht="14.25" x14ac:dyDescent="0.2">
      <c r="A182" s="91"/>
      <c r="B182" s="91"/>
      <c r="C182" s="91"/>
      <c r="D182" s="92" t="s">
        <v>214</v>
      </c>
      <c r="E182" s="92"/>
      <c r="F182" s="92"/>
      <c r="G182" s="92"/>
      <c r="H182" s="92"/>
      <c r="I182" s="93"/>
      <c r="J182" s="94">
        <v>0</v>
      </c>
      <c r="K182" s="95"/>
      <c r="L182" s="94">
        <v>0</v>
      </c>
      <c r="M182" s="82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  <c r="DB182" s="96"/>
      <c r="DC182" s="96"/>
      <c r="DD182" s="96"/>
      <c r="DE182" s="96"/>
      <c r="DF182" s="96"/>
      <c r="DG182" s="96"/>
      <c r="DH182" s="96"/>
      <c r="DI182" s="96"/>
      <c r="DJ182" s="96"/>
      <c r="DK182" s="96"/>
      <c r="DL182" s="96"/>
      <c r="DM182" s="96"/>
      <c r="DN182" s="96"/>
      <c r="DO182" s="96"/>
      <c r="DP182" s="96"/>
      <c r="DQ182" s="96"/>
      <c r="DR182" s="96"/>
      <c r="DS182" s="96"/>
      <c r="DT182" s="96"/>
      <c r="DU182" s="96"/>
      <c r="DV182" s="96"/>
      <c r="DW182" s="96"/>
      <c r="DX182" s="96"/>
      <c r="DY182" s="96"/>
      <c r="DZ182" s="96"/>
      <c r="EA182" s="96"/>
      <c r="EB182" s="96"/>
      <c r="EC182" s="96"/>
      <c r="ED182" s="96"/>
      <c r="EE182" s="96"/>
      <c r="EF182" s="96"/>
      <c r="EG182" s="96"/>
      <c r="EH182" s="96"/>
      <c r="EI182" s="96"/>
      <c r="EJ182" s="96"/>
      <c r="EK182" s="96"/>
      <c r="EL182" s="96"/>
      <c r="EM182" s="96"/>
      <c r="EN182" s="96"/>
      <c r="EO182" s="96"/>
      <c r="EP182" s="96"/>
      <c r="EQ182" s="96"/>
      <c r="ER182" s="96"/>
      <c r="ES182" s="96"/>
      <c r="ET182" s="96"/>
      <c r="EU182" s="96"/>
      <c r="EV182" s="96"/>
      <c r="EW182" s="96"/>
      <c r="EX182" s="96"/>
      <c r="EY182" s="96"/>
      <c r="EZ182" s="96"/>
      <c r="FA182" s="96"/>
      <c r="FB182" s="96"/>
      <c r="FC182" s="96"/>
      <c r="FD182" s="96"/>
      <c r="FE182" s="96"/>
      <c r="FF182" s="96"/>
      <c r="FG182" s="96"/>
      <c r="FH182" s="96"/>
      <c r="FI182" s="96"/>
      <c r="FJ182" s="96"/>
      <c r="FK182" s="96"/>
      <c r="FL182" s="96"/>
      <c r="FM182" s="96"/>
      <c r="FN182" s="96"/>
      <c r="FO182" s="96"/>
      <c r="FP182" s="96"/>
      <c r="FQ182" s="96"/>
      <c r="FR182" s="96"/>
      <c r="FS182" s="96"/>
      <c r="FT182" s="96"/>
      <c r="FU182" s="96"/>
      <c r="FV182" s="96"/>
      <c r="FW182" s="96"/>
      <c r="FX182" s="96"/>
      <c r="FY182" s="96"/>
      <c r="FZ182" s="96"/>
      <c r="GA182" s="96"/>
      <c r="GB182" s="96"/>
      <c r="GC182" s="96"/>
      <c r="GD182" s="96"/>
      <c r="GE182" s="96"/>
      <c r="GF182" s="96"/>
      <c r="GG182" s="96"/>
      <c r="GH182" s="96"/>
      <c r="GI182" s="96"/>
      <c r="GJ182" s="96"/>
      <c r="GK182" s="96"/>
      <c r="GL182" s="96"/>
      <c r="GM182" s="96"/>
      <c r="GN182" s="96"/>
      <c r="GO182" s="96"/>
      <c r="GP182" s="96"/>
      <c r="GQ182" s="96"/>
      <c r="GR182" s="96"/>
      <c r="GS182" s="96"/>
      <c r="GT182" s="96"/>
      <c r="GU182" s="96"/>
      <c r="GV182" s="96"/>
      <c r="GW182" s="96"/>
      <c r="GX182" s="96"/>
      <c r="GY182" s="96"/>
      <c r="GZ182" s="96"/>
      <c r="HA182" s="96"/>
      <c r="HB182" s="96"/>
      <c r="HC182" s="96"/>
      <c r="HD182" s="96"/>
      <c r="HE182" s="96"/>
      <c r="HF182" s="96"/>
      <c r="HG182" s="96"/>
      <c r="HH182" s="96"/>
      <c r="HI182" s="96"/>
      <c r="HJ182" s="96"/>
      <c r="HK182" s="96"/>
      <c r="HL182" s="96"/>
      <c r="HM182" s="96"/>
      <c r="HN182" s="96"/>
      <c r="HO182" s="96"/>
      <c r="HP182" s="96"/>
      <c r="HQ182" s="96"/>
      <c r="HR182" s="96"/>
      <c r="HS182" s="96"/>
      <c r="HT182" s="96"/>
      <c r="HU182" s="96"/>
      <c r="HV182" s="96"/>
      <c r="HW182" s="96"/>
      <c r="HX182" s="96"/>
      <c r="HY182" s="96"/>
      <c r="HZ182" s="96"/>
      <c r="IA182" s="96"/>
      <c r="IB182" s="96"/>
      <c r="IC182" s="96"/>
      <c r="ID182" s="96"/>
      <c r="IE182" s="96"/>
      <c r="IF182" s="96"/>
      <c r="IG182" s="96"/>
      <c r="IH182" s="96"/>
      <c r="II182" s="96"/>
      <c r="IJ182" s="96"/>
      <c r="IK182" s="96"/>
      <c r="IL182" s="96"/>
      <c r="IM182" s="96"/>
      <c r="IN182" s="96"/>
      <c r="IO182" s="96"/>
      <c r="IP182" s="96"/>
      <c r="IQ182" s="96"/>
      <c r="IR182" s="96"/>
      <c r="IS182" s="96"/>
      <c r="IT182" s="96"/>
      <c r="IU182" s="96"/>
      <c r="IV182" s="96"/>
    </row>
    <row r="183" spans="1:256" x14ac:dyDescent="0.2">
      <c r="A183" s="74"/>
      <c r="B183" s="74"/>
      <c r="C183" s="74"/>
      <c r="D183" s="97" t="s">
        <v>215</v>
      </c>
      <c r="E183" s="97"/>
      <c r="F183" s="97"/>
      <c r="G183" s="97"/>
      <c r="H183" s="97"/>
      <c r="I183" s="97"/>
      <c r="J183" s="98">
        <f>J180*15%</f>
        <v>752.02</v>
      </c>
      <c r="K183" s="98"/>
      <c r="L183" s="98">
        <f>L180*15%</f>
        <v>18003.41</v>
      </c>
      <c r="M183" s="77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  <c r="DS183" s="74"/>
      <c r="DT183" s="74"/>
      <c r="DU183" s="74"/>
      <c r="DV183" s="74"/>
      <c r="DW183" s="74"/>
      <c r="DX183" s="74"/>
      <c r="DY183" s="74"/>
      <c r="DZ183" s="74"/>
      <c r="EA183" s="74"/>
      <c r="EB183" s="74"/>
      <c r="EC183" s="74"/>
      <c r="ED183" s="74"/>
      <c r="EE183" s="74"/>
      <c r="EF183" s="74"/>
      <c r="EG183" s="74"/>
      <c r="EH183" s="74"/>
      <c r="EI183" s="74"/>
      <c r="EJ183" s="74"/>
      <c r="EK183" s="74"/>
      <c r="EL183" s="74"/>
      <c r="EM183" s="74"/>
      <c r="EN183" s="74"/>
      <c r="EO183" s="74"/>
      <c r="EP183" s="74"/>
      <c r="EQ183" s="74"/>
      <c r="ER183" s="74"/>
      <c r="ES183" s="74"/>
      <c r="ET183" s="74"/>
      <c r="EU183" s="74"/>
      <c r="EV183" s="74"/>
      <c r="EW183" s="74"/>
      <c r="EX183" s="74"/>
      <c r="EY183" s="74"/>
      <c r="EZ183" s="74"/>
      <c r="FA183" s="74"/>
      <c r="FB183" s="74"/>
      <c r="FC183" s="74"/>
      <c r="FD183" s="74"/>
      <c r="FE183" s="74"/>
      <c r="FF183" s="74"/>
      <c r="FG183" s="74"/>
      <c r="FH183" s="74"/>
      <c r="FI183" s="74"/>
      <c r="FJ183" s="74"/>
      <c r="FK183" s="74"/>
      <c r="FL183" s="74"/>
      <c r="FM183" s="74"/>
      <c r="FN183" s="74"/>
      <c r="FO183" s="74"/>
      <c r="FP183" s="74"/>
      <c r="FQ183" s="74"/>
      <c r="FR183" s="74"/>
      <c r="FS183" s="74"/>
      <c r="FT183" s="74"/>
      <c r="FU183" s="74"/>
      <c r="FV183" s="74"/>
      <c r="FW183" s="74"/>
      <c r="FX183" s="74"/>
      <c r="FY183" s="74"/>
      <c r="FZ183" s="74"/>
      <c r="GA183" s="74"/>
      <c r="GB183" s="74"/>
      <c r="GC183" s="74"/>
      <c r="GD183" s="74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</row>
    <row r="184" spans="1:256" x14ac:dyDescent="0.2">
      <c r="A184" s="74"/>
      <c r="B184" s="74"/>
      <c r="C184" s="74"/>
      <c r="D184" s="99" t="s">
        <v>216</v>
      </c>
      <c r="E184" s="100"/>
      <c r="F184" s="100"/>
      <c r="G184" s="100"/>
      <c r="H184" s="100"/>
      <c r="I184" s="100"/>
      <c r="J184" s="101">
        <f>J178+J183</f>
        <v>68819.86</v>
      </c>
      <c r="K184" s="101"/>
      <c r="L184" s="101">
        <f>L178+L183</f>
        <v>498950.59</v>
      </c>
      <c r="M184" s="77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  <c r="DS184" s="74"/>
      <c r="DT184" s="74"/>
      <c r="DU184" s="74"/>
      <c r="DV184" s="74"/>
      <c r="DW184" s="74"/>
      <c r="DX184" s="74"/>
      <c r="DY184" s="74"/>
      <c r="DZ184" s="74"/>
      <c r="EA184" s="74"/>
      <c r="EB184" s="74"/>
      <c r="EC184" s="74"/>
      <c r="ED184" s="74"/>
      <c r="EE184" s="74"/>
      <c r="EF184" s="74"/>
      <c r="EG184" s="74"/>
      <c r="EH184" s="74"/>
      <c r="EI184" s="74"/>
      <c r="EJ184" s="74"/>
      <c r="EK184" s="74"/>
      <c r="EL184" s="74"/>
      <c r="EM184" s="74"/>
      <c r="EN184" s="74"/>
      <c r="EO184" s="74"/>
      <c r="EP184" s="74"/>
      <c r="EQ184" s="74"/>
      <c r="ER184" s="74"/>
      <c r="ES184" s="74"/>
      <c r="ET184" s="74"/>
      <c r="EU184" s="74"/>
      <c r="EV184" s="74"/>
      <c r="EW184" s="74"/>
      <c r="EX184" s="74"/>
      <c r="EY184" s="74"/>
      <c r="EZ184" s="74"/>
      <c r="FA184" s="74"/>
      <c r="FB184" s="74"/>
      <c r="FC184" s="74"/>
      <c r="FD184" s="74"/>
      <c r="FE184" s="74"/>
      <c r="FF184" s="74"/>
      <c r="FG184" s="74"/>
      <c r="FH184" s="74"/>
      <c r="FI184" s="74"/>
      <c r="FJ184" s="74"/>
      <c r="FK184" s="74"/>
      <c r="FL184" s="74"/>
      <c r="FM184" s="74"/>
      <c r="FN184" s="74"/>
      <c r="FO184" s="74"/>
      <c r="FP184" s="74"/>
      <c r="FQ184" s="74"/>
      <c r="FR184" s="74"/>
      <c r="FS184" s="74"/>
      <c r="FT184" s="74"/>
      <c r="FU184" s="74"/>
      <c r="FV184" s="74"/>
      <c r="FW184" s="74"/>
      <c r="FX184" s="74"/>
      <c r="FY184" s="74"/>
      <c r="FZ184" s="74"/>
      <c r="GA184" s="74"/>
      <c r="GB184" s="74"/>
      <c r="GC184" s="74"/>
      <c r="GD184" s="74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</row>
    <row r="185" spans="1:256" x14ac:dyDescent="0.2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2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1"/>
      <c r="CX185" s="81"/>
      <c r="CY185" s="81"/>
      <c r="CZ185" s="81"/>
      <c r="DA185" s="81"/>
      <c r="DB185" s="81"/>
      <c r="DC185" s="81"/>
      <c r="DD185" s="81"/>
      <c r="DE185" s="81"/>
      <c r="DF185" s="81"/>
      <c r="DG185" s="81"/>
      <c r="DH185" s="81"/>
      <c r="DI185" s="81"/>
      <c r="DJ185" s="81"/>
      <c r="DK185" s="81"/>
      <c r="DL185" s="81"/>
      <c r="DM185" s="81"/>
      <c r="DN185" s="81"/>
      <c r="DO185" s="81"/>
      <c r="DP185" s="81"/>
      <c r="DQ185" s="81"/>
      <c r="DR185" s="81"/>
      <c r="DS185" s="81"/>
      <c r="DT185" s="81"/>
      <c r="DU185" s="81"/>
      <c r="DV185" s="81"/>
      <c r="DW185" s="81"/>
      <c r="DX185" s="81"/>
      <c r="DY185" s="81"/>
      <c r="DZ185" s="81"/>
      <c r="EA185" s="81"/>
      <c r="EB185" s="81"/>
      <c r="EC185" s="81"/>
      <c r="ED185" s="81"/>
      <c r="EE185" s="81"/>
      <c r="EF185" s="81"/>
      <c r="EG185" s="81"/>
      <c r="EH185" s="81"/>
      <c r="EI185" s="81"/>
      <c r="EJ185" s="81"/>
      <c r="EK185" s="81"/>
      <c r="EL185" s="81"/>
      <c r="EM185" s="81"/>
      <c r="EN185" s="81"/>
      <c r="EO185" s="81"/>
      <c r="EP185" s="81"/>
      <c r="EQ185" s="81"/>
      <c r="ER185" s="81"/>
      <c r="ES185" s="81"/>
      <c r="ET185" s="81"/>
      <c r="EU185" s="81"/>
      <c r="EV185" s="81"/>
      <c r="EW185" s="81"/>
      <c r="EX185" s="81"/>
      <c r="EY185" s="81"/>
      <c r="EZ185" s="81"/>
      <c r="FA185" s="81"/>
      <c r="FB185" s="81"/>
      <c r="FC185" s="81"/>
      <c r="FD185" s="81"/>
      <c r="FE185" s="81"/>
      <c r="FF185" s="81"/>
      <c r="FG185" s="81"/>
      <c r="FH185" s="81"/>
      <c r="FI185" s="81"/>
      <c r="FJ185" s="81"/>
      <c r="FK185" s="81"/>
      <c r="FL185" s="81"/>
      <c r="FM185" s="81"/>
      <c r="FN185" s="81"/>
      <c r="FO185" s="81"/>
      <c r="FP185" s="81"/>
      <c r="FQ185" s="81"/>
      <c r="FR185" s="81"/>
      <c r="FS185" s="81"/>
      <c r="FT185" s="81"/>
      <c r="FU185" s="81"/>
      <c r="FV185" s="81"/>
      <c r="FW185" s="81"/>
      <c r="FX185" s="81"/>
      <c r="FY185" s="81"/>
      <c r="FZ185" s="81"/>
      <c r="GA185" s="81"/>
      <c r="GB185" s="81"/>
      <c r="GC185" s="81"/>
      <c r="GD185" s="81"/>
      <c r="GE185" s="81"/>
      <c r="GF185" s="81"/>
      <c r="GG185" s="81"/>
      <c r="GH185" s="81"/>
      <c r="GI185" s="81"/>
      <c r="GJ185" s="81"/>
      <c r="GK185" s="81"/>
      <c r="GL185" s="81"/>
      <c r="GM185" s="81"/>
      <c r="GN185" s="81"/>
      <c r="GO185" s="81"/>
      <c r="GP185" s="81"/>
      <c r="GQ185" s="81"/>
      <c r="GR185" s="81"/>
      <c r="GS185" s="81"/>
      <c r="GT185" s="81"/>
      <c r="GU185" s="81"/>
      <c r="GV185" s="81"/>
      <c r="GW185" s="81"/>
      <c r="GX185" s="81"/>
      <c r="GY185" s="81"/>
      <c r="GZ185" s="81"/>
      <c r="HA185" s="81"/>
      <c r="HB185" s="81"/>
      <c r="HC185" s="81"/>
      <c r="HD185" s="81"/>
      <c r="HE185" s="81"/>
      <c r="HF185" s="81"/>
      <c r="HG185" s="81"/>
      <c r="HH185" s="81"/>
      <c r="HI185" s="81"/>
      <c r="HJ185" s="81"/>
      <c r="HK185" s="81"/>
      <c r="HL185" s="81"/>
      <c r="HM185" s="81"/>
      <c r="HN185" s="81"/>
      <c r="HO185" s="81"/>
      <c r="HP185" s="81"/>
      <c r="HQ185" s="81"/>
      <c r="HR185" s="81"/>
      <c r="HS185" s="81"/>
      <c r="HT185" s="81"/>
      <c r="HU185" s="81"/>
      <c r="HV185" s="81"/>
      <c r="HW185" s="81"/>
      <c r="HX185" s="81"/>
      <c r="HY185" s="81"/>
      <c r="HZ185" s="81"/>
      <c r="IA185" s="81"/>
      <c r="IB185" s="81"/>
      <c r="IC185" s="81"/>
      <c r="ID185" s="81"/>
      <c r="IE185" s="81"/>
      <c r="IF185" s="81"/>
      <c r="IG185" s="81"/>
      <c r="IH185" s="81"/>
      <c r="II185" s="81"/>
      <c r="IJ185" s="81"/>
      <c r="IK185" s="81"/>
      <c r="IL185" s="81"/>
      <c r="IM185" s="81"/>
      <c r="IN185" s="81"/>
      <c r="IO185" s="81"/>
      <c r="IP185" s="81"/>
      <c r="IQ185" s="81"/>
      <c r="IR185" s="81"/>
      <c r="IS185" s="81"/>
      <c r="IT185" s="81"/>
      <c r="IU185" s="81"/>
      <c r="IV185" s="81"/>
    </row>
    <row r="186" spans="1:256" x14ac:dyDescent="0.2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2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1"/>
      <c r="CX186" s="81"/>
      <c r="CY186" s="81"/>
      <c r="CZ186" s="81"/>
      <c r="DA186" s="81"/>
      <c r="DB186" s="81"/>
      <c r="DC186" s="81"/>
      <c r="DD186" s="81"/>
      <c r="DE186" s="81"/>
      <c r="DF186" s="81"/>
      <c r="DG186" s="81"/>
      <c r="DH186" s="81"/>
      <c r="DI186" s="81"/>
      <c r="DJ186" s="81"/>
      <c r="DK186" s="81"/>
      <c r="DL186" s="81"/>
      <c r="DM186" s="81"/>
      <c r="DN186" s="81"/>
      <c r="DO186" s="81"/>
      <c r="DP186" s="81"/>
      <c r="DQ186" s="81"/>
      <c r="DR186" s="81"/>
      <c r="DS186" s="81"/>
      <c r="DT186" s="81"/>
      <c r="DU186" s="81"/>
      <c r="DV186" s="81"/>
      <c r="DW186" s="81"/>
      <c r="DX186" s="81"/>
      <c r="DY186" s="81"/>
      <c r="DZ186" s="81"/>
      <c r="EA186" s="81"/>
      <c r="EB186" s="81"/>
      <c r="EC186" s="81"/>
      <c r="ED186" s="81"/>
      <c r="EE186" s="81"/>
      <c r="EF186" s="81"/>
      <c r="EG186" s="81"/>
      <c r="EH186" s="81"/>
      <c r="EI186" s="81"/>
      <c r="EJ186" s="81"/>
      <c r="EK186" s="81"/>
      <c r="EL186" s="81"/>
      <c r="EM186" s="81"/>
      <c r="EN186" s="81"/>
      <c r="EO186" s="81"/>
      <c r="EP186" s="81"/>
      <c r="EQ186" s="81"/>
      <c r="ER186" s="81"/>
      <c r="ES186" s="81"/>
      <c r="ET186" s="81"/>
      <c r="EU186" s="81"/>
      <c r="EV186" s="81"/>
      <c r="EW186" s="81"/>
      <c r="EX186" s="81"/>
      <c r="EY186" s="81"/>
      <c r="EZ186" s="81"/>
      <c r="FA186" s="81"/>
      <c r="FB186" s="81"/>
      <c r="FC186" s="81"/>
      <c r="FD186" s="81"/>
      <c r="FE186" s="81"/>
      <c r="FF186" s="81"/>
      <c r="FG186" s="81"/>
      <c r="FH186" s="81"/>
      <c r="FI186" s="81"/>
      <c r="FJ186" s="81"/>
      <c r="FK186" s="81"/>
      <c r="FL186" s="81"/>
      <c r="FM186" s="81"/>
      <c r="FN186" s="81"/>
      <c r="FO186" s="81"/>
      <c r="FP186" s="81"/>
      <c r="FQ186" s="81"/>
      <c r="FR186" s="81"/>
      <c r="FS186" s="81"/>
      <c r="FT186" s="81"/>
      <c r="FU186" s="81"/>
      <c r="FV186" s="81"/>
      <c r="FW186" s="81"/>
      <c r="FX186" s="81"/>
      <c r="FY186" s="81"/>
      <c r="FZ186" s="81"/>
      <c r="GA186" s="81"/>
      <c r="GB186" s="81"/>
      <c r="GC186" s="81"/>
      <c r="GD186" s="81"/>
      <c r="GE186" s="81"/>
      <c r="GF186" s="81"/>
      <c r="GG186" s="81"/>
      <c r="GH186" s="81"/>
      <c r="GI186" s="81"/>
      <c r="GJ186" s="81"/>
      <c r="GK186" s="81"/>
      <c r="GL186" s="81"/>
      <c r="GM186" s="81"/>
      <c r="GN186" s="81"/>
      <c r="GO186" s="81"/>
      <c r="GP186" s="81"/>
      <c r="GQ186" s="81"/>
      <c r="GR186" s="81"/>
      <c r="GS186" s="81"/>
      <c r="GT186" s="81"/>
      <c r="GU186" s="81"/>
      <c r="GV186" s="81"/>
      <c r="GW186" s="81"/>
      <c r="GX186" s="81"/>
      <c r="GY186" s="81"/>
      <c r="GZ186" s="81"/>
      <c r="HA186" s="81"/>
      <c r="HB186" s="81"/>
      <c r="HC186" s="81"/>
      <c r="HD186" s="81"/>
      <c r="HE186" s="81"/>
      <c r="HF186" s="81"/>
      <c r="HG186" s="81"/>
      <c r="HH186" s="81"/>
      <c r="HI186" s="81"/>
      <c r="HJ186" s="81"/>
      <c r="HK186" s="81"/>
      <c r="HL186" s="81"/>
      <c r="HM186" s="81"/>
      <c r="HN186" s="81"/>
      <c r="HO186" s="81"/>
      <c r="HP186" s="81"/>
      <c r="HQ186" s="81"/>
      <c r="HR186" s="81"/>
      <c r="HS186" s="81"/>
      <c r="HT186" s="81"/>
      <c r="HU186" s="81"/>
      <c r="HV186" s="81"/>
      <c r="HW186" s="81"/>
      <c r="HX186" s="81"/>
      <c r="HY186" s="81"/>
      <c r="HZ186" s="81"/>
      <c r="IA186" s="81"/>
      <c r="IB186" s="81"/>
      <c r="IC186" s="81"/>
      <c r="ID186" s="81"/>
      <c r="IE186" s="81"/>
      <c r="IF186" s="81"/>
      <c r="IG186" s="81"/>
      <c r="IH186" s="81"/>
      <c r="II186" s="81"/>
      <c r="IJ186" s="81"/>
      <c r="IK186" s="81"/>
      <c r="IL186" s="81"/>
      <c r="IM186" s="81"/>
      <c r="IN186" s="81"/>
      <c r="IO186" s="81"/>
      <c r="IP186" s="81"/>
      <c r="IQ186" s="81"/>
      <c r="IR186" s="81"/>
      <c r="IS186" s="81"/>
      <c r="IT186" s="81"/>
      <c r="IU186" s="81"/>
      <c r="IV186" s="81"/>
    </row>
    <row r="187" spans="1:256" x14ac:dyDescent="0.2">
      <c r="A187" s="75"/>
      <c r="B187" s="75"/>
      <c r="C187" s="75"/>
      <c r="D187" s="99" t="s">
        <v>217</v>
      </c>
      <c r="E187" s="97"/>
      <c r="F187" s="97"/>
      <c r="G187" s="97"/>
      <c r="H187" s="97"/>
      <c r="I187" s="97"/>
      <c r="J187" s="102">
        <f>J178</f>
        <v>68067.839999999997</v>
      </c>
      <c r="K187" s="102"/>
      <c r="L187" s="102">
        <f>L178*0.925</f>
        <v>444876.14</v>
      </c>
      <c r="M187" s="103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  <c r="BM187" s="104"/>
      <c r="BN187" s="104"/>
      <c r="BO187" s="104"/>
      <c r="BP187" s="104"/>
      <c r="BQ187" s="104"/>
      <c r="BR187" s="104"/>
      <c r="BS187" s="104"/>
      <c r="BT187" s="104"/>
      <c r="BU187" s="104"/>
      <c r="BV187" s="104"/>
      <c r="BW187" s="104"/>
      <c r="BX187" s="104"/>
      <c r="BY187" s="104"/>
      <c r="BZ187" s="104"/>
      <c r="CA187" s="104"/>
      <c r="CB187" s="104"/>
      <c r="CC187" s="104"/>
      <c r="CD187" s="104"/>
      <c r="CE187" s="104"/>
      <c r="CF187" s="104"/>
      <c r="CG187" s="104"/>
      <c r="CH187" s="104"/>
      <c r="CI187" s="104"/>
      <c r="CJ187" s="104"/>
      <c r="CK187" s="104"/>
      <c r="CL187" s="104"/>
      <c r="CM187" s="104"/>
      <c r="CN187" s="104"/>
      <c r="CO187" s="104"/>
      <c r="CP187" s="104"/>
      <c r="CQ187" s="104"/>
      <c r="CR187" s="104"/>
      <c r="CS187" s="104"/>
      <c r="CT187" s="104"/>
      <c r="CU187" s="104"/>
      <c r="CV187" s="104"/>
      <c r="CW187" s="104"/>
      <c r="CX187" s="104"/>
      <c r="CY187" s="104"/>
      <c r="CZ187" s="104"/>
      <c r="DA187" s="104"/>
      <c r="DB187" s="104"/>
      <c r="DC187" s="104"/>
      <c r="DD187" s="104"/>
      <c r="DE187" s="104"/>
      <c r="DF187" s="104"/>
      <c r="DG187" s="104"/>
      <c r="DH187" s="104"/>
      <c r="DI187" s="104"/>
      <c r="DJ187" s="104"/>
      <c r="DK187" s="104"/>
      <c r="DL187" s="104"/>
      <c r="DM187" s="104"/>
      <c r="DN187" s="104"/>
      <c r="DO187" s="104"/>
      <c r="DP187" s="104"/>
      <c r="DQ187" s="104"/>
      <c r="DR187" s="104"/>
      <c r="DS187" s="104"/>
      <c r="DT187" s="104"/>
      <c r="DU187" s="104"/>
      <c r="DV187" s="104"/>
      <c r="DW187" s="104"/>
      <c r="DX187" s="104"/>
      <c r="DY187" s="104"/>
      <c r="DZ187" s="104"/>
      <c r="EA187" s="104"/>
      <c r="EB187" s="104"/>
      <c r="EC187" s="104"/>
      <c r="ED187" s="104"/>
      <c r="EE187" s="104"/>
      <c r="EF187" s="104"/>
      <c r="EG187" s="104"/>
      <c r="EH187" s="104"/>
      <c r="EI187" s="104"/>
      <c r="EJ187" s="104"/>
      <c r="EK187" s="104"/>
      <c r="EL187" s="104"/>
      <c r="EM187" s="104"/>
      <c r="EN187" s="104"/>
      <c r="EO187" s="104"/>
      <c r="EP187" s="104"/>
      <c r="EQ187" s="104"/>
      <c r="ER187" s="104"/>
      <c r="ES187" s="104"/>
      <c r="ET187" s="104"/>
      <c r="EU187" s="104"/>
      <c r="EV187" s="104"/>
      <c r="EW187" s="104"/>
      <c r="EX187" s="104"/>
      <c r="EY187" s="104"/>
      <c r="EZ187" s="104"/>
      <c r="FA187" s="104"/>
      <c r="FB187" s="104"/>
      <c r="FC187" s="104"/>
      <c r="FD187" s="104"/>
      <c r="FE187" s="104"/>
      <c r="FF187" s="104"/>
      <c r="FG187" s="104"/>
      <c r="FH187" s="104"/>
      <c r="FI187" s="104"/>
      <c r="FJ187" s="104"/>
      <c r="FK187" s="104"/>
      <c r="FL187" s="104"/>
      <c r="FM187" s="104"/>
      <c r="FN187" s="104"/>
      <c r="FO187" s="104"/>
      <c r="FP187" s="104"/>
      <c r="FQ187" s="104"/>
      <c r="FR187" s="104"/>
      <c r="FS187" s="104"/>
      <c r="FT187" s="104"/>
      <c r="FU187" s="104"/>
      <c r="FV187" s="104"/>
      <c r="FW187" s="104"/>
      <c r="FX187" s="104"/>
      <c r="FY187" s="104"/>
      <c r="FZ187" s="104"/>
      <c r="GA187" s="104"/>
      <c r="GB187" s="104"/>
      <c r="GC187" s="104"/>
      <c r="GD187" s="104"/>
      <c r="GE187" s="104"/>
      <c r="GF187" s="104"/>
      <c r="GG187" s="104"/>
      <c r="GH187" s="104"/>
      <c r="GI187" s="104"/>
      <c r="GJ187" s="104"/>
      <c r="GK187" s="104"/>
      <c r="GL187" s="104"/>
      <c r="GM187" s="104"/>
      <c r="GN187" s="104"/>
      <c r="GO187" s="104"/>
      <c r="GP187" s="104"/>
      <c r="GQ187" s="104"/>
      <c r="GR187" s="104"/>
      <c r="GS187" s="104"/>
      <c r="GT187" s="104"/>
      <c r="GU187" s="104"/>
      <c r="GV187" s="104"/>
      <c r="GW187" s="104"/>
      <c r="GX187" s="104"/>
      <c r="GY187" s="104"/>
      <c r="GZ187" s="104"/>
      <c r="HA187" s="104"/>
      <c r="HB187" s="104"/>
      <c r="HC187" s="104"/>
      <c r="HD187" s="104"/>
      <c r="HE187" s="104"/>
      <c r="HF187" s="104"/>
      <c r="HG187" s="104"/>
      <c r="HH187" s="104"/>
      <c r="HI187" s="104"/>
      <c r="HJ187" s="104"/>
      <c r="HK187" s="104"/>
      <c r="HL187" s="104"/>
      <c r="HM187" s="104"/>
      <c r="HN187" s="104"/>
      <c r="HO187" s="104"/>
      <c r="HP187" s="104"/>
      <c r="HQ187" s="104"/>
      <c r="HR187" s="104"/>
      <c r="HS187" s="104"/>
      <c r="HT187" s="104"/>
      <c r="HU187" s="104"/>
      <c r="HV187" s="104"/>
      <c r="HW187" s="104"/>
      <c r="HX187" s="104"/>
      <c r="HY187" s="104"/>
      <c r="HZ187" s="104"/>
      <c r="IA187" s="104"/>
      <c r="IB187" s="104"/>
      <c r="IC187" s="104"/>
      <c r="ID187" s="104"/>
      <c r="IE187" s="104"/>
      <c r="IF187" s="104"/>
      <c r="IG187" s="104"/>
      <c r="IH187" s="104"/>
      <c r="II187" s="104"/>
      <c r="IJ187" s="104"/>
      <c r="IK187" s="104"/>
      <c r="IL187" s="104"/>
      <c r="IM187" s="104"/>
      <c r="IN187" s="104"/>
      <c r="IO187" s="104"/>
      <c r="IP187" s="104"/>
      <c r="IQ187" s="104"/>
      <c r="IR187" s="104"/>
      <c r="IS187" s="104"/>
      <c r="IT187" s="104"/>
      <c r="IU187" s="104"/>
      <c r="IV187" s="104"/>
    </row>
    <row r="188" spans="1:256" x14ac:dyDescent="0.2">
      <c r="A188" s="75"/>
      <c r="B188" s="75"/>
      <c r="C188" s="75"/>
      <c r="D188" s="97" t="s">
        <v>211</v>
      </c>
      <c r="E188" s="97"/>
      <c r="F188" s="97"/>
      <c r="G188" s="97"/>
      <c r="H188" s="97"/>
      <c r="I188" s="97"/>
      <c r="J188" s="98">
        <f>J187</f>
        <v>68067.839999999997</v>
      </c>
      <c r="K188" s="98"/>
      <c r="L188" s="98">
        <f>L187</f>
        <v>444876.14</v>
      </c>
      <c r="M188" s="103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  <c r="BJ188" s="104"/>
      <c r="BK188" s="104"/>
      <c r="BL188" s="104"/>
      <c r="BM188" s="104"/>
      <c r="BN188" s="104"/>
      <c r="BO188" s="104"/>
      <c r="BP188" s="104"/>
      <c r="BQ188" s="104"/>
      <c r="BR188" s="104"/>
      <c r="BS188" s="104"/>
      <c r="BT188" s="104"/>
      <c r="BU188" s="104"/>
      <c r="BV188" s="104"/>
      <c r="BW188" s="104"/>
      <c r="BX188" s="104"/>
      <c r="BY188" s="104"/>
      <c r="BZ188" s="104"/>
      <c r="CA188" s="104"/>
      <c r="CB188" s="104"/>
      <c r="CC188" s="104"/>
      <c r="CD188" s="104"/>
      <c r="CE188" s="104"/>
      <c r="CF188" s="104"/>
      <c r="CG188" s="104"/>
      <c r="CH188" s="104"/>
      <c r="CI188" s="104"/>
      <c r="CJ188" s="104"/>
      <c r="CK188" s="104"/>
      <c r="CL188" s="104"/>
      <c r="CM188" s="104"/>
      <c r="CN188" s="104"/>
      <c r="CO188" s="104"/>
      <c r="CP188" s="104"/>
      <c r="CQ188" s="104"/>
      <c r="CR188" s="104"/>
      <c r="CS188" s="104"/>
      <c r="CT188" s="104"/>
      <c r="CU188" s="104"/>
      <c r="CV188" s="104"/>
      <c r="CW188" s="104"/>
      <c r="CX188" s="104"/>
      <c r="CY188" s="104"/>
      <c r="CZ188" s="104"/>
      <c r="DA188" s="104"/>
      <c r="DB188" s="104"/>
      <c r="DC188" s="104"/>
      <c r="DD188" s="104"/>
      <c r="DE188" s="104"/>
      <c r="DF188" s="104"/>
      <c r="DG188" s="104"/>
      <c r="DH188" s="104"/>
      <c r="DI188" s="104"/>
      <c r="DJ188" s="104"/>
      <c r="DK188" s="104"/>
      <c r="DL188" s="104"/>
      <c r="DM188" s="104"/>
      <c r="DN188" s="104"/>
      <c r="DO188" s="104"/>
      <c r="DP188" s="104"/>
      <c r="DQ188" s="104"/>
      <c r="DR188" s="104"/>
      <c r="DS188" s="104"/>
      <c r="DT188" s="104"/>
      <c r="DU188" s="104"/>
      <c r="DV188" s="104"/>
      <c r="DW188" s="104"/>
      <c r="DX188" s="104"/>
      <c r="DY188" s="104"/>
      <c r="DZ188" s="104"/>
      <c r="EA188" s="104"/>
      <c r="EB188" s="104"/>
      <c r="EC188" s="104"/>
      <c r="ED188" s="104"/>
      <c r="EE188" s="104"/>
      <c r="EF188" s="104"/>
      <c r="EG188" s="104"/>
      <c r="EH188" s="104"/>
      <c r="EI188" s="104"/>
      <c r="EJ188" s="104"/>
      <c r="EK188" s="104"/>
      <c r="EL188" s="104"/>
      <c r="EM188" s="104"/>
      <c r="EN188" s="104"/>
      <c r="EO188" s="104"/>
      <c r="EP188" s="104"/>
      <c r="EQ188" s="104"/>
      <c r="ER188" s="104"/>
      <c r="ES188" s="104"/>
      <c r="ET188" s="104"/>
      <c r="EU188" s="104"/>
      <c r="EV188" s="104"/>
      <c r="EW188" s="104"/>
      <c r="EX188" s="104"/>
      <c r="EY188" s="104"/>
      <c r="EZ188" s="104"/>
      <c r="FA188" s="104"/>
      <c r="FB188" s="104"/>
      <c r="FC188" s="104"/>
      <c r="FD188" s="104"/>
      <c r="FE188" s="104"/>
      <c r="FF188" s="104"/>
      <c r="FG188" s="104"/>
      <c r="FH188" s="104"/>
      <c r="FI188" s="104"/>
      <c r="FJ188" s="104"/>
      <c r="FK188" s="104"/>
      <c r="FL188" s="104"/>
      <c r="FM188" s="104"/>
      <c r="FN188" s="104"/>
      <c r="FO188" s="104"/>
      <c r="FP188" s="104"/>
      <c r="FQ188" s="104"/>
      <c r="FR188" s="104"/>
      <c r="FS188" s="104"/>
      <c r="FT188" s="104"/>
      <c r="FU188" s="104"/>
      <c r="FV188" s="104"/>
      <c r="FW188" s="104"/>
      <c r="FX188" s="104"/>
      <c r="FY188" s="104"/>
      <c r="FZ188" s="104"/>
      <c r="GA188" s="104"/>
      <c r="GB188" s="104"/>
      <c r="GC188" s="104"/>
      <c r="GD188" s="104"/>
      <c r="GE188" s="104"/>
      <c r="GF188" s="104"/>
      <c r="GG188" s="104"/>
      <c r="GH188" s="104"/>
      <c r="GI188" s="104"/>
      <c r="GJ188" s="104"/>
      <c r="GK188" s="104"/>
      <c r="GL188" s="104"/>
      <c r="GM188" s="104"/>
      <c r="GN188" s="104"/>
      <c r="GO188" s="104"/>
      <c r="GP188" s="104"/>
      <c r="GQ188" s="104"/>
      <c r="GR188" s="104"/>
      <c r="GS188" s="104"/>
      <c r="GT188" s="104"/>
      <c r="GU188" s="104"/>
      <c r="GV188" s="104"/>
      <c r="GW188" s="104"/>
      <c r="GX188" s="104"/>
      <c r="GY188" s="104"/>
      <c r="GZ188" s="104"/>
      <c r="HA188" s="104"/>
      <c r="HB188" s="104"/>
      <c r="HC188" s="104"/>
      <c r="HD188" s="104"/>
      <c r="HE188" s="104"/>
      <c r="HF188" s="104"/>
      <c r="HG188" s="104"/>
      <c r="HH188" s="104"/>
      <c r="HI188" s="104"/>
      <c r="HJ188" s="104"/>
      <c r="HK188" s="104"/>
      <c r="HL188" s="104"/>
      <c r="HM188" s="104"/>
      <c r="HN188" s="104"/>
      <c r="HO188" s="104"/>
      <c r="HP188" s="104"/>
      <c r="HQ188" s="104"/>
      <c r="HR188" s="104"/>
      <c r="HS188" s="104"/>
      <c r="HT188" s="104"/>
      <c r="HU188" s="104"/>
      <c r="HV188" s="104"/>
      <c r="HW188" s="104"/>
      <c r="HX188" s="104"/>
      <c r="HY188" s="104"/>
      <c r="HZ188" s="104"/>
      <c r="IA188" s="104"/>
      <c r="IB188" s="104"/>
      <c r="IC188" s="104"/>
      <c r="ID188" s="104"/>
      <c r="IE188" s="104"/>
      <c r="IF188" s="104"/>
      <c r="IG188" s="104"/>
      <c r="IH188" s="104"/>
      <c r="II188" s="104"/>
      <c r="IJ188" s="104"/>
      <c r="IK188" s="104"/>
      <c r="IL188" s="104"/>
      <c r="IM188" s="104"/>
      <c r="IN188" s="104"/>
      <c r="IO188" s="104"/>
      <c r="IP188" s="104"/>
      <c r="IQ188" s="104"/>
      <c r="IR188" s="104"/>
      <c r="IS188" s="104"/>
      <c r="IT188" s="104"/>
      <c r="IU188" s="104"/>
      <c r="IV188" s="104"/>
    </row>
    <row r="189" spans="1:256" x14ac:dyDescent="0.2">
      <c r="A189" s="75"/>
      <c r="B189" s="75"/>
      <c r="C189" s="75"/>
      <c r="D189" s="97" t="s">
        <v>212</v>
      </c>
      <c r="E189" s="97"/>
      <c r="F189" s="97"/>
      <c r="G189" s="97"/>
      <c r="H189" s="97"/>
      <c r="I189" s="97"/>
      <c r="J189" s="98">
        <f>J180</f>
        <v>5013.4799999999996</v>
      </c>
      <c r="K189" s="98"/>
      <c r="L189" s="98">
        <f>L180*0.925</f>
        <v>111021</v>
      </c>
      <c r="M189" s="103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  <c r="BJ189" s="104"/>
      <c r="BK189" s="104"/>
      <c r="BL189" s="104"/>
      <c r="BM189" s="104"/>
      <c r="BN189" s="104"/>
      <c r="BO189" s="104"/>
      <c r="BP189" s="104"/>
      <c r="BQ189" s="104"/>
      <c r="BR189" s="104"/>
      <c r="BS189" s="104"/>
      <c r="BT189" s="104"/>
      <c r="BU189" s="104"/>
      <c r="BV189" s="104"/>
      <c r="BW189" s="104"/>
      <c r="BX189" s="104"/>
      <c r="BY189" s="104"/>
      <c r="BZ189" s="104"/>
      <c r="CA189" s="104"/>
      <c r="CB189" s="104"/>
      <c r="CC189" s="104"/>
      <c r="CD189" s="104"/>
      <c r="CE189" s="104"/>
      <c r="CF189" s="104"/>
      <c r="CG189" s="104"/>
      <c r="CH189" s="104"/>
      <c r="CI189" s="104"/>
      <c r="CJ189" s="104"/>
      <c r="CK189" s="104"/>
      <c r="CL189" s="104"/>
      <c r="CM189" s="104"/>
      <c r="CN189" s="104"/>
      <c r="CO189" s="104"/>
      <c r="CP189" s="104"/>
      <c r="CQ189" s="104"/>
      <c r="CR189" s="104"/>
      <c r="CS189" s="104"/>
      <c r="CT189" s="104"/>
      <c r="CU189" s="104"/>
      <c r="CV189" s="104"/>
      <c r="CW189" s="104"/>
      <c r="CX189" s="104"/>
      <c r="CY189" s="104"/>
      <c r="CZ189" s="104"/>
      <c r="DA189" s="104"/>
      <c r="DB189" s="104"/>
      <c r="DC189" s="104"/>
      <c r="DD189" s="104"/>
      <c r="DE189" s="104"/>
      <c r="DF189" s="104"/>
      <c r="DG189" s="104"/>
      <c r="DH189" s="104"/>
      <c r="DI189" s="104"/>
      <c r="DJ189" s="104"/>
      <c r="DK189" s="104"/>
      <c r="DL189" s="104"/>
      <c r="DM189" s="104"/>
      <c r="DN189" s="104"/>
      <c r="DO189" s="104"/>
      <c r="DP189" s="104"/>
      <c r="DQ189" s="104"/>
      <c r="DR189" s="104"/>
      <c r="DS189" s="104"/>
      <c r="DT189" s="104"/>
      <c r="DU189" s="104"/>
      <c r="DV189" s="104"/>
      <c r="DW189" s="104"/>
      <c r="DX189" s="104"/>
      <c r="DY189" s="104"/>
      <c r="DZ189" s="104"/>
      <c r="EA189" s="104"/>
      <c r="EB189" s="104"/>
      <c r="EC189" s="104"/>
      <c r="ED189" s="104"/>
      <c r="EE189" s="104"/>
      <c r="EF189" s="104"/>
      <c r="EG189" s="104"/>
      <c r="EH189" s="104"/>
      <c r="EI189" s="104"/>
      <c r="EJ189" s="104"/>
      <c r="EK189" s="104"/>
      <c r="EL189" s="104"/>
      <c r="EM189" s="104"/>
      <c r="EN189" s="104"/>
      <c r="EO189" s="104"/>
      <c r="EP189" s="104"/>
      <c r="EQ189" s="104"/>
      <c r="ER189" s="104"/>
      <c r="ES189" s="104"/>
      <c r="ET189" s="104"/>
      <c r="EU189" s="104"/>
      <c r="EV189" s="104"/>
      <c r="EW189" s="104"/>
      <c r="EX189" s="104"/>
      <c r="EY189" s="104"/>
      <c r="EZ189" s="104"/>
      <c r="FA189" s="104"/>
      <c r="FB189" s="104"/>
      <c r="FC189" s="104"/>
      <c r="FD189" s="104"/>
      <c r="FE189" s="104"/>
      <c r="FF189" s="104"/>
      <c r="FG189" s="104"/>
      <c r="FH189" s="104"/>
      <c r="FI189" s="104"/>
      <c r="FJ189" s="104"/>
      <c r="FK189" s="104"/>
      <c r="FL189" s="104"/>
      <c r="FM189" s="104"/>
      <c r="FN189" s="104"/>
      <c r="FO189" s="104"/>
      <c r="FP189" s="104"/>
      <c r="FQ189" s="104"/>
      <c r="FR189" s="104"/>
      <c r="FS189" s="104"/>
      <c r="FT189" s="104"/>
      <c r="FU189" s="104"/>
      <c r="FV189" s="104"/>
      <c r="FW189" s="104"/>
      <c r="FX189" s="104"/>
      <c r="FY189" s="104"/>
      <c r="FZ189" s="104"/>
      <c r="GA189" s="104"/>
      <c r="GB189" s="104"/>
      <c r="GC189" s="104"/>
      <c r="GD189" s="104"/>
      <c r="GE189" s="104"/>
      <c r="GF189" s="104"/>
      <c r="GG189" s="104"/>
      <c r="GH189" s="104"/>
      <c r="GI189" s="104"/>
      <c r="GJ189" s="104"/>
      <c r="GK189" s="104"/>
      <c r="GL189" s="104"/>
      <c r="GM189" s="104"/>
      <c r="GN189" s="104"/>
      <c r="GO189" s="104"/>
      <c r="GP189" s="104"/>
      <c r="GQ189" s="104"/>
      <c r="GR189" s="104"/>
      <c r="GS189" s="104"/>
      <c r="GT189" s="104"/>
      <c r="GU189" s="104"/>
      <c r="GV189" s="104"/>
      <c r="GW189" s="104"/>
      <c r="GX189" s="104"/>
      <c r="GY189" s="104"/>
      <c r="GZ189" s="104"/>
      <c r="HA189" s="104"/>
      <c r="HB189" s="104"/>
      <c r="HC189" s="104"/>
      <c r="HD189" s="104"/>
      <c r="HE189" s="104"/>
      <c r="HF189" s="104"/>
      <c r="HG189" s="104"/>
      <c r="HH189" s="104"/>
      <c r="HI189" s="104"/>
      <c r="HJ189" s="104"/>
      <c r="HK189" s="104"/>
      <c r="HL189" s="104"/>
      <c r="HM189" s="104"/>
      <c r="HN189" s="104"/>
      <c r="HO189" s="104"/>
      <c r="HP189" s="104"/>
      <c r="HQ189" s="104"/>
      <c r="HR189" s="104"/>
      <c r="HS189" s="104"/>
      <c r="HT189" s="104"/>
      <c r="HU189" s="104"/>
      <c r="HV189" s="104"/>
      <c r="HW189" s="104"/>
      <c r="HX189" s="104"/>
      <c r="HY189" s="104"/>
      <c r="HZ189" s="104"/>
      <c r="IA189" s="104"/>
      <c r="IB189" s="104"/>
      <c r="IC189" s="104"/>
      <c r="ID189" s="104"/>
      <c r="IE189" s="104"/>
      <c r="IF189" s="104"/>
      <c r="IG189" s="104"/>
      <c r="IH189" s="104"/>
      <c r="II189" s="104"/>
      <c r="IJ189" s="104"/>
      <c r="IK189" s="104"/>
      <c r="IL189" s="104"/>
      <c r="IM189" s="104"/>
      <c r="IN189" s="104"/>
      <c r="IO189" s="104"/>
      <c r="IP189" s="104"/>
      <c r="IQ189" s="104"/>
      <c r="IR189" s="104"/>
      <c r="IS189" s="104"/>
      <c r="IT189" s="104"/>
      <c r="IU189" s="104"/>
      <c r="IV189" s="104"/>
    </row>
    <row r="190" spans="1:256" x14ac:dyDescent="0.2">
      <c r="A190" s="75"/>
      <c r="B190" s="75"/>
      <c r="C190" s="75"/>
      <c r="D190" s="97" t="s">
        <v>213</v>
      </c>
      <c r="E190" s="97"/>
      <c r="F190" s="97"/>
      <c r="G190" s="97"/>
      <c r="H190" s="97"/>
      <c r="I190" s="97"/>
      <c r="J190" s="98">
        <f>J181</f>
        <v>51884.1</v>
      </c>
      <c r="K190" s="98"/>
      <c r="L190" s="98">
        <f>L181*0.925</f>
        <v>171519.19</v>
      </c>
      <c r="M190" s="103"/>
    </row>
    <row r="191" spans="1:256" x14ac:dyDescent="0.2">
      <c r="A191" s="75"/>
      <c r="B191" s="75"/>
      <c r="C191" s="75"/>
      <c r="D191" s="105" t="s">
        <v>214</v>
      </c>
      <c r="E191" s="97"/>
      <c r="F191" s="97"/>
      <c r="G191" s="97"/>
      <c r="H191" s="97"/>
      <c r="I191" s="97"/>
      <c r="J191" s="106">
        <v>0</v>
      </c>
      <c r="K191" s="98"/>
      <c r="L191" s="106">
        <v>0</v>
      </c>
      <c r="M191" s="103"/>
    </row>
    <row r="192" spans="1:256" x14ac:dyDescent="0.2">
      <c r="A192" s="75"/>
      <c r="B192" s="75"/>
      <c r="C192" s="75"/>
      <c r="D192" s="97" t="s">
        <v>215</v>
      </c>
      <c r="E192" s="97"/>
      <c r="F192" s="97"/>
      <c r="G192" s="97"/>
      <c r="H192" s="97"/>
      <c r="I192" s="97"/>
      <c r="J192" s="98">
        <f>J189*0.15</f>
        <v>752.02</v>
      </c>
      <c r="K192" s="98"/>
      <c r="L192" s="98">
        <f>L189*0.15</f>
        <v>16653.150000000001</v>
      </c>
      <c r="M192" s="103"/>
    </row>
    <row r="193" spans="1:37" x14ac:dyDescent="0.2">
      <c r="A193" s="75"/>
      <c r="B193" s="75"/>
      <c r="C193" s="75"/>
      <c r="D193" s="99" t="s">
        <v>218</v>
      </c>
      <c r="E193" s="100"/>
      <c r="F193" s="100"/>
      <c r="G193" s="100"/>
      <c r="H193" s="100"/>
      <c r="I193" s="100"/>
      <c r="J193" s="102">
        <f>J192+J187</f>
        <v>68819.86</v>
      </c>
      <c r="K193" s="100"/>
      <c r="L193" s="102">
        <f>L192+L187</f>
        <v>461529.29</v>
      </c>
      <c r="M193" s="103"/>
    </row>
    <row r="194" spans="1:37" x14ac:dyDescent="0.2">
      <c r="A194" s="75"/>
      <c r="B194" s="75"/>
      <c r="C194" s="75"/>
      <c r="D194" s="107"/>
      <c r="E194" s="107"/>
      <c r="F194" s="107"/>
      <c r="G194" s="107"/>
      <c r="H194" s="107"/>
      <c r="I194" s="107"/>
      <c r="J194" s="107"/>
      <c r="K194" s="107"/>
      <c r="L194" s="107"/>
      <c r="M194" s="103"/>
    </row>
    <row r="195" spans="1:37" x14ac:dyDescent="0.2">
      <c r="A195" s="75"/>
      <c r="B195" s="75"/>
      <c r="C195" s="75"/>
      <c r="D195" s="107"/>
      <c r="E195" s="107"/>
      <c r="F195" s="107"/>
      <c r="G195" s="107"/>
      <c r="H195" s="107"/>
      <c r="I195" s="107"/>
      <c r="J195" s="107"/>
      <c r="K195" s="107"/>
      <c r="L195" s="107"/>
      <c r="M195" s="103"/>
    </row>
    <row r="196" spans="1:37" x14ac:dyDescent="0.2">
      <c r="A196" s="75"/>
      <c r="B196" s="75"/>
      <c r="C196" s="75"/>
      <c r="D196" s="108" t="s">
        <v>219</v>
      </c>
      <c r="E196" s="109"/>
      <c r="F196" s="109"/>
      <c r="G196" s="109"/>
      <c r="H196" s="109"/>
      <c r="I196" s="110"/>
      <c r="J196" s="111">
        <f>J193</f>
        <v>68819.86</v>
      </c>
      <c r="K196" s="112"/>
      <c r="L196" s="111">
        <f>L193</f>
        <v>461529.29</v>
      </c>
      <c r="M196" s="103"/>
    </row>
    <row r="197" spans="1:37" x14ac:dyDescent="0.2">
      <c r="A197" s="75"/>
      <c r="B197" s="75"/>
      <c r="C197" s="75"/>
      <c r="D197" s="113" t="s">
        <v>220</v>
      </c>
      <c r="E197" s="114"/>
      <c r="F197" s="114"/>
      <c r="G197" s="114"/>
      <c r="H197" s="114"/>
      <c r="I197" s="115"/>
      <c r="J197" s="116">
        <f>J188</f>
        <v>68067.839999999997</v>
      </c>
      <c r="K197" s="117"/>
      <c r="L197" s="116">
        <f>L188</f>
        <v>444876.14</v>
      </c>
      <c r="M197" s="103"/>
    </row>
    <row r="198" spans="1:37" x14ac:dyDescent="0.2">
      <c r="A198" s="75"/>
      <c r="B198" s="75"/>
      <c r="C198" s="75"/>
      <c r="D198" s="113" t="s">
        <v>221</v>
      </c>
      <c r="E198" s="114"/>
      <c r="F198" s="114"/>
      <c r="G198" s="114"/>
      <c r="H198" s="114"/>
      <c r="I198" s="115"/>
      <c r="J198" s="116">
        <f>J192</f>
        <v>752.02</v>
      </c>
      <c r="K198" s="118"/>
      <c r="L198" s="116">
        <f>L192</f>
        <v>16653.150000000001</v>
      </c>
      <c r="M198" s="103"/>
    </row>
    <row r="199" spans="1:37" x14ac:dyDescent="0.2">
      <c r="A199" s="75"/>
      <c r="B199" s="75"/>
      <c r="C199" s="75"/>
      <c r="D199" s="113" t="s">
        <v>222</v>
      </c>
      <c r="E199" s="114"/>
      <c r="F199" s="114"/>
      <c r="G199" s="114"/>
      <c r="H199" s="114"/>
      <c r="I199" s="115"/>
      <c r="J199" s="116">
        <v>0</v>
      </c>
      <c r="K199" s="116"/>
      <c r="L199" s="116">
        <v>0</v>
      </c>
      <c r="M199" s="103"/>
    </row>
    <row r="200" spans="1:37" x14ac:dyDescent="0.2">
      <c r="A200" s="75"/>
      <c r="B200" s="75"/>
      <c r="C200" s="75"/>
      <c r="D200" s="113" t="s">
        <v>223</v>
      </c>
      <c r="E200" s="114"/>
      <c r="F200" s="114"/>
      <c r="G200" s="114"/>
      <c r="H200" s="114"/>
      <c r="I200" s="115"/>
      <c r="J200" s="119">
        <v>0</v>
      </c>
      <c r="K200" s="119"/>
      <c r="L200" s="119">
        <v>0</v>
      </c>
      <c r="M200" s="103"/>
    </row>
    <row r="203" spans="1:37" ht="15.75" x14ac:dyDescent="0.25">
      <c r="D203" s="559" t="s">
        <v>401</v>
      </c>
      <c r="E203" s="560"/>
      <c r="F203" s="560"/>
      <c r="G203" s="336"/>
      <c r="H203" s="337"/>
      <c r="I203" s="561">
        <f>'1_6.1'!J178+'2_6.2'!J161+'3_6.4'!J145+'4_6.5'!J62+'5_6.6'!J71+'6_6.7'!J169+'7_6.8'!J498+'8_6.9'!J184</f>
        <v>3595613</v>
      </c>
      <c r="J203" s="562"/>
      <c r="K203" s="563">
        <f>'1_6.1'!L187+'2_6.2'!L170+'3_6.4'!L154+'4_6.5'!L71+'5_6.6'!L80+'6_6.7'!L178+'7_6.8'!L507+'8_6.9'!L193</f>
        <v>17134907.399999999</v>
      </c>
      <c r="L203" s="564"/>
      <c r="M203" s="410">
        <f>J184+'7_6.8'!J498+'6_6.7'!J169+'5_6.6'!J71+'4_6.5'!J62+'3_6.4'!J145+'2_6.2'!J161+'1_6.1'!J178</f>
        <v>3595613.13</v>
      </c>
    </row>
    <row r="204" spans="1:37" ht="15.75" x14ac:dyDescent="0.25">
      <c r="D204" s="338" t="s">
        <v>397</v>
      </c>
      <c r="E204" s="339"/>
      <c r="F204" s="339"/>
      <c r="G204" s="339"/>
      <c r="H204" s="339"/>
      <c r="I204" s="565">
        <f>I203-I205</f>
        <v>3581282</v>
      </c>
      <c r="J204" s="566"/>
      <c r="K204" s="567">
        <f>K203-K205</f>
        <v>16817548.140000001</v>
      </c>
      <c r="L204" s="568"/>
      <c r="M204" s="411">
        <f>M203-M205</f>
        <v>3581282</v>
      </c>
      <c r="N204" s="412"/>
    </row>
    <row r="205" spans="1:37" ht="15.75" x14ac:dyDescent="0.25">
      <c r="D205" s="340" t="s">
        <v>398</v>
      </c>
      <c r="E205" s="339"/>
      <c r="F205" s="339"/>
      <c r="G205" s="339"/>
      <c r="H205" s="339"/>
      <c r="I205" s="569">
        <f>'1_6.1'!J177+'2_6.2'!J160+'3_6.4'!J144+'4_6.5'!J61+'5_6.6'!J70+'6_6.7'!J168+'7_6.8'!J497+'8_6.9'!J183</f>
        <v>14331</v>
      </c>
      <c r="J205" s="570"/>
      <c r="K205" s="571">
        <f>'1_6.1'!L186+'2_6.2'!L169+'3_6.4'!L153+'4_6.5'!L70+'5_6.6'!L79+'6_6.7'!L177+'7_6.8'!L506+'8_6.9'!L192</f>
        <v>317359.26</v>
      </c>
      <c r="L205" s="572"/>
      <c r="M205" s="410">
        <f>J183+'7_6.8'!J497+'6_6.7'!J168+'5_6.6'!J70+'4_6.5'!J61+'3_6.4'!J144+'2_6.2'!J160+'1_6.1'!J177</f>
        <v>14331</v>
      </c>
      <c r="AK205" s="343">
        <f>'1_6.1'!J178+'2_6.2'!J161+'3_6.4'!J145+'4_6.5'!J62+'5_6.6'!J71+'6_6.7'!J169+'7_6.8'!J498+'8_6.9'!J184</f>
        <v>3595613.13</v>
      </c>
    </row>
    <row r="206" spans="1:37" ht="15.75" x14ac:dyDescent="0.25">
      <c r="D206" s="340" t="s">
        <v>399</v>
      </c>
      <c r="E206" s="339"/>
      <c r="F206" s="339"/>
      <c r="G206" s="339"/>
      <c r="H206" s="339"/>
      <c r="I206" s="569">
        <v>0</v>
      </c>
      <c r="J206" s="570"/>
      <c r="K206" s="569"/>
      <c r="L206" s="570"/>
      <c r="AK206" s="343">
        <f>'1_6.1'!J177+'2_6.2'!J160+'3_6.4'!J144+'4_6.5'!J61+'5_6.6'!J70+'6_6.7'!J168+'7_6.8'!J497+'8_6.9'!J183</f>
        <v>14331.3</v>
      </c>
    </row>
    <row r="207" spans="1:37" ht="15.75" x14ac:dyDescent="0.25">
      <c r="D207" s="340" t="s">
        <v>400</v>
      </c>
      <c r="E207" s="341"/>
      <c r="F207" s="339"/>
      <c r="G207" s="339"/>
      <c r="H207" s="342"/>
      <c r="I207" s="555"/>
      <c r="J207" s="556"/>
      <c r="K207" s="557"/>
      <c r="L207" s="558"/>
    </row>
    <row r="209" spans="1:14" x14ac:dyDescent="0.2">
      <c r="L209" s="344"/>
      <c r="M209" s="413"/>
    </row>
    <row r="211" spans="1:14" x14ac:dyDescent="0.2">
      <c r="L211" s="343"/>
    </row>
    <row r="214" spans="1:14" x14ac:dyDescent="0.2">
      <c r="A214" s="544" t="s">
        <v>224</v>
      </c>
      <c r="B214" s="544"/>
      <c r="C214" s="544"/>
      <c r="D214" s="544"/>
      <c r="E214" s="544"/>
      <c r="F214" s="544"/>
      <c r="G214" s="544"/>
      <c r="H214" s="544"/>
      <c r="I214" s="544"/>
      <c r="J214" s="120"/>
      <c r="K214" s="545" t="s">
        <v>228</v>
      </c>
      <c r="L214" s="545"/>
      <c r="M214" s="103"/>
      <c r="N214" s="104"/>
    </row>
    <row r="215" spans="1:14" x14ac:dyDescent="0.2">
      <c r="A215" s="107"/>
      <c r="B215" s="107"/>
      <c r="C215" s="107"/>
      <c r="D215" s="546"/>
      <c r="E215" s="546"/>
      <c r="F215" s="107"/>
      <c r="G215" s="107"/>
      <c r="H215" s="547"/>
      <c r="I215" s="547"/>
      <c r="J215" s="547"/>
      <c r="K215" s="547"/>
      <c r="L215" s="547"/>
      <c r="M215" s="103"/>
      <c r="N215" s="104"/>
    </row>
    <row r="216" spans="1:14" x14ac:dyDescent="0.2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2"/>
      <c r="N216" s="123"/>
    </row>
    <row r="217" spans="1:14" x14ac:dyDescent="0.2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2"/>
      <c r="N217" s="123"/>
    </row>
    <row r="218" spans="1:14" x14ac:dyDescent="0.2">
      <c r="A218" s="124" t="s">
        <v>225</v>
      </c>
      <c r="B218" s="124"/>
      <c r="C218" s="124"/>
      <c r="D218" s="124"/>
      <c r="E218" s="124"/>
      <c r="F218" s="124"/>
      <c r="G218" s="124"/>
      <c r="H218" s="124"/>
      <c r="I218" s="124"/>
      <c r="J218" s="545" t="s">
        <v>226</v>
      </c>
      <c r="K218" s="545"/>
      <c r="L218" s="545"/>
      <c r="M218" s="103"/>
      <c r="N218" s="104"/>
    </row>
  </sheetData>
  <mergeCells count="112">
    <mergeCell ref="D215:E215"/>
    <mergeCell ref="H215:L215"/>
    <mergeCell ref="J218:L218"/>
    <mergeCell ref="A16:L16"/>
    <mergeCell ref="D174:H174"/>
    <mergeCell ref="D175:H175"/>
    <mergeCell ref="A214:I214"/>
    <mergeCell ref="K214:L214"/>
    <mergeCell ref="A163:H163"/>
    <mergeCell ref="I163:J163"/>
    <mergeCell ref="K163:L163"/>
    <mergeCell ref="A167:H167"/>
    <mergeCell ref="I167:J167"/>
    <mergeCell ref="K167:L167"/>
    <mergeCell ref="D172:H172"/>
    <mergeCell ref="I172:J172"/>
    <mergeCell ref="K172:L172"/>
    <mergeCell ref="D170:H170"/>
    <mergeCell ref="I170:J170"/>
    <mergeCell ref="K170:L170"/>
    <mergeCell ref="D171:H171"/>
    <mergeCell ref="I171:J171"/>
    <mergeCell ref="K171:L171"/>
    <mergeCell ref="I154:J154"/>
    <mergeCell ref="K154:L154"/>
    <mergeCell ref="I156:J156"/>
    <mergeCell ref="K156:L156"/>
    <mergeCell ref="A159:H159"/>
    <mergeCell ref="I159:J159"/>
    <mergeCell ref="K159:L159"/>
    <mergeCell ref="I136:J136"/>
    <mergeCell ref="K136:L136"/>
    <mergeCell ref="I147:J147"/>
    <mergeCell ref="K147:L147"/>
    <mergeCell ref="I152:J152"/>
    <mergeCell ref="K152:L152"/>
    <mergeCell ref="I118:J118"/>
    <mergeCell ref="K118:L118"/>
    <mergeCell ref="I129:J129"/>
    <mergeCell ref="K129:L129"/>
    <mergeCell ref="I134:J134"/>
    <mergeCell ref="K134:L134"/>
    <mergeCell ref="I100:J100"/>
    <mergeCell ref="K100:L100"/>
    <mergeCell ref="I111:J111"/>
    <mergeCell ref="K111:L111"/>
    <mergeCell ref="I116:J116"/>
    <mergeCell ref="K116:L116"/>
    <mergeCell ref="I82:J82"/>
    <mergeCell ref="K82:L82"/>
    <mergeCell ref="I93:J93"/>
    <mergeCell ref="K93:L93"/>
    <mergeCell ref="I98:J98"/>
    <mergeCell ref="K98:L98"/>
    <mergeCell ref="I76:J76"/>
    <mergeCell ref="K76:L76"/>
    <mergeCell ref="I78:J78"/>
    <mergeCell ref="K78:L78"/>
    <mergeCell ref="I80:J80"/>
    <mergeCell ref="K80:L80"/>
    <mergeCell ref="I59:J59"/>
    <mergeCell ref="K59:L59"/>
    <mergeCell ref="I61:J61"/>
    <mergeCell ref="K61:L61"/>
    <mergeCell ref="I71:J71"/>
    <mergeCell ref="K71:L71"/>
    <mergeCell ref="I42:J42"/>
    <mergeCell ref="K42:L42"/>
    <mergeCell ref="I52:J52"/>
    <mergeCell ref="K52:L52"/>
    <mergeCell ref="I57:J57"/>
    <mergeCell ref="K57:L57"/>
    <mergeCell ref="A1:L1"/>
    <mergeCell ref="A2:L2"/>
    <mergeCell ref="J5:J9"/>
    <mergeCell ref="K5:K9"/>
    <mergeCell ref="L5:L9"/>
    <mergeCell ref="A6:A9"/>
    <mergeCell ref="B6:B9"/>
    <mergeCell ref="A4:L4"/>
    <mergeCell ref="A5:B5"/>
    <mergeCell ref="C5:C9"/>
    <mergeCell ref="D5:D9"/>
    <mergeCell ref="E5:E9"/>
    <mergeCell ref="F5:F9"/>
    <mergeCell ref="G5:G9"/>
    <mergeCell ref="H5:H9"/>
    <mergeCell ref="I5:I9"/>
    <mergeCell ref="A12:L12"/>
    <mergeCell ref="A13:L13"/>
    <mergeCell ref="A14:L14"/>
    <mergeCell ref="A15:L15"/>
    <mergeCell ref="I40:J40"/>
    <mergeCell ref="K40:L40"/>
    <mergeCell ref="A20:L20"/>
    <mergeCell ref="A22:L22"/>
    <mergeCell ref="I33:J33"/>
    <mergeCell ref="K33:L33"/>
    <mergeCell ref="I38:J38"/>
    <mergeCell ref="K38:L38"/>
    <mergeCell ref="A17:L17"/>
    <mergeCell ref="I207:J207"/>
    <mergeCell ref="K207:L207"/>
    <mergeCell ref="D203:F203"/>
    <mergeCell ref="I203:J203"/>
    <mergeCell ref="K203:L203"/>
    <mergeCell ref="I204:J204"/>
    <mergeCell ref="K204:L204"/>
    <mergeCell ref="I205:J205"/>
    <mergeCell ref="K205:L205"/>
    <mergeCell ref="I206:J206"/>
    <mergeCell ref="K206:L206"/>
  </mergeCells>
  <pageMargins left="0.39370078740157483" right="0.19685039370078741" top="0.19685039370078741" bottom="0.39370078740157483" header="0.19685039370078741" footer="0.19685039370078741"/>
  <pageSetup paperSize="9" scale="57" firstPageNumber="25" fitToHeight="0" orientation="portrait" useFirstPageNumber="1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zoomScale="55" zoomScaleNormal="55" workbookViewId="0">
      <selection activeCell="D9" sqref="D9:D17"/>
    </sheetView>
  </sheetViews>
  <sheetFormatPr defaultColWidth="36.28515625" defaultRowHeight="12.75" x14ac:dyDescent="0.2"/>
  <cols>
    <col min="1" max="1" width="14.5703125" customWidth="1"/>
    <col min="2" max="2" width="27.7109375" customWidth="1"/>
    <col min="4" max="4" width="48.42578125" customWidth="1"/>
    <col min="5" max="5" width="22" customWidth="1"/>
    <col min="6" max="6" width="20.140625" customWidth="1"/>
    <col min="7" max="7" width="17.85546875" customWidth="1"/>
  </cols>
  <sheetData>
    <row r="1" spans="1:7" ht="18.75" x14ac:dyDescent="0.3">
      <c r="A1" s="137"/>
      <c r="B1" s="138"/>
      <c r="C1" s="139"/>
      <c r="D1" s="139"/>
      <c r="E1" s="140"/>
      <c r="F1" s="141"/>
      <c r="G1" s="141"/>
    </row>
    <row r="2" spans="1:7" ht="18.75" x14ac:dyDescent="0.3">
      <c r="A2" s="430" t="s">
        <v>237</v>
      </c>
      <c r="B2" s="430"/>
      <c r="C2" s="430"/>
      <c r="D2" s="430"/>
      <c r="E2" s="430"/>
      <c r="F2" s="430"/>
      <c r="G2" s="430"/>
    </row>
    <row r="3" spans="1:7" ht="18.75" x14ac:dyDescent="0.3">
      <c r="A3" s="430" t="s">
        <v>238</v>
      </c>
      <c r="B3" s="430"/>
      <c r="C3" s="430"/>
      <c r="D3" s="430"/>
      <c r="E3" s="430"/>
      <c r="F3" s="430"/>
      <c r="G3" s="430"/>
    </row>
    <row r="4" spans="1:7" ht="16.5" thickBot="1" x14ac:dyDescent="0.3">
      <c r="A4" s="142"/>
      <c r="B4" s="143"/>
      <c r="C4" s="142"/>
      <c r="D4" s="144"/>
      <c r="E4" s="145"/>
      <c r="F4" s="146"/>
      <c r="G4" s="146"/>
    </row>
    <row r="5" spans="1:7" ht="16.5" thickBot="1" x14ac:dyDescent="0.25">
      <c r="A5" s="431" t="s">
        <v>239</v>
      </c>
      <c r="B5" s="434" t="s">
        <v>240</v>
      </c>
      <c r="C5" s="431" t="s">
        <v>241</v>
      </c>
      <c r="D5" s="437" t="s">
        <v>242</v>
      </c>
      <c r="E5" s="440" t="s">
        <v>243</v>
      </c>
      <c r="F5" s="440"/>
      <c r="G5" s="441"/>
    </row>
    <row r="6" spans="1:7" ht="15.75" x14ac:dyDescent="0.2">
      <c r="A6" s="432"/>
      <c r="B6" s="435"/>
      <c r="C6" s="432"/>
      <c r="D6" s="438"/>
      <c r="E6" s="431" t="s">
        <v>244</v>
      </c>
      <c r="F6" s="442" t="s">
        <v>245</v>
      </c>
      <c r="G6" s="443"/>
    </row>
    <row r="7" spans="1:7" ht="32.25" thickBot="1" x14ac:dyDescent="0.25">
      <c r="A7" s="433"/>
      <c r="B7" s="436"/>
      <c r="C7" s="433"/>
      <c r="D7" s="439"/>
      <c r="E7" s="433"/>
      <c r="F7" s="147" t="s">
        <v>246</v>
      </c>
      <c r="G7" s="148" t="s">
        <v>247</v>
      </c>
    </row>
    <row r="8" spans="1:7" ht="20.25" x14ac:dyDescent="0.2">
      <c r="A8" s="184" t="s">
        <v>248</v>
      </c>
      <c r="B8" s="184" t="s">
        <v>249</v>
      </c>
      <c r="C8" s="184" t="s">
        <v>250</v>
      </c>
      <c r="D8" s="184" t="s">
        <v>251</v>
      </c>
      <c r="E8" s="184" t="s">
        <v>252</v>
      </c>
      <c r="F8" s="184" t="s">
        <v>253</v>
      </c>
      <c r="G8" s="184" t="s">
        <v>254</v>
      </c>
    </row>
    <row r="9" spans="1:7" ht="94.5" x14ac:dyDescent="0.2">
      <c r="A9" s="187" t="s">
        <v>261</v>
      </c>
      <c r="B9" s="185"/>
      <c r="C9" s="188" t="s">
        <v>255</v>
      </c>
      <c r="D9" s="188" t="s">
        <v>106</v>
      </c>
      <c r="E9" s="185">
        <f>(F9+G9)*0.925</f>
        <v>237183.95</v>
      </c>
      <c r="F9" s="190">
        <f>'1_6.1'!L173</f>
        <v>247417.79</v>
      </c>
      <c r="G9" s="190">
        <f>'1_6.1'!L177</f>
        <v>8997.2900000000009</v>
      </c>
    </row>
    <row r="10" spans="1:7" ht="78.75" x14ac:dyDescent="0.2">
      <c r="A10" s="187" t="s">
        <v>262</v>
      </c>
      <c r="B10" s="185"/>
      <c r="C10" s="188" t="s">
        <v>267</v>
      </c>
      <c r="D10" s="188" t="s">
        <v>53</v>
      </c>
      <c r="E10" s="185">
        <f t="shared" ref="E10:E17" si="0">(F10+G10)*0.925</f>
        <v>460880.14</v>
      </c>
      <c r="F10" s="190">
        <f>'2_6.2'!L155</f>
        <v>486713.54</v>
      </c>
      <c r="G10" s="190">
        <f>'2_6.2'!L160</f>
        <v>11535.26</v>
      </c>
    </row>
    <row r="11" spans="1:7" ht="63" x14ac:dyDescent="0.2">
      <c r="A11" s="187" t="s">
        <v>265</v>
      </c>
      <c r="B11" s="185"/>
      <c r="C11" s="188" t="s">
        <v>268</v>
      </c>
      <c r="D11" s="188" t="s">
        <v>108</v>
      </c>
      <c r="E11" s="185" t="e">
        <f t="shared" si="0"/>
        <v>#REF!</v>
      </c>
      <c r="F11" s="190" t="e">
        <f>#REF!</f>
        <v>#REF!</v>
      </c>
      <c r="G11" s="190" t="e">
        <f>#REF!</f>
        <v>#REF!</v>
      </c>
    </row>
    <row r="12" spans="1:7" ht="63" x14ac:dyDescent="0.2">
      <c r="A12" s="187" t="s">
        <v>266</v>
      </c>
      <c r="B12" s="185"/>
      <c r="C12" s="188" t="s">
        <v>257</v>
      </c>
      <c r="D12" s="188" t="s">
        <v>122</v>
      </c>
      <c r="E12" s="185">
        <f t="shared" si="0"/>
        <v>877262.38</v>
      </c>
      <c r="F12" s="190">
        <f>'3_6.4'!L139</f>
        <v>933026.9</v>
      </c>
      <c r="G12" s="190">
        <f>'3_6.4'!L144</f>
        <v>15364.86</v>
      </c>
    </row>
    <row r="13" spans="1:7" ht="63" x14ac:dyDescent="0.2">
      <c r="A13" s="187" t="s">
        <v>269</v>
      </c>
      <c r="B13" s="149"/>
      <c r="C13" s="188" t="s">
        <v>274</v>
      </c>
      <c r="D13" s="188" t="s">
        <v>276</v>
      </c>
      <c r="E13" s="185">
        <f t="shared" si="0"/>
        <v>153930.89000000001</v>
      </c>
      <c r="F13" s="190">
        <f>'4_6.5'!L56</f>
        <v>157162.60999999999</v>
      </c>
      <c r="G13" s="190">
        <f>'4_6.5'!L61</f>
        <v>9249.16</v>
      </c>
    </row>
    <row r="14" spans="1:7" ht="78.75" x14ac:dyDescent="0.2">
      <c r="A14" s="187" t="s">
        <v>270</v>
      </c>
      <c r="B14" s="149"/>
      <c r="C14" s="188" t="s">
        <v>277</v>
      </c>
      <c r="D14" s="188" t="s">
        <v>166</v>
      </c>
      <c r="E14" s="185">
        <f t="shared" si="0"/>
        <v>379331.81</v>
      </c>
      <c r="F14" s="190">
        <f>'5_6.6'!L65</f>
        <v>407964.04</v>
      </c>
      <c r="G14" s="190">
        <f>'5_6.6'!L70</f>
        <v>2124.4</v>
      </c>
    </row>
    <row r="15" spans="1:7" ht="78.75" x14ac:dyDescent="0.2">
      <c r="A15" s="187" t="s">
        <v>271</v>
      </c>
      <c r="B15" s="149"/>
      <c r="C15" s="188" t="s">
        <v>277</v>
      </c>
      <c r="D15" s="188" t="s">
        <v>166</v>
      </c>
      <c r="E15" s="185">
        <f t="shared" si="0"/>
        <v>13543385.949999999</v>
      </c>
      <c r="F15" s="190">
        <f>'6_6.7'!L163</f>
        <v>14378961.85</v>
      </c>
      <c r="G15" s="190">
        <f>'6_6.7'!L168</f>
        <v>262536.46999999997</v>
      </c>
    </row>
    <row r="16" spans="1:7" ht="47.25" x14ac:dyDescent="0.2">
      <c r="A16" s="187" t="s">
        <v>272</v>
      </c>
      <c r="B16" s="151"/>
      <c r="C16" s="189" t="s">
        <v>278</v>
      </c>
      <c r="D16" s="189" t="s">
        <v>184</v>
      </c>
      <c r="E16" s="185">
        <f t="shared" si="0"/>
        <v>1021403.01</v>
      </c>
      <c r="F16" s="191">
        <f>'7_6.8'!L492</f>
        <v>1088939.22</v>
      </c>
      <c r="G16" s="191">
        <f>'7_6.8'!L497</f>
        <v>15280.25</v>
      </c>
    </row>
    <row r="17" spans="1:7" ht="63" x14ac:dyDescent="0.2">
      <c r="A17" s="187" t="s">
        <v>273</v>
      </c>
      <c r="B17" s="151"/>
      <c r="C17" s="189" t="s">
        <v>256</v>
      </c>
      <c r="D17" s="189" t="s">
        <v>198</v>
      </c>
      <c r="E17" s="185">
        <f t="shared" si="0"/>
        <v>461529.3</v>
      </c>
      <c r="F17" s="191">
        <f>'8_6.9'!L178</f>
        <v>480947.18</v>
      </c>
      <c r="G17" s="191">
        <f>'8_6.9'!L183</f>
        <v>18003.41</v>
      </c>
    </row>
    <row r="18" spans="1:7" ht="15.75" hidden="1" x14ac:dyDescent="0.2">
      <c r="A18" s="186" t="s">
        <v>263</v>
      </c>
      <c r="B18" s="151"/>
      <c r="C18" s="152"/>
      <c r="D18" s="153"/>
      <c r="E18" s="150"/>
      <c r="F18" s="154"/>
      <c r="G18" s="154"/>
    </row>
    <row r="19" spans="1:7" ht="15.75" hidden="1" x14ac:dyDescent="0.2">
      <c r="A19" s="186" t="s">
        <v>264</v>
      </c>
      <c r="B19" s="151"/>
      <c r="C19" s="152"/>
      <c r="D19" s="153"/>
      <c r="E19" s="150"/>
      <c r="F19" s="154"/>
      <c r="G19" s="154"/>
    </row>
    <row r="20" spans="1:7" ht="16.5" thickBot="1" x14ac:dyDescent="0.25">
      <c r="A20" s="155"/>
      <c r="B20" s="156"/>
      <c r="C20" s="157"/>
      <c r="D20" s="158"/>
      <c r="E20" s="159"/>
      <c r="F20" s="159"/>
      <c r="G20" s="159"/>
    </row>
    <row r="21" spans="1:7" ht="15.75" x14ac:dyDescent="0.2">
      <c r="A21" s="160"/>
      <c r="B21" s="161"/>
      <c r="C21" s="162"/>
      <c r="D21" s="163" t="s">
        <v>258</v>
      </c>
      <c r="E21" s="164" t="e">
        <f>SUM(E9:E20)</f>
        <v>#REF!</v>
      </c>
      <c r="F21" s="164" t="e">
        <f>SUM(F9:F20)</f>
        <v>#REF!</v>
      </c>
      <c r="G21" s="164" t="e">
        <f>SUM(G9:G20)</f>
        <v>#REF!</v>
      </c>
    </row>
    <row r="22" spans="1:7" ht="16.5" thickBot="1" x14ac:dyDescent="0.25">
      <c r="A22" s="165"/>
      <c r="B22" s="166"/>
      <c r="C22" s="167"/>
      <c r="D22" s="168" t="s">
        <v>259</v>
      </c>
      <c r="E22" s="169" t="e">
        <f>E21*1.2</f>
        <v>#REF!</v>
      </c>
      <c r="F22" s="169" t="e">
        <f>F21*1.2</f>
        <v>#REF!</v>
      </c>
      <c r="G22" s="169" t="e">
        <f>G21*1.2</f>
        <v>#REF!</v>
      </c>
    </row>
    <row r="23" spans="1:7" ht="15.75" x14ac:dyDescent="0.25">
      <c r="A23" s="170"/>
      <c r="B23" s="171"/>
      <c r="C23" s="172"/>
      <c r="D23" s="173"/>
      <c r="E23" s="174"/>
      <c r="F23" s="175"/>
      <c r="G23" s="176"/>
    </row>
    <row r="24" spans="1:7" ht="15.75" x14ac:dyDescent="0.25">
      <c r="A24" s="170"/>
      <c r="B24" s="171"/>
      <c r="C24" s="177"/>
      <c r="D24" s="173"/>
      <c r="E24" s="174"/>
      <c r="F24" s="175"/>
      <c r="G24" s="176"/>
    </row>
    <row r="25" spans="1:7" ht="18" x14ac:dyDescent="0.25">
      <c r="A25" s="192" t="s">
        <v>70</v>
      </c>
      <c r="B25" s="178"/>
      <c r="C25" s="179"/>
      <c r="D25" s="180" t="s">
        <v>228</v>
      </c>
      <c r="E25" s="174"/>
      <c r="F25" s="175"/>
      <c r="G25" s="176"/>
    </row>
    <row r="26" spans="1:7" ht="15" x14ac:dyDescent="0.25">
      <c r="A26" s="192" t="s">
        <v>281</v>
      </c>
      <c r="B26" s="429"/>
      <c r="C26" s="429"/>
      <c r="D26" s="173"/>
      <c r="E26" s="174"/>
      <c r="F26" s="175"/>
      <c r="G26" s="176"/>
    </row>
    <row r="27" spans="1:7" ht="15" x14ac:dyDescent="0.25">
      <c r="A27" s="192" t="s">
        <v>282</v>
      </c>
      <c r="B27" s="192"/>
      <c r="C27" s="170"/>
      <c r="D27" s="181"/>
      <c r="E27" s="174"/>
      <c r="F27" s="175"/>
      <c r="G27" s="176"/>
    </row>
    <row r="28" spans="1:7" ht="15" x14ac:dyDescent="0.25">
      <c r="A28" s="170"/>
      <c r="B28" s="181"/>
      <c r="C28" s="181"/>
      <c r="D28" s="181"/>
      <c r="E28" s="174"/>
      <c r="F28" s="175"/>
      <c r="G28" s="176"/>
    </row>
    <row r="29" spans="1:7" ht="18" x14ac:dyDescent="0.25">
      <c r="A29" s="192" t="s">
        <v>233</v>
      </c>
      <c r="B29" s="192"/>
      <c r="C29" s="182"/>
      <c r="D29" s="180" t="s">
        <v>260</v>
      </c>
      <c r="E29" s="174"/>
      <c r="F29" s="175"/>
      <c r="G29" s="176"/>
    </row>
    <row r="30" spans="1:7" ht="15" x14ac:dyDescent="0.2">
      <c r="A30" s="192" t="s">
        <v>279</v>
      </c>
      <c r="B30" s="192"/>
      <c r="C30" s="183"/>
      <c r="D30" s="181"/>
      <c r="E30" s="174"/>
      <c r="F30" s="175"/>
      <c r="G30" s="176"/>
    </row>
    <row r="31" spans="1:7" x14ac:dyDescent="0.2">
      <c r="A31" s="192" t="s">
        <v>280</v>
      </c>
      <c r="B31" s="192"/>
    </row>
  </sheetData>
  <mergeCells count="10">
    <mergeCell ref="B26:C26"/>
    <mergeCell ref="A2:G2"/>
    <mergeCell ref="A3:G3"/>
    <mergeCell ref="A5:A7"/>
    <mergeCell ref="B5:B7"/>
    <mergeCell ref="C5:C7"/>
    <mergeCell ref="D5:D7"/>
    <mergeCell ref="E5:G5"/>
    <mergeCell ref="E6:E7"/>
    <mergeCell ref="F6:G6"/>
  </mergeCell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9"/>
  <sheetViews>
    <sheetView view="pageBreakPreview" topLeftCell="A2" zoomScale="70" zoomScaleNormal="40" zoomScaleSheetLayoutView="70" workbookViewId="0">
      <selection activeCell="F58" sqref="F58"/>
    </sheetView>
  </sheetViews>
  <sheetFormatPr defaultRowHeight="12.75" x14ac:dyDescent="0.2"/>
  <cols>
    <col min="1" max="1" width="5.5703125" customWidth="1"/>
    <col min="2" max="2" width="36" customWidth="1"/>
    <col min="3" max="3" width="16.85546875" customWidth="1"/>
    <col min="4" max="4" width="21.5703125" customWidth="1"/>
    <col min="5" max="5" width="17.140625" customWidth="1"/>
    <col min="6" max="6" width="21.140625" customWidth="1"/>
    <col min="7" max="7" width="16.5703125" customWidth="1"/>
    <col min="8" max="8" width="21.140625" customWidth="1"/>
    <col min="9" max="9" width="10.5703125" customWidth="1"/>
    <col min="10" max="10" width="13.42578125" bestFit="1" customWidth="1"/>
    <col min="11" max="11" width="10.7109375" customWidth="1"/>
    <col min="12" max="12" width="10.85546875" customWidth="1"/>
    <col min="30" max="30" width="12.7109375" bestFit="1" customWidth="1"/>
  </cols>
  <sheetData>
    <row r="1" spans="1:256" x14ac:dyDescent="0.2">
      <c r="A1" s="126"/>
      <c r="B1" s="126"/>
      <c r="C1" s="126"/>
      <c r="D1" s="126"/>
      <c r="E1" s="126"/>
      <c r="F1" s="126"/>
      <c r="G1" s="126"/>
      <c r="H1" s="126"/>
      <c r="I1" s="126"/>
      <c r="J1" s="131"/>
      <c r="K1" s="482"/>
      <c r="L1" s="483"/>
      <c r="M1" s="132"/>
    </row>
    <row r="2" spans="1:256" x14ac:dyDescent="0.2">
      <c r="A2" s="126"/>
      <c r="B2" s="126"/>
      <c r="C2" s="126"/>
      <c r="D2" s="126"/>
      <c r="E2" s="126"/>
      <c r="F2" s="126"/>
      <c r="G2" s="126"/>
      <c r="H2" s="126"/>
      <c r="I2" s="126"/>
      <c r="J2" s="131"/>
      <c r="K2" s="482"/>
      <c r="L2" s="483"/>
      <c r="M2" s="132"/>
    </row>
    <row r="3" spans="1:256" x14ac:dyDescent="0.2">
      <c r="A3" s="126"/>
      <c r="B3" s="126"/>
      <c r="C3" s="126"/>
      <c r="D3" s="126"/>
      <c r="E3" s="126"/>
      <c r="F3" s="126"/>
      <c r="G3" s="126"/>
      <c r="H3" s="126"/>
      <c r="I3" s="126"/>
      <c r="J3" s="131"/>
      <c r="K3" s="131"/>
      <c r="L3" s="131"/>
      <c r="M3" s="132"/>
    </row>
    <row r="4" spans="1:256" x14ac:dyDescent="0.2">
      <c r="A4" s="126"/>
      <c r="B4" s="126"/>
      <c r="C4" s="126"/>
      <c r="D4" s="126"/>
      <c r="E4" s="126"/>
      <c r="F4" s="126"/>
      <c r="G4" s="126"/>
      <c r="H4" s="126"/>
      <c r="I4" s="126"/>
      <c r="J4" s="131"/>
      <c r="K4" s="131"/>
      <c r="L4" s="131"/>
      <c r="M4" s="132"/>
    </row>
    <row r="5" spans="1:256" x14ac:dyDescent="0.2">
      <c r="A5" s="126"/>
      <c r="B5" s="126"/>
      <c r="C5" s="126"/>
      <c r="D5" s="126"/>
      <c r="E5" s="126"/>
      <c r="F5" s="126"/>
      <c r="G5" s="482" t="s">
        <v>230</v>
      </c>
      <c r="H5" s="483"/>
      <c r="I5" s="327"/>
      <c r="J5" s="131"/>
      <c r="M5" s="132"/>
    </row>
    <row r="6" spans="1:256" x14ac:dyDescent="0.2">
      <c r="A6" s="126"/>
      <c r="B6" s="126"/>
      <c r="C6" s="126"/>
      <c r="D6" s="126"/>
      <c r="E6" s="126"/>
      <c r="F6" s="126"/>
      <c r="G6" s="482" t="s">
        <v>231</v>
      </c>
      <c r="H6" s="483"/>
      <c r="I6" s="327"/>
      <c r="J6" s="131"/>
      <c r="M6" s="132"/>
    </row>
    <row r="7" spans="1:256" x14ac:dyDescent="0.2">
      <c r="A7" s="126"/>
      <c r="B7" s="126"/>
      <c r="C7" s="126"/>
      <c r="D7" s="126"/>
      <c r="E7" s="126"/>
      <c r="F7" s="126"/>
      <c r="G7" s="482" t="s">
        <v>232</v>
      </c>
      <c r="H7" s="483"/>
      <c r="I7" s="327"/>
      <c r="J7" s="131"/>
      <c r="M7" s="132"/>
    </row>
    <row r="8" spans="1:256" x14ac:dyDescent="0.2">
      <c r="A8" s="126"/>
      <c r="B8" s="126"/>
      <c r="C8" s="126"/>
      <c r="D8" s="126"/>
      <c r="E8" s="126"/>
      <c r="F8" s="126"/>
      <c r="G8" s="126"/>
      <c r="H8" s="126"/>
      <c r="I8" s="327"/>
      <c r="J8" s="131"/>
      <c r="K8" s="131"/>
      <c r="L8" s="131"/>
      <c r="M8" s="132"/>
    </row>
    <row r="9" spans="1:256" s="47" customFormat="1" ht="15" x14ac:dyDescent="0.25">
      <c r="A9" s="134"/>
      <c r="B9" s="134"/>
      <c r="C9" s="134"/>
      <c r="D9" s="134"/>
      <c r="E9" s="134"/>
      <c r="F9" s="134"/>
      <c r="G9" s="486" t="s">
        <v>67</v>
      </c>
      <c r="H9" s="487"/>
      <c r="I9" s="324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 s="47" customFormat="1" ht="15" x14ac:dyDescent="0.25">
      <c r="A10" s="134"/>
      <c r="B10" s="134"/>
      <c r="C10" s="134"/>
      <c r="D10" s="134"/>
      <c r="E10" s="134"/>
      <c r="F10" s="135" t="s">
        <v>0</v>
      </c>
      <c r="G10" s="484" t="s">
        <v>68</v>
      </c>
      <c r="H10" s="485"/>
      <c r="I10" s="328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5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 s="47" customFormat="1" ht="15" x14ac:dyDescent="0.25">
      <c r="A11" s="134"/>
      <c r="B11" s="134"/>
      <c r="C11" s="134"/>
      <c r="D11" s="134"/>
      <c r="E11" s="134"/>
      <c r="F11" s="134"/>
      <c r="G11" s="476" t="s">
        <v>98</v>
      </c>
      <c r="H11" s="477"/>
      <c r="I11" s="329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s="47" customFormat="1" ht="15" x14ac:dyDescent="0.25">
      <c r="A12" s="488" t="s">
        <v>366</v>
      </c>
      <c r="B12" s="488"/>
      <c r="C12" s="488"/>
      <c r="D12" s="488"/>
      <c r="E12" s="488"/>
      <c r="F12" s="135" t="s">
        <v>1</v>
      </c>
      <c r="G12" s="478"/>
      <c r="H12" s="479"/>
      <c r="I12" s="32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72" t="e">
        <v>#REF!</v>
      </c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s="47" customFormat="1" ht="15" x14ac:dyDescent="0.25">
      <c r="A13" s="489" t="s">
        <v>69</v>
      </c>
      <c r="B13" s="489"/>
      <c r="C13" s="489"/>
      <c r="D13" s="489"/>
      <c r="E13" s="489"/>
      <c r="F13" s="134"/>
      <c r="G13" s="476" t="s">
        <v>404</v>
      </c>
      <c r="H13" s="477"/>
      <c r="I13" s="329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s="47" customFormat="1" ht="15" x14ac:dyDescent="0.25">
      <c r="A14" s="488" t="s">
        <v>367</v>
      </c>
      <c r="B14" s="488"/>
      <c r="C14" s="488"/>
      <c r="D14" s="488"/>
      <c r="E14" s="488"/>
      <c r="F14" s="135" t="s">
        <v>1</v>
      </c>
      <c r="G14" s="478"/>
      <c r="H14" s="479"/>
      <c r="I14" s="329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72" t="e">
        <v>#REF!</v>
      </c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s="47" customFormat="1" ht="15" x14ac:dyDescent="0.25">
      <c r="A15" s="489" t="s">
        <v>69</v>
      </c>
      <c r="B15" s="489"/>
      <c r="C15" s="489"/>
      <c r="D15" s="489"/>
      <c r="E15" s="489"/>
      <c r="F15" s="134"/>
      <c r="G15" s="476" t="s">
        <v>403</v>
      </c>
      <c r="H15" s="477"/>
      <c r="I15" s="329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s="47" customFormat="1" ht="15" x14ac:dyDescent="0.25">
      <c r="A16" s="488" t="s">
        <v>368</v>
      </c>
      <c r="B16" s="488"/>
      <c r="C16" s="488"/>
      <c r="D16" s="488"/>
      <c r="E16" s="488"/>
      <c r="F16" s="135" t="s">
        <v>1</v>
      </c>
      <c r="G16" s="478"/>
      <c r="H16" s="479"/>
      <c r="I16" s="329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72" t="e">
        <v>#REF!</v>
      </c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 s="47" customFormat="1" ht="15" x14ac:dyDescent="0.25">
      <c r="A17" s="489" t="s">
        <v>69</v>
      </c>
      <c r="B17" s="489"/>
      <c r="C17" s="489"/>
      <c r="D17" s="489"/>
      <c r="E17" s="489"/>
      <c r="F17" s="134"/>
      <c r="G17" s="476" t="s">
        <v>204</v>
      </c>
      <c r="H17" s="477"/>
      <c r="I17" s="329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 s="47" customFormat="1" ht="31.5" customHeight="1" x14ac:dyDescent="0.25">
      <c r="A18" s="488" t="s">
        <v>369</v>
      </c>
      <c r="B18" s="488"/>
      <c r="C18" s="488"/>
      <c r="D18" s="488"/>
      <c r="E18" s="488"/>
      <c r="F18" s="135" t="s">
        <v>1</v>
      </c>
      <c r="G18" s="478"/>
      <c r="H18" s="479"/>
      <c r="I18" s="329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72" t="e">
        <v>#REF!</v>
      </c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s="47" customFormat="1" ht="15" x14ac:dyDescent="0.25">
      <c r="A19" s="489" t="s">
        <v>69</v>
      </c>
      <c r="B19" s="489"/>
      <c r="C19" s="489"/>
      <c r="D19" s="489"/>
      <c r="E19" s="489"/>
      <c r="F19" s="325"/>
      <c r="G19" s="472"/>
      <c r="H19" s="473"/>
      <c r="I19" s="324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s="47" customFormat="1" ht="29.25" x14ac:dyDescent="0.25">
      <c r="A20" s="488" t="s">
        <v>370</v>
      </c>
      <c r="B20" s="488"/>
      <c r="C20" s="488"/>
      <c r="D20" s="488"/>
      <c r="E20" s="488"/>
      <c r="F20" s="326"/>
      <c r="G20" s="474"/>
      <c r="H20" s="475"/>
      <c r="I20" s="324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72" t="s">
        <v>103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 s="47" customFormat="1" ht="15" x14ac:dyDescent="0.25">
      <c r="A21" s="489" t="s">
        <v>72</v>
      </c>
      <c r="B21" s="489"/>
      <c r="C21" s="489"/>
      <c r="D21" s="489"/>
      <c r="E21" s="489"/>
      <c r="F21" s="325"/>
      <c r="G21" s="472"/>
      <c r="H21" s="473"/>
      <c r="I21" s="324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s="47" customFormat="1" ht="30" customHeight="1" x14ac:dyDescent="0.25">
      <c r="A22" s="488" t="s">
        <v>371</v>
      </c>
      <c r="B22" s="488"/>
      <c r="C22" s="488"/>
      <c r="D22" s="488"/>
      <c r="E22" s="488"/>
      <c r="F22" s="326"/>
      <c r="G22" s="474"/>
      <c r="H22" s="475"/>
      <c r="I22" s="324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73" t="e">
        <v>#REF!</v>
      </c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s="47" customFormat="1" ht="15.75" customHeight="1" x14ac:dyDescent="0.2">
      <c r="A23" s="490" t="s">
        <v>74</v>
      </c>
      <c r="B23" s="490"/>
      <c r="C23" s="490"/>
      <c r="D23" s="490"/>
      <c r="E23" s="490"/>
      <c r="F23" s="324"/>
      <c r="G23" s="324"/>
      <c r="H23" s="324"/>
      <c r="I23" s="330"/>
      <c r="J23" s="134"/>
      <c r="K23" s="134"/>
      <c r="L23" s="134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</row>
    <row r="24" spans="1:256" s="47" customFormat="1" x14ac:dyDescent="0.2">
      <c r="A24" s="134"/>
      <c r="B24" s="134"/>
      <c r="C24" s="134"/>
      <c r="E24" s="196"/>
      <c r="F24" s="196" t="s">
        <v>75</v>
      </c>
      <c r="G24" s="480"/>
      <c r="H24" s="480"/>
      <c r="I24" s="324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</row>
    <row r="25" spans="1:256" s="47" customFormat="1" x14ac:dyDescent="0.2">
      <c r="A25" s="134"/>
      <c r="B25" s="134"/>
      <c r="C25" s="134"/>
      <c r="E25" s="196" t="s">
        <v>76</v>
      </c>
      <c r="F25" s="136" t="s">
        <v>77</v>
      </c>
      <c r="G25" s="480" t="s">
        <v>227</v>
      </c>
      <c r="H25" s="480"/>
      <c r="I25" s="324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</row>
    <row r="26" spans="1:256" s="47" customFormat="1" x14ac:dyDescent="0.2">
      <c r="A26" s="134"/>
      <c r="B26" s="134"/>
      <c r="C26" s="134"/>
      <c r="D26" s="134"/>
      <c r="E26" s="134"/>
      <c r="F26" s="195" t="s">
        <v>2</v>
      </c>
      <c r="G26" s="481">
        <v>43811</v>
      </c>
      <c r="H26" s="481"/>
      <c r="I26" s="331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 s="47" customFormat="1" ht="15" customHeight="1" x14ac:dyDescent="0.2">
      <c r="A27" s="134"/>
      <c r="B27" s="134"/>
      <c r="C27" s="134"/>
      <c r="D27" s="134"/>
      <c r="E27" s="134"/>
      <c r="F27" s="196" t="s">
        <v>78</v>
      </c>
      <c r="G27" s="480"/>
      <c r="H27" s="480"/>
      <c r="I27" s="324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 x14ac:dyDescent="0.2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7"/>
      <c r="L28" s="127"/>
      <c r="M28" s="125"/>
    </row>
    <row r="29" spans="1:256" ht="12.75" customHeight="1" x14ac:dyDescent="0.2">
      <c r="A29" s="126"/>
      <c r="B29" s="126"/>
      <c r="C29" s="126"/>
      <c r="D29" s="126"/>
      <c r="E29" s="193" t="s">
        <v>79</v>
      </c>
      <c r="F29" s="470" t="s">
        <v>80</v>
      </c>
      <c r="G29" s="468" t="s">
        <v>3</v>
      </c>
      <c r="H29" s="469"/>
      <c r="L29" s="127"/>
      <c r="M29" s="125"/>
    </row>
    <row r="30" spans="1:256" x14ac:dyDescent="0.2">
      <c r="A30" s="126"/>
      <c r="B30" s="126"/>
      <c r="C30" s="126"/>
      <c r="D30" s="126"/>
      <c r="E30" s="194"/>
      <c r="F30" s="471"/>
      <c r="G30" s="130" t="s">
        <v>4</v>
      </c>
      <c r="H30" s="129" t="s">
        <v>5</v>
      </c>
      <c r="L30" s="127"/>
      <c r="M30" s="125"/>
    </row>
    <row r="31" spans="1:256" x14ac:dyDescent="0.2">
      <c r="A31" s="126"/>
      <c r="B31" s="126"/>
      <c r="C31" s="126"/>
      <c r="D31" s="126"/>
      <c r="E31" s="128" t="s">
        <v>234</v>
      </c>
      <c r="F31" s="133">
        <v>44012</v>
      </c>
      <c r="G31" s="133">
        <v>43983</v>
      </c>
      <c r="H31" s="133">
        <v>44012</v>
      </c>
      <c r="L31" s="127"/>
      <c r="M31" s="125"/>
    </row>
    <row r="32" spans="1:256" x14ac:dyDescent="0.2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5"/>
    </row>
    <row r="33" spans="1:15" s="197" customFormat="1" x14ac:dyDescent="0.2">
      <c r="A33" s="198"/>
      <c r="B33" s="198"/>
      <c r="C33" s="200"/>
      <c r="D33" s="201"/>
      <c r="E33" s="202"/>
      <c r="F33" s="201"/>
      <c r="G33" s="202"/>
      <c r="H33" s="201"/>
    </row>
    <row r="34" spans="1:15" s="197" customFormat="1" ht="16.5" x14ac:dyDescent="0.2">
      <c r="A34" s="447" t="s">
        <v>283</v>
      </c>
      <c r="B34" s="448"/>
      <c r="C34" s="448"/>
      <c r="D34" s="448"/>
      <c r="E34" s="448"/>
      <c r="F34" s="448"/>
      <c r="G34" s="448"/>
      <c r="H34" s="448"/>
    </row>
    <row r="35" spans="1:15" s="197" customFormat="1" ht="16.5" x14ac:dyDescent="0.2">
      <c r="A35" s="447" t="s">
        <v>365</v>
      </c>
      <c r="B35" s="448"/>
      <c r="C35" s="448"/>
      <c r="D35" s="448"/>
      <c r="E35" s="448"/>
      <c r="F35" s="448"/>
      <c r="G35" s="448"/>
      <c r="H35" s="448"/>
    </row>
    <row r="36" spans="1:15" s="197" customFormat="1" ht="17.25" thickBot="1" x14ac:dyDescent="0.25">
      <c r="A36" s="203"/>
      <c r="B36" s="204"/>
      <c r="C36" s="204"/>
      <c r="D36" s="204"/>
      <c r="E36" s="204"/>
      <c r="F36" s="204"/>
      <c r="G36" s="204"/>
      <c r="H36" s="204"/>
    </row>
    <row r="37" spans="1:15" s="197" customFormat="1" ht="22.5" customHeight="1" thickBot="1" x14ac:dyDescent="0.25">
      <c r="A37" s="449" t="s">
        <v>284</v>
      </c>
      <c r="B37" s="452" t="s">
        <v>285</v>
      </c>
      <c r="C37" s="455" t="s">
        <v>286</v>
      </c>
      <c r="D37" s="456"/>
      <c r="E37" s="456"/>
      <c r="F37" s="456"/>
      <c r="G37" s="456"/>
      <c r="H37" s="457"/>
    </row>
    <row r="38" spans="1:15" s="197" customFormat="1" x14ac:dyDescent="0.2">
      <c r="A38" s="450"/>
      <c r="B38" s="453"/>
      <c r="C38" s="458" t="s">
        <v>287</v>
      </c>
      <c r="D38" s="459"/>
      <c r="E38" s="458" t="s">
        <v>288</v>
      </c>
      <c r="F38" s="459"/>
      <c r="G38" s="458" t="s">
        <v>289</v>
      </c>
      <c r="H38" s="459"/>
    </row>
    <row r="39" spans="1:15" s="197" customFormat="1" ht="16.5" customHeight="1" x14ac:dyDescent="0.2">
      <c r="A39" s="450"/>
      <c r="B39" s="453"/>
      <c r="C39" s="460"/>
      <c r="D39" s="461"/>
      <c r="E39" s="460"/>
      <c r="F39" s="461"/>
      <c r="G39" s="460"/>
      <c r="H39" s="461"/>
    </row>
    <row r="40" spans="1:15" s="197" customFormat="1" x14ac:dyDescent="0.2">
      <c r="A40" s="450"/>
      <c r="B40" s="453"/>
      <c r="C40" s="460" t="s">
        <v>290</v>
      </c>
      <c r="D40" s="463" t="s">
        <v>291</v>
      </c>
      <c r="E40" s="460" t="s">
        <v>290</v>
      </c>
      <c r="F40" s="465" t="s">
        <v>292</v>
      </c>
      <c r="G40" s="460" t="s">
        <v>290</v>
      </c>
      <c r="H40" s="465" t="s">
        <v>292</v>
      </c>
    </row>
    <row r="41" spans="1:15" s="197" customFormat="1" x14ac:dyDescent="0.2">
      <c r="A41" s="450"/>
      <c r="B41" s="453"/>
      <c r="C41" s="460"/>
      <c r="D41" s="463"/>
      <c r="E41" s="460"/>
      <c r="F41" s="465"/>
      <c r="G41" s="460"/>
      <c r="H41" s="465"/>
    </row>
    <row r="42" spans="1:15" s="197" customFormat="1" ht="13.5" thickBot="1" x14ac:dyDescent="0.25">
      <c r="A42" s="451"/>
      <c r="B42" s="454"/>
      <c r="C42" s="462"/>
      <c r="D42" s="464"/>
      <c r="E42" s="462"/>
      <c r="F42" s="466"/>
      <c r="G42" s="462"/>
      <c r="H42" s="467"/>
    </row>
    <row r="43" spans="1:15" s="197" customFormat="1" ht="13.5" thickBot="1" x14ac:dyDescent="0.25">
      <c r="A43" s="205">
        <v>1</v>
      </c>
      <c r="B43" s="205">
        <v>2</v>
      </c>
      <c r="C43" s="206">
        <v>3</v>
      </c>
      <c r="D43" s="207">
        <v>4</v>
      </c>
      <c r="E43" s="206">
        <v>5</v>
      </c>
      <c r="F43" s="208">
        <v>6</v>
      </c>
      <c r="G43" s="206">
        <v>7</v>
      </c>
      <c r="H43" s="208">
        <v>8</v>
      </c>
      <c r="K43" s="209"/>
      <c r="L43" s="209"/>
      <c r="M43" s="209"/>
      <c r="N43" s="209"/>
      <c r="O43" s="209"/>
    </row>
    <row r="44" spans="1:15" s="197" customFormat="1" ht="25.5" x14ac:dyDescent="0.2">
      <c r="A44" s="210" t="s">
        <v>234</v>
      </c>
      <c r="B44" s="211" t="s">
        <v>293</v>
      </c>
      <c r="C44" s="212">
        <f>C46+C49+C50+C53</f>
        <v>3595613</v>
      </c>
      <c r="D44" s="213">
        <f>H44+L44</f>
        <v>17134907.399999999</v>
      </c>
      <c r="E44" s="212">
        <f>E46+E49+E50+E53</f>
        <v>3595613</v>
      </c>
      <c r="F44" s="214">
        <f>H44+N44</f>
        <v>17134907.399999999</v>
      </c>
      <c r="G44" s="212">
        <f>G46+G49+G50+G53</f>
        <v>3595613</v>
      </c>
      <c r="H44" s="214">
        <f>H46+H49+H50+H53</f>
        <v>17134907.399999999</v>
      </c>
      <c r="J44" s="334">
        <f>'1_6.1'!L187+'2_6.2'!L170+'3_6.4'!L154+'4_6.5'!L71+'5_6.6'!L80+'6_6.7'!L178+'7_6.8'!L507+'8_6.9'!L193</f>
        <v>17134907.399999999</v>
      </c>
      <c r="K44" s="215"/>
      <c r="L44" s="216"/>
      <c r="M44" s="215"/>
      <c r="N44" s="217"/>
      <c r="O44" s="218"/>
    </row>
    <row r="45" spans="1:15" s="197" customFormat="1" ht="15.75" thickBot="1" x14ac:dyDescent="0.25">
      <c r="A45" s="219"/>
      <c r="B45" s="220" t="s">
        <v>294</v>
      </c>
      <c r="C45" s="221"/>
      <c r="D45" s="222"/>
      <c r="E45" s="221"/>
      <c r="F45" s="222"/>
      <c r="G45" s="221"/>
      <c r="H45" s="222"/>
      <c r="K45" s="215"/>
      <c r="L45" s="217"/>
      <c r="M45" s="215"/>
      <c r="N45" s="217"/>
      <c r="O45" s="209"/>
    </row>
    <row r="46" spans="1:15" s="197" customFormat="1" ht="15" x14ac:dyDescent="0.2">
      <c r="A46" s="223" t="s">
        <v>295</v>
      </c>
      <c r="B46" s="224" t="s">
        <v>211</v>
      </c>
      <c r="C46" s="225">
        <f>G46</f>
        <v>3581282</v>
      </c>
      <c r="D46" s="226">
        <f>H46</f>
        <v>16817548.140000001</v>
      </c>
      <c r="E46" s="225">
        <f>G46</f>
        <v>3581282</v>
      </c>
      <c r="F46" s="227">
        <f>H46</f>
        <v>16817548.140000001</v>
      </c>
      <c r="G46" s="228">
        <f>'8_6.9'!I204</f>
        <v>3581282</v>
      </c>
      <c r="H46" s="229">
        <f>'Реестр (2)'!G21</f>
        <v>16817548.140000001</v>
      </c>
      <c r="I46" s="230"/>
      <c r="K46" s="215"/>
      <c r="L46" s="216"/>
      <c r="M46" s="215"/>
      <c r="N46" s="217"/>
      <c r="O46" s="209"/>
    </row>
    <row r="47" spans="1:15" s="197" customFormat="1" ht="15" x14ac:dyDescent="0.2">
      <c r="A47" s="231" t="s">
        <v>296</v>
      </c>
      <c r="B47" s="232" t="s">
        <v>297</v>
      </c>
      <c r="C47" s="225"/>
      <c r="D47" s="226">
        <f>H47</f>
        <v>3363509.63</v>
      </c>
      <c r="E47" s="233"/>
      <c r="F47" s="234">
        <f>H47</f>
        <v>3363509.63</v>
      </c>
      <c r="G47" s="225"/>
      <c r="H47" s="234">
        <f>ROUND(H46*0.2,2)</f>
        <v>3363509.63</v>
      </c>
      <c r="K47" s="215"/>
      <c r="L47" s="216"/>
      <c r="M47" s="215"/>
      <c r="N47" s="217"/>
      <c r="O47" s="209"/>
    </row>
    <row r="48" spans="1:15" s="197" customFormat="1" ht="15.75" thickBot="1" x14ac:dyDescent="0.25">
      <c r="A48" s="219" t="s">
        <v>298</v>
      </c>
      <c r="B48" s="220" t="s">
        <v>299</v>
      </c>
      <c r="C48" s="221"/>
      <c r="D48" s="235">
        <f>H48</f>
        <v>20181057.77</v>
      </c>
      <c r="E48" s="221"/>
      <c r="F48" s="222">
        <f>H48</f>
        <v>20181057.77</v>
      </c>
      <c r="G48" s="221"/>
      <c r="H48" s="222">
        <f>H46+H47</f>
        <v>20181057.77</v>
      </c>
      <c r="K48" s="215"/>
      <c r="L48" s="216"/>
      <c r="M48" s="215"/>
      <c r="N48" s="217"/>
      <c r="O48" s="209"/>
    </row>
    <row r="49" spans="1:17" s="197" customFormat="1" ht="15" x14ac:dyDescent="0.2">
      <c r="A49" s="236" t="s">
        <v>300</v>
      </c>
      <c r="B49" s="224" t="s">
        <v>301</v>
      </c>
      <c r="C49" s="228">
        <f>G49+J49</f>
        <v>0</v>
      </c>
      <c r="D49" s="237">
        <f t="shared" ref="D49:D55" si="0">H49+L49</f>
        <v>0</v>
      </c>
      <c r="E49" s="228">
        <f>G49+L49</f>
        <v>0</v>
      </c>
      <c r="F49" s="229">
        <f>H49+M49</f>
        <v>0</v>
      </c>
      <c r="G49" s="228">
        <v>0</v>
      </c>
      <c r="H49" s="229">
        <v>0</v>
      </c>
      <c r="K49" s="215"/>
      <c r="L49" s="216"/>
      <c r="M49" s="215"/>
      <c r="N49" s="217"/>
      <c r="O49" s="209"/>
    </row>
    <row r="50" spans="1:17" s="197" customFormat="1" ht="15" x14ac:dyDescent="0.2">
      <c r="A50" s="238" t="s">
        <v>302</v>
      </c>
      <c r="B50" s="232" t="s">
        <v>303</v>
      </c>
      <c r="C50" s="225">
        <f>G50</f>
        <v>14331</v>
      </c>
      <c r="D50" s="226">
        <f>H50</f>
        <v>317359.26</v>
      </c>
      <c r="E50" s="225">
        <f>G50</f>
        <v>14331</v>
      </c>
      <c r="F50" s="227">
        <f>H50</f>
        <v>317359.26</v>
      </c>
      <c r="G50" s="225">
        <f>'8_6.9'!I205</f>
        <v>14331</v>
      </c>
      <c r="H50" s="234">
        <f>'Реестр (2)'!R21</f>
        <v>317359.26</v>
      </c>
      <c r="I50" s="230"/>
      <c r="K50" s="215"/>
      <c r="L50" s="216"/>
      <c r="M50" s="215"/>
      <c r="N50" s="217"/>
      <c r="O50" s="209"/>
    </row>
    <row r="51" spans="1:17" s="197" customFormat="1" ht="15" x14ac:dyDescent="0.2">
      <c r="A51" s="238" t="s">
        <v>304</v>
      </c>
      <c r="B51" s="232" t="s">
        <v>297</v>
      </c>
      <c r="C51" s="225"/>
      <c r="D51" s="226">
        <f>H51</f>
        <v>63471.85</v>
      </c>
      <c r="E51" s="225"/>
      <c r="F51" s="227">
        <f>H51</f>
        <v>63471.85</v>
      </c>
      <c r="G51" s="225"/>
      <c r="H51" s="234">
        <f>ROUND((H49+H50)*0.2,2)</f>
        <v>63471.85</v>
      </c>
      <c r="K51" s="215"/>
      <c r="L51" s="216"/>
      <c r="M51" s="215"/>
      <c r="N51" s="217"/>
      <c r="O51" s="209"/>
    </row>
    <row r="52" spans="1:17" s="197" customFormat="1" ht="15.75" thickBot="1" x14ac:dyDescent="0.25">
      <c r="A52" s="219" t="s">
        <v>305</v>
      </c>
      <c r="B52" s="220" t="s">
        <v>306</v>
      </c>
      <c r="C52" s="221"/>
      <c r="D52" s="235">
        <f>H52</f>
        <v>380831.11</v>
      </c>
      <c r="E52" s="221"/>
      <c r="F52" s="239">
        <f>H52</f>
        <v>380831.11</v>
      </c>
      <c r="G52" s="221"/>
      <c r="H52" s="222">
        <f>H49+H50+H51</f>
        <v>380831.11</v>
      </c>
      <c r="K52" s="215"/>
      <c r="L52" s="216"/>
      <c r="M52" s="215"/>
      <c r="N52" s="217"/>
      <c r="O52" s="209"/>
    </row>
    <row r="53" spans="1:17" s="197" customFormat="1" ht="15" x14ac:dyDescent="0.2">
      <c r="A53" s="236" t="s">
        <v>307</v>
      </c>
      <c r="B53" s="224" t="s">
        <v>214</v>
      </c>
      <c r="C53" s="240">
        <v>0</v>
      </c>
      <c r="D53" s="226">
        <f>H53</f>
        <v>0</v>
      </c>
      <c r="E53" s="225">
        <f>G53+M53</f>
        <v>0</v>
      </c>
      <c r="F53" s="227">
        <f>H53</f>
        <v>0</v>
      </c>
      <c r="G53" s="241">
        <v>0</v>
      </c>
      <c r="H53" s="229">
        <v>0</v>
      </c>
      <c r="K53" s="215"/>
      <c r="L53" s="216"/>
      <c r="M53" s="215"/>
      <c r="N53" s="217"/>
      <c r="O53" s="209"/>
    </row>
    <row r="54" spans="1:17" s="197" customFormat="1" ht="15" x14ac:dyDescent="0.2">
      <c r="A54" s="238" t="s">
        <v>308</v>
      </c>
      <c r="B54" s="232" t="s">
        <v>297</v>
      </c>
      <c r="C54" s="225"/>
      <c r="D54" s="226">
        <f>H54</f>
        <v>0</v>
      </c>
      <c r="E54" s="225"/>
      <c r="F54" s="227">
        <f>H54+N54</f>
        <v>0</v>
      </c>
      <c r="G54" s="225"/>
      <c r="H54" s="234">
        <f>ROUND(H53*0.2,2)</f>
        <v>0</v>
      </c>
      <c r="K54" s="215"/>
      <c r="L54" s="216"/>
      <c r="M54" s="215"/>
      <c r="N54" s="217"/>
      <c r="O54" s="209"/>
    </row>
    <row r="55" spans="1:17" s="197" customFormat="1" ht="15.75" thickBot="1" x14ac:dyDescent="0.25">
      <c r="A55" s="219" t="s">
        <v>309</v>
      </c>
      <c r="B55" s="220" t="s">
        <v>310</v>
      </c>
      <c r="C55" s="221"/>
      <c r="D55" s="235">
        <f t="shared" si="0"/>
        <v>0</v>
      </c>
      <c r="E55" s="221"/>
      <c r="F55" s="239">
        <f>H55+N55</f>
        <v>0</v>
      </c>
      <c r="G55" s="221"/>
      <c r="H55" s="242">
        <f>ROUND((H53+H54),20)</f>
        <v>0</v>
      </c>
      <c r="K55" s="215"/>
      <c r="L55" s="216"/>
      <c r="M55" s="215"/>
      <c r="N55" s="217"/>
      <c r="O55" s="209"/>
    </row>
    <row r="56" spans="1:17" s="197" customFormat="1" ht="25.5" x14ac:dyDescent="0.2">
      <c r="A56" s="243" t="s">
        <v>311</v>
      </c>
      <c r="B56" s="244" t="s">
        <v>312</v>
      </c>
      <c r="C56" s="245"/>
      <c r="D56" s="246">
        <f>D46+D49+D50+D53</f>
        <v>17134907.399999999</v>
      </c>
      <c r="E56" s="245"/>
      <c r="F56" s="246">
        <f>F46+F49+F50+F53</f>
        <v>17134907.399999999</v>
      </c>
      <c r="G56" s="247"/>
      <c r="H56" s="246">
        <f>H46+H49+H50+H53</f>
        <v>17134907.399999999</v>
      </c>
      <c r="J56" s="230"/>
      <c r="K56" s="248"/>
      <c r="L56" s="249"/>
      <c r="M56" s="248"/>
      <c r="N56" s="249"/>
      <c r="O56" s="209"/>
    </row>
    <row r="57" spans="1:17" s="197" customFormat="1" ht="15.75" x14ac:dyDescent="0.2">
      <c r="A57" s="250" t="s">
        <v>313</v>
      </c>
      <c r="B57" s="251" t="s">
        <v>314</v>
      </c>
      <c r="C57" s="252"/>
      <c r="D57" s="253">
        <f>ROUND(D47+D51+D54,2)</f>
        <v>3426981.48</v>
      </c>
      <c r="E57" s="252"/>
      <c r="F57" s="253">
        <f>ROUND(F47+F51+F54,2)</f>
        <v>3426981.48</v>
      </c>
      <c r="G57" s="254"/>
      <c r="H57" s="253">
        <f>ROUND(H47+H51+H54,2)</f>
        <v>3426981.48</v>
      </c>
      <c r="K57" s="248"/>
      <c r="L57" s="249"/>
      <c r="M57" s="248"/>
      <c r="N57" s="249"/>
      <c r="O57" s="209"/>
      <c r="Q57" s="230"/>
    </row>
    <row r="58" spans="1:17" s="197" customFormat="1" ht="16.5" thickBot="1" x14ac:dyDescent="0.25">
      <c r="A58" s="255" t="s">
        <v>315</v>
      </c>
      <c r="B58" s="256" t="s">
        <v>316</v>
      </c>
      <c r="C58" s="257"/>
      <c r="D58" s="258">
        <f>ROUND(D48+D52+D55,2)</f>
        <v>20561888.879999999</v>
      </c>
      <c r="E58" s="257"/>
      <c r="F58" s="258">
        <f>ROUND(F48+F52+F55,2)</f>
        <v>20561888.879999999</v>
      </c>
      <c r="G58" s="259"/>
      <c r="H58" s="258">
        <f>ROUND(H48+H52+H55,2)</f>
        <v>20561888.879999999</v>
      </c>
      <c r="K58" s="248"/>
      <c r="L58" s="249"/>
      <c r="M58" s="248"/>
      <c r="N58" s="249"/>
      <c r="O58" s="209"/>
    </row>
    <row r="59" spans="1:17" s="197" customFormat="1" ht="15" x14ac:dyDescent="0.2">
      <c r="A59" s="236" t="s">
        <v>317</v>
      </c>
      <c r="B59" s="224" t="s">
        <v>318</v>
      </c>
      <c r="C59" s="228"/>
      <c r="D59" s="237"/>
      <c r="E59" s="228"/>
      <c r="F59" s="229"/>
      <c r="G59" s="228"/>
      <c r="H59" s="229"/>
      <c r="K59" s="215"/>
      <c r="L59" s="216"/>
      <c r="M59" s="215"/>
      <c r="N59" s="217"/>
      <c r="O59" s="209"/>
    </row>
    <row r="60" spans="1:17" s="197" customFormat="1" ht="15.75" thickBot="1" x14ac:dyDescent="0.25">
      <c r="A60" s="260" t="s">
        <v>319</v>
      </c>
      <c r="B60" s="261" t="s">
        <v>320</v>
      </c>
      <c r="C60" s="233">
        <f>E60</f>
        <v>532531</v>
      </c>
      <c r="D60" s="262">
        <f>F60</f>
        <v>2380413.42</v>
      </c>
      <c r="E60" s="233">
        <f>G60</f>
        <v>532531</v>
      </c>
      <c r="F60" s="263">
        <f>H60</f>
        <v>2380413.42</v>
      </c>
      <c r="G60" s="233">
        <f>'4_6.5'!J53</f>
        <v>532531</v>
      </c>
      <c r="H60" s="264">
        <f>'4_6.5'!L53</f>
        <v>2380413.42</v>
      </c>
      <c r="I60" s="230"/>
      <c r="K60" s="215"/>
      <c r="L60" s="216"/>
      <c r="M60" s="215"/>
      <c r="N60" s="217"/>
      <c r="O60" s="209"/>
    </row>
    <row r="61" spans="1:17" s="197" customFormat="1" ht="13.5" thickBot="1" x14ac:dyDescent="0.25">
      <c r="A61" s="265">
        <v>17</v>
      </c>
      <c r="B61" s="444" t="s">
        <v>321</v>
      </c>
      <c r="C61" s="445"/>
      <c r="D61" s="445"/>
      <c r="E61" s="445"/>
      <c r="F61" s="445"/>
      <c r="G61" s="445"/>
      <c r="H61" s="446"/>
      <c r="I61" s="230"/>
      <c r="K61" s="209"/>
      <c r="L61" s="209"/>
      <c r="M61" s="209"/>
      <c r="N61" s="209"/>
      <c r="O61" s="209"/>
    </row>
    <row r="62" spans="1:17" s="197" customFormat="1" ht="15" x14ac:dyDescent="0.2">
      <c r="A62" s="266">
        <v>18</v>
      </c>
      <c r="B62" s="267" t="s">
        <v>235</v>
      </c>
      <c r="C62" s="268">
        <v>0</v>
      </c>
      <c r="D62" s="269">
        <f>ROUND(D56*0.02,2)</f>
        <v>342698.15</v>
      </c>
      <c r="E62" s="270">
        <v>0</v>
      </c>
      <c r="F62" s="269">
        <f>ROUND(F56*0.02,2)</f>
        <v>342698.15</v>
      </c>
      <c r="G62" s="270">
        <v>0</v>
      </c>
      <c r="H62" s="271">
        <f>ROUND(H56*0.02,2)</f>
        <v>342698.15</v>
      </c>
      <c r="K62" s="209"/>
      <c r="L62" s="272"/>
      <c r="M62" s="273"/>
      <c r="N62" s="273"/>
      <c r="O62" s="273"/>
    </row>
    <row r="63" spans="1:17" s="197" customFormat="1" ht="15" x14ac:dyDescent="0.2">
      <c r="A63" s="274">
        <v>19</v>
      </c>
      <c r="B63" s="275" t="s">
        <v>297</v>
      </c>
      <c r="C63" s="276">
        <f>ROUND(C62*0.18,2)</f>
        <v>0</v>
      </c>
      <c r="D63" s="277">
        <f>ROUND(D62*0.2,2)</f>
        <v>68539.63</v>
      </c>
      <c r="E63" s="278">
        <f>ROUND(E62*0.18,2)</f>
        <v>0</v>
      </c>
      <c r="F63" s="277">
        <f>ROUND(F62*0.2,2)</f>
        <v>68539.63</v>
      </c>
      <c r="G63" s="278">
        <f>ROUND(G62*0.18,2)</f>
        <v>0</v>
      </c>
      <c r="H63" s="277">
        <f>ROUND(H62*0.2,2)</f>
        <v>68539.63</v>
      </c>
      <c r="K63" s="209"/>
      <c r="L63" s="272"/>
      <c r="M63" s="273"/>
      <c r="N63" s="273"/>
      <c r="O63" s="273"/>
    </row>
    <row r="64" spans="1:17" s="197" customFormat="1" ht="26.25" thickBot="1" x14ac:dyDescent="0.25">
      <c r="A64" s="279">
        <v>20</v>
      </c>
      <c r="B64" s="280" t="s">
        <v>361</v>
      </c>
      <c r="C64" s="281">
        <f t="shared" ref="C64:G64" si="1">C62+C63</f>
        <v>0</v>
      </c>
      <c r="D64" s="282">
        <f>D62+D63</f>
        <v>411237.78</v>
      </c>
      <c r="E64" s="283">
        <f t="shared" si="1"/>
        <v>0</v>
      </c>
      <c r="F64" s="282">
        <f>F62+F63</f>
        <v>411237.78</v>
      </c>
      <c r="G64" s="283">
        <f t="shared" si="1"/>
        <v>0</v>
      </c>
      <c r="H64" s="282">
        <f>H62+H63</f>
        <v>411237.78</v>
      </c>
      <c r="K64" s="209"/>
      <c r="L64" s="272"/>
      <c r="M64" s="273"/>
      <c r="N64" s="273"/>
      <c r="O64" s="273"/>
    </row>
    <row r="65" spans="1:15" s="197" customFormat="1" ht="15" x14ac:dyDescent="0.2">
      <c r="A65" s="284">
        <v>21</v>
      </c>
      <c r="B65" s="285" t="s">
        <v>322</v>
      </c>
      <c r="C65" s="286" t="s">
        <v>236</v>
      </c>
      <c r="D65" s="271">
        <f t="shared" ref="D65:H67" si="2">D62</f>
        <v>342698.15</v>
      </c>
      <c r="E65" s="287">
        <f t="shared" si="2"/>
        <v>0</v>
      </c>
      <c r="F65" s="271">
        <f t="shared" si="2"/>
        <v>342698.15</v>
      </c>
      <c r="G65" s="287">
        <f t="shared" si="2"/>
        <v>0</v>
      </c>
      <c r="H65" s="271">
        <f>H62</f>
        <v>342698.15</v>
      </c>
      <c r="K65" s="209"/>
      <c r="L65" s="272"/>
      <c r="M65" s="217"/>
      <c r="N65" s="273"/>
      <c r="O65" s="217"/>
    </row>
    <row r="66" spans="1:15" s="197" customFormat="1" ht="15" x14ac:dyDescent="0.2">
      <c r="A66" s="274">
        <v>22</v>
      </c>
      <c r="B66" s="288" t="s">
        <v>323</v>
      </c>
      <c r="C66" s="289" t="s">
        <v>236</v>
      </c>
      <c r="D66" s="277">
        <f t="shared" si="2"/>
        <v>68539.63</v>
      </c>
      <c r="E66" s="278">
        <f t="shared" si="2"/>
        <v>0</v>
      </c>
      <c r="F66" s="277">
        <f t="shared" si="2"/>
        <v>68539.63</v>
      </c>
      <c r="G66" s="278">
        <f t="shared" si="2"/>
        <v>0</v>
      </c>
      <c r="H66" s="277">
        <f t="shared" si="2"/>
        <v>68539.63</v>
      </c>
      <c r="K66" s="209"/>
      <c r="L66" s="272"/>
      <c r="M66" s="217"/>
      <c r="N66" s="273"/>
      <c r="O66" s="217"/>
    </row>
    <row r="67" spans="1:15" s="197" customFormat="1" ht="27" customHeight="1" thickBot="1" x14ac:dyDescent="0.25">
      <c r="A67" s="290">
        <v>23</v>
      </c>
      <c r="B67" s="291" t="s">
        <v>324</v>
      </c>
      <c r="C67" s="292" t="s">
        <v>236</v>
      </c>
      <c r="D67" s="293">
        <f t="shared" si="2"/>
        <v>411237.78</v>
      </c>
      <c r="E67" s="294">
        <f t="shared" si="2"/>
        <v>0</v>
      </c>
      <c r="F67" s="293">
        <f t="shared" si="2"/>
        <v>411237.78</v>
      </c>
      <c r="G67" s="294">
        <f t="shared" si="2"/>
        <v>0</v>
      </c>
      <c r="H67" s="293">
        <f t="shared" si="2"/>
        <v>411237.78</v>
      </c>
      <c r="K67" s="209"/>
      <c r="L67" s="272"/>
      <c r="M67" s="217"/>
      <c r="N67" s="273"/>
      <c r="O67" s="217"/>
    </row>
    <row r="68" spans="1:15" s="197" customFormat="1" ht="15" x14ac:dyDescent="0.2">
      <c r="A68" s="295">
        <v>24</v>
      </c>
      <c r="B68" s="285" t="s">
        <v>362</v>
      </c>
      <c r="C68" s="286" t="s">
        <v>236</v>
      </c>
      <c r="D68" s="271">
        <f t="shared" ref="D68:G69" si="3">D56-D65</f>
        <v>16792209.25</v>
      </c>
      <c r="E68" s="287">
        <f t="shared" si="3"/>
        <v>0</v>
      </c>
      <c r="F68" s="271">
        <f t="shared" si="3"/>
        <v>16792209.25</v>
      </c>
      <c r="G68" s="287">
        <f t="shared" si="3"/>
        <v>0</v>
      </c>
      <c r="H68" s="271">
        <f>H56-H65</f>
        <v>16792209.25</v>
      </c>
      <c r="J68" s="296"/>
      <c r="K68" s="209"/>
      <c r="L68" s="272"/>
      <c r="M68" s="217"/>
      <c r="N68" s="273"/>
      <c r="O68" s="217"/>
    </row>
    <row r="69" spans="1:15" s="197" customFormat="1" ht="15" x14ac:dyDescent="0.2">
      <c r="A69" s="297">
        <v>25</v>
      </c>
      <c r="B69" s="288" t="s">
        <v>363</v>
      </c>
      <c r="C69" s="289" t="s">
        <v>236</v>
      </c>
      <c r="D69" s="277">
        <f t="shared" si="3"/>
        <v>3358441.85</v>
      </c>
      <c r="E69" s="278">
        <f t="shared" si="3"/>
        <v>0</v>
      </c>
      <c r="F69" s="277">
        <f t="shared" si="3"/>
        <v>3358441.85</v>
      </c>
      <c r="G69" s="278">
        <f t="shared" si="3"/>
        <v>0</v>
      </c>
      <c r="H69" s="277">
        <f>H57-H66</f>
        <v>3358441.85</v>
      </c>
      <c r="K69" s="209"/>
      <c r="L69" s="272"/>
      <c r="M69" s="217"/>
      <c r="N69" s="273"/>
      <c r="O69" s="217"/>
    </row>
    <row r="70" spans="1:15" s="197" customFormat="1" ht="15" customHeight="1" thickBot="1" x14ac:dyDescent="0.25">
      <c r="A70" s="298">
        <v>26</v>
      </c>
      <c r="B70" s="299" t="s">
        <v>364</v>
      </c>
      <c r="C70" s="300" t="s">
        <v>236</v>
      </c>
      <c r="D70" s="293">
        <f>D58-D67</f>
        <v>20150651.100000001</v>
      </c>
      <c r="E70" s="294">
        <f>E68+E69</f>
        <v>0</v>
      </c>
      <c r="F70" s="293">
        <f>F58-F67</f>
        <v>20150651.100000001</v>
      </c>
      <c r="G70" s="294">
        <f>G68+G69</f>
        <v>0</v>
      </c>
      <c r="H70" s="293">
        <f>H58-H67</f>
        <v>20150651.100000001</v>
      </c>
      <c r="K70" s="209"/>
      <c r="L70" s="272"/>
      <c r="M70" s="217"/>
      <c r="N70" s="273"/>
      <c r="O70" s="217"/>
    </row>
    <row r="71" spans="1:15" s="197" customFormat="1" ht="23.25" customHeight="1" x14ac:dyDescent="0.2">
      <c r="A71" s="198"/>
      <c r="B71" s="198"/>
      <c r="C71" s="198"/>
      <c r="D71" s="199"/>
      <c r="E71" s="198"/>
      <c r="F71" s="199"/>
      <c r="G71" s="198"/>
      <c r="H71" s="199"/>
      <c r="K71" s="209"/>
      <c r="L71" s="301"/>
      <c r="M71" s="273"/>
      <c r="N71" s="273"/>
      <c r="O71" s="273"/>
    </row>
    <row r="72" spans="1:15" s="197" customFormat="1" ht="20.25" customHeight="1" x14ac:dyDescent="0.2">
      <c r="A72" s="198"/>
      <c r="B72" s="198"/>
      <c r="C72" s="198"/>
      <c r="D72" s="199"/>
      <c r="E72" s="198"/>
      <c r="F72" s="199"/>
      <c r="G72" s="198"/>
      <c r="H72" s="199"/>
      <c r="K72" s="209"/>
      <c r="L72" s="301"/>
      <c r="M72" s="273"/>
      <c r="N72" s="273"/>
      <c r="O72" s="273"/>
    </row>
    <row r="73" spans="1:15" s="197" customFormat="1" ht="17.25" customHeight="1" x14ac:dyDescent="0.2">
      <c r="A73" s="198"/>
      <c r="B73" s="302" t="s">
        <v>70</v>
      </c>
      <c r="C73" s="302"/>
      <c r="D73" s="302"/>
      <c r="E73" s="302"/>
      <c r="F73" s="302"/>
      <c r="G73" s="302"/>
      <c r="H73" s="302"/>
      <c r="K73" s="209"/>
      <c r="L73" s="303"/>
      <c r="M73" s="304"/>
      <c r="N73" s="304"/>
      <c r="O73" s="304"/>
    </row>
    <row r="74" spans="1:15" s="197" customFormat="1" ht="36" customHeight="1" x14ac:dyDescent="0.25">
      <c r="A74" s="198"/>
      <c r="B74" s="332" t="s">
        <v>325</v>
      </c>
      <c r="C74" s="305" t="s">
        <v>326</v>
      </c>
      <c r="D74" s="305"/>
      <c r="E74" s="305"/>
      <c r="F74" s="305"/>
      <c r="G74" s="305"/>
      <c r="H74" s="306" t="s">
        <v>228</v>
      </c>
      <c r="K74" s="209"/>
      <c r="L74" s="301"/>
      <c r="M74" s="273"/>
      <c r="N74" s="273"/>
      <c r="O74" s="273"/>
    </row>
    <row r="75" spans="1:15" s="197" customFormat="1" ht="15.75" x14ac:dyDescent="0.2">
      <c r="A75" s="198"/>
      <c r="B75" s="307" t="s">
        <v>327</v>
      </c>
      <c r="C75" s="308"/>
      <c r="D75" s="308"/>
      <c r="E75" s="308"/>
      <c r="F75" s="308"/>
      <c r="G75" s="308"/>
      <c r="H75" s="302"/>
      <c r="K75" s="209"/>
      <c r="L75" s="301"/>
      <c r="M75" s="273"/>
      <c r="N75" s="273"/>
      <c r="O75" s="273"/>
    </row>
    <row r="76" spans="1:15" s="197" customFormat="1" ht="15.75" x14ac:dyDescent="0.2">
      <c r="A76" s="198"/>
      <c r="B76" s="302"/>
      <c r="C76" s="308"/>
      <c r="D76" s="308"/>
      <c r="E76" s="308"/>
      <c r="F76" s="308"/>
      <c r="G76" s="308"/>
      <c r="H76" s="309"/>
      <c r="K76" s="209"/>
      <c r="L76" s="301"/>
      <c r="M76" s="304"/>
      <c r="N76" s="304"/>
      <c r="O76" s="304"/>
    </row>
    <row r="77" spans="1:15" s="197" customFormat="1" ht="15" x14ac:dyDescent="0.2">
      <c r="A77" s="198"/>
      <c r="B77" s="302" t="s">
        <v>206</v>
      </c>
      <c r="C77" s="302"/>
      <c r="D77" s="302"/>
      <c r="E77" s="302"/>
      <c r="F77" s="302"/>
      <c r="G77" s="302"/>
      <c r="H77" s="302"/>
      <c r="K77" s="209"/>
      <c r="L77" s="209"/>
      <c r="M77" s="209"/>
      <c r="N77" s="209"/>
      <c r="O77" s="209"/>
    </row>
    <row r="78" spans="1:15" s="197" customFormat="1" ht="37.5" customHeight="1" x14ac:dyDescent="0.25">
      <c r="A78" s="198"/>
      <c r="B78" s="332" t="s">
        <v>328</v>
      </c>
      <c r="C78" s="305" t="s">
        <v>326</v>
      </c>
      <c r="D78" s="305"/>
      <c r="E78" s="305"/>
      <c r="F78" s="305"/>
      <c r="G78" s="305"/>
      <c r="H78" s="310" t="s">
        <v>260</v>
      </c>
    </row>
    <row r="79" spans="1:15" s="197" customFormat="1" ht="15.75" x14ac:dyDescent="0.25">
      <c r="A79" s="198"/>
      <c r="B79" s="307" t="s">
        <v>327</v>
      </c>
      <c r="C79" s="302"/>
      <c r="D79" s="302"/>
      <c r="E79" s="308"/>
      <c r="F79" s="308"/>
      <c r="G79" s="308"/>
      <c r="H79" s="308"/>
      <c r="L79" s="311"/>
    </row>
  </sheetData>
  <mergeCells count="46">
    <mergeCell ref="A23:E23"/>
    <mergeCell ref="A22:E22"/>
    <mergeCell ref="A20:E20"/>
    <mergeCell ref="A18:E18"/>
    <mergeCell ref="A16:E16"/>
    <mergeCell ref="A14:E14"/>
    <mergeCell ref="A12:E12"/>
    <mergeCell ref="A21:E21"/>
    <mergeCell ref="A19:E19"/>
    <mergeCell ref="A17:E17"/>
    <mergeCell ref="A15:E15"/>
    <mergeCell ref="A13:E13"/>
    <mergeCell ref="G11:H12"/>
    <mergeCell ref="G10:H10"/>
    <mergeCell ref="G9:H9"/>
    <mergeCell ref="G25:H25"/>
    <mergeCell ref="G15:H16"/>
    <mergeCell ref="G13:H14"/>
    <mergeCell ref="K1:L1"/>
    <mergeCell ref="K2:L2"/>
    <mergeCell ref="G5:H5"/>
    <mergeCell ref="G6:H6"/>
    <mergeCell ref="G7:H7"/>
    <mergeCell ref="G29:H29"/>
    <mergeCell ref="F29:F30"/>
    <mergeCell ref="G21:H22"/>
    <mergeCell ref="G19:H20"/>
    <mergeCell ref="G17:H18"/>
    <mergeCell ref="G27:H27"/>
    <mergeCell ref="G26:H26"/>
    <mergeCell ref="G24:H24"/>
    <mergeCell ref="B61:H61"/>
    <mergeCell ref="A34:H34"/>
    <mergeCell ref="A35:H35"/>
    <mergeCell ref="A37:A42"/>
    <mergeCell ref="B37:B42"/>
    <mergeCell ref="C37:H37"/>
    <mergeCell ref="C38:D39"/>
    <mergeCell ref="E38:F39"/>
    <mergeCell ref="G38:H39"/>
    <mergeCell ref="C40:C42"/>
    <mergeCell ref="D40:D42"/>
    <mergeCell ref="E40:E42"/>
    <mergeCell ref="F40:F42"/>
    <mergeCell ref="G40:G42"/>
    <mergeCell ref="H40:H42"/>
  </mergeCells>
  <pageMargins left="0.7" right="0.7" top="0.75" bottom="0.75" header="0.3" footer="0.3"/>
  <pageSetup paperSize="9" scale="5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202"/>
  <sheetViews>
    <sheetView view="pageBreakPreview" topLeftCell="A143" zoomScale="70" zoomScaleNormal="100" zoomScaleSheetLayoutView="70" workbookViewId="0">
      <selection activeCell="J12" sqref="J12:L13"/>
    </sheetView>
  </sheetViews>
  <sheetFormatPr defaultRowHeight="12.75" x14ac:dyDescent="0.2"/>
  <cols>
    <col min="1" max="1" width="5.7109375" customWidth="1"/>
    <col min="2" max="2" width="10.28515625" customWidth="1"/>
    <col min="3" max="3" width="14.5703125" customWidth="1"/>
    <col min="4" max="4" width="40.7109375" customWidth="1"/>
    <col min="5" max="7" width="11.7109375" customWidth="1"/>
    <col min="8" max="8" width="12.7109375" customWidth="1"/>
    <col min="9" max="9" width="10.7109375" customWidth="1"/>
    <col min="10" max="10" width="14.85546875" customWidth="1"/>
    <col min="11" max="12" width="12.7109375" customWidth="1"/>
    <col min="15" max="29" width="0" hidden="1" customWidth="1"/>
    <col min="30" max="30" width="99.7109375" hidden="1" customWidth="1"/>
    <col min="31" max="31" width="155.7109375" hidden="1" customWidth="1"/>
    <col min="32" max="32" width="109.7109375" hidden="1" customWidth="1"/>
    <col min="33" max="36" width="0" hidden="1" customWidth="1"/>
  </cols>
  <sheetData>
    <row r="1" spans="1:256" s="47" customFormat="1" ht="14.25" customHeight="1" x14ac:dyDescent="0.25">
      <c r="A1" s="43"/>
      <c r="B1" s="43"/>
      <c r="C1" s="44"/>
      <c r="D1" s="44"/>
      <c r="E1" s="44"/>
      <c r="F1" s="43"/>
      <c r="G1" s="43"/>
      <c r="H1" s="43"/>
      <c r="I1" s="491" t="s">
        <v>64</v>
      </c>
      <c r="J1" s="491"/>
      <c r="K1" s="491"/>
      <c r="L1" s="491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</row>
    <row r="2" spans="1:256" s="47" customFormat="1" ht="15" x14ac:dyDescent="0.25">
      <c r="A2" s="43"/>
      <c r="B2" s="43"/>
      <c r="C2" s="43"/>
      <c r="D2" s="43"/>
      <c r="E2" s="43"/>
      <c r="F2" s="43"/>
      <c r="G2" s="43"/>
      <c r="H2" s="43"/>
      <c r="I2" s="491" t="s">
        <v>65</v>
      </c>
      <c r="J2" s="491"/>
      <c r="K2" s="491"/>
      <c r="L2" s="491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8"/>
      <c r="AF2" s="48"/>
      <c r="AG2" s="48"/>
      <c r="AH2" s="48"/>
      <c r="AI2" s="48"/>
      <c r="AJ2" s="48"/>
      <c r="AK2" s="48"/>
      <c r="AL2" s="48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</row>
    <row r="3" spans="1:256" s="47" customFormat="1" ht="15" x14ac:dyDescent="0.25">
      <c r="A3" s="43"/>
      <c r="B3" s="43"/>
      <c r="C3" s="43"/>
      <c r="D3" s="43"/>
      <c r="E3" s="43"/>
      <c r="F3" s="43"/>
      <c r="G3" s="43"/>
      <c r="H3" s="43"/>
      <c r="I3" s="491" t="s">
        <v>66</v>
      </c>
      <c r="J3" s="491"/>
      <c r="K3" s="491"/>
      <c r="L3" s="491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8"/>
      <c r="AF3" s="48"/>
      <c r="AG3" s="48"/>
      <c r="AH3" s="48"/>
      <c r="AI3" s="48"/>
      <c r="AJ3" s="48"/>
      <c r="AK3" s="48"/>
      <c r="AL3" s="48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</row>
    <row r="4" spans="1:256" s="47" customFormat="1" ht="15" x14ac:dyDescent="0.25">
      <c r="A4" s="43"/>
      <c r="B4" s="43"/>
      <c r="C4" s="43"/>
      <c r="D4" s="43"/>
      <c r="E4" s="43"/>
      <c r="F4" s="43"/>
      <c r="G4" s="43"/>
      <c r="H4" s="43"/>
      <c r="I4" s="43"/>
      <c r="J4" s="511" t="s">
        <v>67</v>
      </c>
      <c r="K4" s="512"/>
      <c r="L4" s="513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</row>
    <row r="5" spans="1:256" s="47" customFormat="1" ht="15" x14ac:dyDescent="0.25">
      <c r="A5" s="43"/>
      <c r="B5" s="43"/>
      <c r="C5" s="43"/>
      <c r="D5" s="43"/>
      <c r="E5" s="43"/>
      <c r="F5" s="43"/>
      <c r="G5" s="43"/>
      <c r="H5" s="43"/>
      <c r="I5" s="50" t="s">
        <v>0</v>
      </c>
      <c r="J5" s="529" t="s">
        <v>68</v>
      </c>
      <c r="K5" s="530"/>
      <c r="L5" s="531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5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</row>
    <row r="6" spans="1:256" s="47" customFormat="1" ht="15" x14ac:dyDescent="0.25">
      <c r="A6" s="43"/>
      <c r="B6" s="43"/>
      <c r="C6" s="43"/>
      <c r="D6" s="43"/>
      <c r="E6" s="43"/>
      <c r="F6" s="43"/>
      <c r="G6" s="43"/>
      <c r="H6" s="43"/>
      <c r="I6" s="43"/>
      <c r="J6" s="492" t="s">
        <v>98</v>
      </c>
      <c r="K6" s="493"/>
      <c r="L6" s="494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</row>
    <row r="7" spans="1:256" s="47" customFormat="1" ht="27.75" customHeight="1" x14ac:dyDescent="0.25">
      <c r="A7" s="532" t="s">
        <v>50</v>
      </c>
      <c r="B7" s="532"/>
      <c r="C7" s="498" t="s">
        <v>99</v>
      </c>
      <c r="D7" s="498"/>
      <c r="E7" s="498"/>
      <c r="F7" s="498"/>
      <c r="G7" s="498"/>
      <c r="H7" s="498"/>
      <c r="I7" s="50" t="s">
        <v>1</v>
      </c>
      <c r="J7" s="495"/>
      <c r="K7" s="496"/>
      <c r="L7" s="497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52" t="e">
        <v>#REF!</v>
      </c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</row>
    <row r="8" spans="1:256" s="47" customFormat="1" ht="15" x14ac:dyDescent="0.25">
      <c r="A8" s="43"/>
      <c r="B8" s="43"/>
      <c r="C8" s="508" t="s">
        <v>69</v>
      </c>
      <c r="D8" s="508"/>
      <c r="E8" s="508"/>
      <c r="F8" s="508"/>
      <c r="G8" s="508"/>
      <c r="H8" s="508"/>
      <c r="I8" s="43"/>
      <c r="J8" s="492" t="s">
        <v>51</v>
      </c>
      <c r="K8" s="493"/>
      <c r="L8" s="494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pans="1:256" s="47" customFormat="1" ht="29.25" customHeight="1" x14ac:dyDescent="0.25">
      <c r="A9" s="532" t="s">
        <v>100</v>
      </c>
      <c r="B9" s="532"/>
      <c r="C9" s="498" t="s">
        <v>101</v>
      </c>
      <c r="D9" s="498"/>
      <c r="E9" s="498"/>
      <c r="F9" s="498"/>
      <c r="G9" s="498"/>
      <c r="H9" s="498"/>
      <c r="I9" s="50" t="s">
        <v>1</v>
      </c>
      <c r="J9" s="495"/>
      <c r="K9" s="496"/>
      <c r="L9" s="497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52" t="e">
        <v>#REF!</v>
      </c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 s="47" customFormat="1" ht="15" x14ac:dyDescent="0.25">
      <c r="A10" s="43"/>
      <c r="B10" s="43"/>
      <c r="C10" s="508" t="s">
        <v>69</v>
      </c>
      <c r="D10" s="508"/>
      <c r="E10" s="508"/>
      <c r="F10" s="508"/>
      <c r="G10" s="508"/>
      <c r="H10" s="508"/>
      <c r="I10" s="43"/>
      <c r="J10" s="492" t="s">
        <v>51</v>
      </c>
      <c r="K10" s="493"/>
      <c r="L10" s="494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 s="47" customFormat="1" ht="15" x14ac:dyDescent="0.25">
      <c r="A11" s="43" t="s">
        <v>70</v>
      </c>
      <c r="B11" s="43"/>
      <c r="C11" s="498" t="s">
        <v>102</v>
      </c>
      <c r="D11" s="498"/>
      <c r="E11" s="498"/>
      <c r="F11" s="498"/>
      <c r="G11" s="498"/>
      <c r="H11" s="498"/>
      <c r="I11" s="50" t="s">
        <v>1</v>
      </c>
      <c r="J11" s="495"/>
      <c r="K11" s="496"/>
      <c r="L11" s="49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52" t="e">
        <v>#REF!</v>
      </c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s="47" customFormat="1" ht="15" x14ac:dyDescent="0.25">
      <c r="A12" s="43"/>
      <c r="B12" s="43"/>
      <c r="C12" s="499" t="s">
        <v>69</v>
      </c>
      <c r="D12" s="499"/>
      <c r="E12" s="499"/>
      <c r="F12" s="499"/>
      <c r="G12" s="499"/>
      <c r="H12" s="499"/>
      <c r="I12" s="43"/>
      <c r="J12" s="492" t="s">
        <v>204</v>
      </c>
      <c r="K12" s="506"/>
      <c r="L12" s="494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s="47" customFormat="1" ht="15" x14ac:dyDescent="0.25">
      <c r="A13" s="43" t="s">
        <v>206</v>
      </c>
      <c r="B13" s="43"/>
      <c r="C13" s="498" t="s">
        <v>205</v>
      </c>
      <c r="D13" s="498"/>
      <c r="E13" s="498"/>
      <c r="F13" s="498"/>
      <c r="G13" s="498"/>
      <c r="H13" s="498"/>
      <c r="I13" s="71" t="s">
        <v>1</v>
      </c>
      <c r="J13" s="495"/>
      <c r="K13" s="496"/>
      <c r="L13" s="497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70" t="e">
        <v>#REF!</v>
      </c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s="47" customFormat="1" ht="15" x14ac:dyDescent="0.25">
      <c r="A14" s="43"/>
      <c r="B14" s="43"/>
      <c r="C14" s="499" t="s">
        <v>69</v>
      </c>
      <c r="D14" s="499"/>
      <c r="E14" s="499"/>
      <c r="F14" s="499"/>
      <c r="G14" s="499"/>
      <c r="H14" s="499"/>
      <c r="I14" s="43"/>
      <c r="J14" s="500"/>
      <c r="K14" s="501"/>
      <c r="L14" s="502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s="47" customFormat="1" ht="30" customHeight="1" x14ac:dyDescent="0.25">
      <c r="A15" s="43" t="s">
        <v>71</v>
      </c>
      <c r="B15" s="43"/>
      <c r="C15" s="507" t="s">
        <v>52</v>
      </c>
      <c r="D15" s="507"/>
      <c r="E15" s="507"/>
      <c r="F15" s="507"/>
      <c r="G15" s="507"/>
      <c r="H15" s="507"/>
      <c r="I15" s="43"/>
      <c r="J15" s="503"/>
      <c r="K15" s="504"/>
      <c r="L15" s="50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52" t="s">
        <v>103</v>
      </c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s="47" customFormat="1" ht="15" x14ac:dyDescent="0.25">
      <c r="A16" s="43"/>
      <c r="B16" s="43"/>
      <c r="C16" s="499" t="s">
        <v>72</v>
      </c>
      <c r="D16" s="499"/>
      <c r="E16" s="499"/>
      <c r="F16" s="499"/>
      <c r="G16" s="499"/>
      <c r="H16" s="499"/>
      <c r="I16" s="43"/>
      <c r="J16" s="500"/>
      <c r="K16" s="501"/>
      <c r="L16" s="502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8" s="47" customFormat="1" ht="30.75" customHeight="1" x14ac:dyDescent="0.25">
      <c r="A17" s="43" t="s">
        <v>73</v>
      </c>
      <c r="B17" s="43"/>
      <c r="C17" s="507" t="s">
        <v>52</v>
      </c>
      <c r="D17" s="507"/>
      <c r="E17" s="507"/>
      <c r="F17" s="507"/>
      <c r="G17" s="507"/>
      <c r="H17" s="507"/>
      <c r="I17" s="43"/>
      <c r="J17" s="503"/>
      <c r="K17" s="504"/>
      <c r="L17" s="50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53" t="e">
        <v>#REF!</v>
      </c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8" s="47" customFormat="1" ht="15.75" customHeight="1" x14ac:dyDescent="0.2">
      <c r="A18" s="43"/>
      <c r="B18" s="43"/>
      <c r="C18" s="508" t="s">
        <v>74</v>
      </c>
      <c r="D18" s="508"/>
      <c r="E18" s="508"/>
      <c r="F18" s="508"/>
      <c r="G18" s="508"/>
      <c r="H18" s="508"/>
      <c r="I18" s="43"/>
      <c r="J18" s="43"/>
      <c r="K18" s="43"/>
      <c r="L18" s="43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</row>
    <row r="19" spans="1:258" s="47" customFormat="1" ht="14.25" x14ac:dyDescent="0.2">
      <c r="A19" s="43"/>
      <c r="B19" s="43"/>
      <c r="C19" s="43"/>
      <c r="D19" s="43"/>
      <c r="E19" s="43"/>
      <c r="F19" s="43"/>
      <c r="G19" s="509" t="s">
        <v>75</v>
      </c>
      <c r="H19" s="509"/>
      <c r="I19" s="510"/>
      <c r="J19" s="511"/>
      <c r="K19" s="512"/>
      <c r="L19" s="513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</row>
    <row r="20" spans="1:258" s="47" customFormat="1" ht="14.25" x14ac:dyDescent="0.2">
      <c r="A20" s="43"/>
      <c r="B20" s="43"/>
      <c r="C20" s="43"/>
      <c r="D20" s="43"/>
      <c r="E20" s="43"/>
      <c r="F20" s="43"/>
      <c r="G20" s="509" t="s">
        <v>76</v>
      </c>
      <c r="H20" s="510"/>
      <c r="I20" s="54" t="s">
        <v>77</v>
      </c>
      <c r="J20" s="511" t="s">
        <v>227</v>
      </c>
      <c r="K20" s="512"/>
      <c r="L20" s="513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8" s="47" customFormat="1" ht="14.25" x14ac:dyDescent="0.2">
      <c r="A21" s="43"/>
      <c r="B21" s="43"/>
      <c r="C21" s="43"/>
      <c r="D21" s="43"/>
      <c r="E21" s="43"/>
      <c r="F21" s="43"/>
      <c r="G21" s="43"/>
      <c r="H21" s="43"/>
      <c r="I21" s="55" t="s">
        <v>2</v>
      </c>
      <c r="J21" s="540">
        <v>43811</v>
      </c>
      <c r="K21" s="541"/>
      <c r="L21" s="542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8" s="47" customFormat="1" ht="15" customHeight="1" x14ac:dyDescent="0.2">
      <c r="A22" s="43"/>
      <c r="B22" s="43"/>
      <c r="C22" s="43"/>
      <c r="D22" s="43"/>
      <c r="E22" s="43"/>
      <c r="F22" s="43"/>
      <c r="G22" s="43"/>
      <c r="H22" s="43"/>
      <c r="I22" s="50" t="s">
        <v>78</v>
      </c>
      <c r="J22" s="511"/>
      <c r="K22" s="512"/>
      <c r="L22" s="513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8" s="47" customFormat="1" ht="14.25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8" s="47" customFormat="1" ht="14.25" x14ac:dyDescent="0.2">
      <c r="A24" s="43"/>
      <c r="B24" s="43"/>
      <c r="C24" s="43"/>
      <c r="D24" s="43"/>
      <c r="E24" s="43"/>
      <c r="F24" s="43"/>
      <c r="G24" s="43"/>
      <c r="H24" s="43"/>
      <c r="I24" s="535" t="s">
        <v>79</v>
      </c>
      <c r="J24" s="535" t="s">
        <v>80</v>
      </c>
      <c r="K24" s="537" t="s">
        <v>3</v>
      </c>
      <c r="L24" s="538"/>
      <c r="M24" s="43"/>
      <c r="N24" s="43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</row>
    <row r="25" spans="1:258" s="47" customFormat="1" ht="14.25" x14ac:dyDescent="0.2">
      <c r="A25" s="43"/>
      <c r="B25" s="43"/>
      <c r="C25" s="43"/>
      <c r="D25" s="43"/>
      <c r="E25" s="43"/>
      <c r="F25" s="43"/>
      <c r="G25" s="43"/>
      <c r="H25" s="43"/>
      <c r="I25" s="536"/>
      <c r="J25" s="536"/>
      <c r="K25" s="56" t="s">
        <v>4</v>
      </c>
      <c r="L25" s="57" t="s">
        <v>5</v>
      </c>
      <c r="M25" s="43"/>
      <c r="N25" s="43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</row>
    <row r="26" spans="1:258" s="47" customFormat="1" ht="14.25" x14ac:dyDescent="0.2">
      <c r="A26" s="43"/>
      <c r="B26" s="43"/>
      <c r="C26" s="43"/>
      <c r="D26" s="43"/>
      <c r="E26" s="43"/>
      <c r="F26" s="43"/>
      <c r="G26" s="43"/>
      <c r="H26" s="43"/>
      <c r="I26" s="58" t="s">
        <v>234</v>
      </c>
      <c r="J26" s="59">
        <v>44012</v>
      </c>
      <c r="K26" s="59">
        <v>43983</v>
      </c>
      <c r="L26" s="60">
        <f>J26</f>
        <v>44012</v>
      </c>
      <c r="M26" s="43"/>
      <c r="N26" s="43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</row>
    <row r="27" spans="1:258" s="47" customFormat="1" ht="18" x14ac:dyDescent="0.25">
      <c r="A27" s="539" t="s">
        <v>104</v>
      </c>
      <c r="B27" s="539"/>
      <c r="C27" s="539"/>
      <c r="D27" s="539"/>
      <c r="E27" s="539"/>
      <c r="F27" s="539"/>
      <c r="G27" s="539"/>
      <c r="H27" s="539"/>
      <c r="I27" s="539"/>
      <c r="J27" s="539"/>
      <c r="K27" s="539"/>
      <c r="L27" s="53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</row>
    <row r="28" spans="1:258" s="31" customFormat="1" ht="18" x14ac:dyDescent="0.25">
      <c r="A28" s="548" t="s">
        <v>81</v>
      </c>
      <c r="B28" s="548"/>
      <c r="C28" s="548"/>
      <c r="D28" s="548"/>
      <c r="E28" s="548"/>
      <c r="F28" s="548"/>
      <c r="G28" s="548"/>
      <c r="H28" s="548"/>
      <c r="I28" s="548"/>
      <c r="J28" s="548"/>
      <c r="K28" s="548"/>
      <c r="L28" s="548"/>
    </row>
    <row r="29" spans="1:258" s="32" customFormat="1" ht="14.25" hidden="1" customHeight="1" x14ac:dyDescent="0.25">
      <c r="A29" s="533" t="s">
        <v>105</v>
      </c>
      <c r="B29" s="533"/>
      <c r="C29" s="533"/>
      <c r="D29" s="533"/>
      <c r="E29" s="533"/>
      <c r="F29" s="533"/>
      <c r="G29" s="533"/>
      <c r="H29" s="533"/>
      <c r="I29" s="533"/>
      <c r="J29" s="533"/>
      <c r="K29" s="533"/>
      <c r="L29" s="533"/>
    </row>
    <row r="30" spans="1:258" s="32" customFormat="1" ht="14.25" customHeight="1" x14ac:dyDescent="0.25">
      <c r="A30" s="533" t="s">
        <v>203</v>
      </c>
      <c r="B30" s="533"/>
      <c r="C30" s="533"/>
      <c r="D30" s="533"/>
      <c r="E30" s="533"/>
      <c r="F30" s="533"/>
      <c r="G30" s="533"/>
      <c r="H30" s="533"/>
      <c r="I30" s="533"/>
      <c r="J30" s="533"/>
      <c r="K30" s="533"/>
      <c r="L30" s="533"/>
    </row>
    <row r="31" spans="1:258" s="32" customFormat="1" ht="37.5" customHeight="1" x14ac:dyDescent="0.2">
      <c r="A31" s="534" t="s">
        <v>106</v>
      </c>
      <c r="B31" s="534"/>
      <c r="C31" s="534"/>
      <c r="D31" s="534"/>
      <c r="E31" s="534"/>
      <c r="F31" s="534"/>
      <c r="G31" s="534"/>
      <c r="H31" s="534"/>
      <c r="I31" s="534"/>
      <c r="J31" s="534"/>
      <c r="K31" s="534"/>
      <c r="L31" s="534"/>
    </row>
    <row r="32" spans="1:258" ht="14.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31" ht="14.25" x14ac:dyDescent="0.2">
      <c r="A33" s="519" t="s">
        <v>82</v>
      </c>
      <c r="B33" s="519"/>
      <c r="C33" s="519"/>
      <c r="D33" s="519"/>
      <c r="E33" s="519"/>
      <c r="F33" s="519"/>
      <c r="G33" s="519"/>
      <c r="H33" s="519"/>
      <c r="I33" s="519"/>
      <c r="J33" s="519"/>
      <c r="K33" s="519"/>
      <c r="L33" s="519"/>
      <c r="AE33" s="29" t="s">
        <v>82</v>
      </c>
    </row>
    <row r="34" spans="1:31" ht="14.25" x14ac:dyDescent="0.2">
      <c r="A34" s="520" t="s">
        <v>7</v>
      </c>
      <c r="B34" s="520"/>
      <c r="C34" s="520" t="s">
        <v>8</v>
      </c>
      <c r="D34" s="520" t="s">
        <v>9</v>
      </c>
      <c r="E34" s="520" t="s">
        <v>10</v>
      </c>
      <c r="F34" s="520" t="s">
        <v>11</v>
      </c>
      <c r="G34" s="520" t="s">
        <v>12</v>
      </c>
      <c r="H34" s="521" t="s">
        <v>13</v>
      </c>
      <c r="I34" s="521" t="s">
        <v>14</v>
      </c>
      <c r="J34" s="520" t="s">
        <v>15</v>
      </c>
      <c r="K34" s="520" t="s">
        <v>16</v>
      </c>
      <c r="L34" s="520" t="s">
        <v>17</v>
      </c>
    </row>
    <row r="35" spans="1:31" x14ac:dyDescent="0.2">
      <c r="A35" s="521" t="s">
        <v>18</v>
      </c>
      <c r="B35" s="521" t="s">
        <v>19</v>
      </c>
      <c r="C35" s="520"/>
      <c r="D35" s="520"/>
      <c r="E35" s="520"/>
      <c r="F35" s="520"/>
      <c r="G35" s="520"/>
      <c r="H35" s="522"/>
      <c r="I35" s="522"/>
      <c r="J35" s="520"/>
      <c r="K35" s="520"/>
      <c r="L35" s="520"/>
    </row>
    <row r="36" spans="1:31" x14ac:dyDescent="0.2">
      <c r="A36" s="522"/>
      <c r="B36" s="522"/>
      <c r="C36" s="520"/>
      <c r="D36" s="520"/>
      <c r="E36" s="520"/>
      <c r="F36" s="520"/>
      <c r="G36" s="520"/>
      <c r="H36" s="522"/>
      <c r="I36" s="522"/>
      <c r="J36" s="520"/>
      <c r="K36" s="520"/>
      <c r="L36" s="520"/>
    </row>
    <row r="37" spans="1:31" ht="20.100000000000001" customHeight="1" x14ac:dyDescent="0.2">
      <c r="A37" s="522"/>
      <c r="B37" s="522"/>
      <c r="C37" s="520"/>
      <c r="D37" s="520"/>
      <c r="E37" s="520"/>
      <c r="F37" s="520"/>
      <c r="G37" s="520"/>
      <c r="H37" s="522"/>
      <c r="I37" s="522"/>
      <c r="J37" s="520"/>
      <c r="K37" s="520"/>
      <c r="L37" s="520"/>
    </row>
    <row r="38" spans="1:31" ht="20.100000000000001" customHeight="1" x14ac:dyDescent="0.2">
      <c r="A38" s="523"/>
      <c r="B38" s="523"/>
      <c r="C38" s="520"/>
      <c r="D38" s="520"/>
      <c r="E38" s="520"/>
      <c r="F38" s="520"/>
      <c r="G38" s="520"/>
      <c r="H38" s="523"/>
      <c r="I38" s="523"/>
      <c r="J38" s="520"/>
      <c r="K38" s="520"/>
      <c r="L38" s="520"/>
    </row>
    <row r="39" spans="1:31" ht="14.25" x14ac:dyDescent="0.2">
      <c r="A39" s="28">
        <v>1</v>
      </c>
      <c r="B39" s="28">
        <v>2</v>
      </c>
      <c r="C39" s="28">
        <v>3</v>
      </c>
      <c r="D39" s="28">
        <v>4</v>
      </c>
      <c r="E39" s="28">
        <v>5</v>
      </c>
      <c r="F39" s="28">
        <v>6</v>
      </c>
      <c r="G39" s="28">
        <v>7</v>
      </c>
      <c r="H39" s="28">
        <v>8</v>
      </c>
      <c r="I39" s="28">
        <v>9</v>
      </c>
      <c r="J39" s="28">
        <v>10</v>
      </c>
      <c r="K39" s="28">
        <v>11</v>
      </c>
      <c r="L39" s="28">
        <v>12</v>
      </c>
    </row>
    <row r="41" spans="1:31" s="32" customFormat="1" ht="15.75" x14ac:dyDescent="0.25">
      <c r="A41" s="515" t="s">
        <v>57</v>
      </c>
      <c r="B41" s="515"/>
      <c r="C41" s="515"/>
      <c r="D41" s="515"/>
      <c r="E41" s="515"/>
      <c r="F41" s="515"/>
      <c r="G41" s="515"/>
      <c r="H41" s="515"/>
      <c r="I41" s="515"/>
      <c r="J41" s="515"/>
      <c r="K41" s="515"/>
      <c r="L41" s="515"/>
    </row>
    <row r="42" spans="1:31" s="32" customFormat="1" ht="15.75" x14ac:dyDescent="0.25">
      <c r="A42" s="515" t="s">
        <v>201</v>
      </c>
      <c r="B42" s="515"/>
      <c r="C42" s="515"/>
      <c r="D42" s="515"/>
      <c r="E42" s="515"/>
      <c r="F42" s="515"/>
      <c r="G42" s="515"/>
      <c r="H42" s="515"/>
      <c r="I42" s="515"/>
      <c r="J42" s="515"/>
      <c r="K42" s="515"/>
      <c r="L42" s="515"/>
    </row>
    <row r="43" spans="1:31" s="32" customFormat="1" ht="15.75" x14ac:dyDescent="0.25">
      <c r="A43" s="515" t="s">
        <v>202</v>
      </c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</row>
    <row r="44" spans="1:31" s="32" customFormat="1" ht="15.75" hidden="1" x14ac:dyDescent="0.25">
      <c r="A44" s="516" t="s">
        <v>60</v>
      </c>
      <c r="B44" s="517"/>
      <c r="C44" s="517"/>
      <c r="D44" s="517"/>
      <c r="E44" s="517"/>
      <c r="F44" s="517"/>
      <c r="G44" s="517"/>
      <c r="H44" s="517"/>
      <c r="I44" s="517"/>
      <c r="J44" s="517"/>
      <c r="K44" s="517"/>
      <c r="L44" s="518"/>
    </row>
    <row r="45" spans="1:31" s="32" customFormat="1" ht="15.75" hidden="1" x14ac:dyDescent="0.2">
      <c r="A45" s="549" t="s">
        <v>61</v>
      </c>
      <c r="B45" s="549"/>
      <c r="C45" s="549"/>
      <c r="D45" s="549"/>
      <c r="E45" s="549"/>
      <c r="F45" s="549"/>
      <c r="G45" s="549"/>
      <c r="H45" s="549"/>
      <c r="I45" s="549"/>
      <c r="J45" s="549"/>
      <c r="K45" s="549"/>
      <c r="L45" s="549"/>
    </row>
    <row r="46" spans="1:31" s="32" customFormat="1" ht="15.75" hidden="1" x14ac:dyDescent="0.2">
      <c r="A46" s="549" t="s">
        <v>62</v>
      </c>
      <c r="B46" s="549"/>
      <c r="C46" s="549"/>
      <c r="D46" s="549"/>
      <c r="E46" s="549"/>
      <c r="F46" s="549"/>
      <c r="G46" s="549"/>
      <c r="H46" s="549"/>
      <c r="I46" s="549"/>
      <c r="J46" s="549"/>
      <c r="K46" s="549"/>
      <c r="L46" s="549"/>
    </row>
    <row r="47" spans="1:31" s="32" customFormat="1" ht="14.25" x14ac:dyDescent="0.2">
      <c r="A47" s="33" t="s">
        <v>63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9" spans="1:22" ht="16.5" x14ac:dyDescent="0.25">
      <c r="A49" s="514" t="str">
        <f>CONCATENATE("Раздел: ",IF([79]Source!G28&lt;&gt;"Новый раздел", [79]Source!G28, ""))</f>
        <v>Раздел: Вентиляция</v>
      </c>
      <c r="B49" s="514"/>
      <c r="C49" s="514"/>
      <c r="D49" s="514"/>
      <c r="E49" s="514"/>
      <c r="F49" s="514"/>
      <c r="G49" s="514"/>
      <c r="H49" s="514"/>
      <c r="I49" s="514"/>
      <c r="J49" s="514"/>
      <c r="K49" s="514"/>
      <c r="L49" s="514"/>
    </row>
    <row r="51" spans="1:22" ht="16.5" x14ac:dyDescent="0.25">
      <c r="A51" s="514" t="str">
        <f>CONCATENATE("Подраздел: ",IF([79]Source!G2404&lt;&gt;"Новый подраздел", [79]Source!G2404, ""))</f>
        <v>Подраздел: Дополнительные материалы и оборудование</v>
      </c>
      <c r="B51" s="514"/>
      <c r="C51" s="514"/>
      <c r="D51" s="514"/>
      <c r="E51" s="514"/>
      <c r="F51" s="514"/>
      <c r="G51" s="514"/>
      <c r="H51" s="514"/>
      <c r="I51" s="514"/>
      <c r="J51" s="514"/>
      <c r="K51" s="514"/>
      <c r="L51" s="514"/>
    </row>
    <row r="52" spans="1:22" ht="71.25" x14ac:dyDescent="0.2">
      <c r="A52" s="4">
        <v>1</v>
      </c>
      <c r="B52" s="4" t="str">
        <f>[79]Source!E2638</f>
        <v>424</v>
      </c>
      <c r="C52" s="5" t="str">
        <f>[79]Source!F2638</f>
        <v>1.19-10-1</v>
      </c>
      <c r="D52" s="5" t="s">
        <v>83</v>
      </c>
      <c r="E52" s="6" t="str">
        <f>[79]Source!H2638</f>
        <v>шт.</v>
      </c>
      <c r="F52" s="2">
        <f>[79]Source!I2638</f>
        <v>1</v>
      </c>
      <c r="G52" s="7">
        <f>[79]Source!AL2638</f>
        <v>351.97</v>
      </c>
      <c r="H52" s="8" t="str">
        <f>[79]Source!DD2638</f>
        <v/>
      </c>
      <c r="I52" s="2">
        <f>[79]Source!AW2639</f>
        <v>1</v>
      </c>
      <c r="J52" s="25">
        <f>[79]Source!P2638</f>
        <v>351.97</v>
      </c>
      <c r="K52" s="2">
        <f>IF([79]Source!BC2639&lt;&gt; 0, [79]Source!BC2639, 1)</f>
        <v>1.98</v>
      </c>
      <c r="L52" s="25">
        <f>[79]Source!P2639</f>
        <v>696.9</v>
      </c>
      <c r="Q52">
        <f>[79]Source!X2638</f>
        <v>0</v>
      </c>
      <c r="R52">
        <f>[79]Source!X2639</f>
        <v>0</v>
      </c>
      <c r="S52">
        <f>[79]Source!Y2638</f>
        <v>0</v>
      </c>
      <c r="T52">
        <f>[79]Source!Y2639</f>
        <v>0</v>
      </c>
      <c r="U52">
        <f>ROUND((175/100)*ROUND([79]Source!R2638, 2), 2)</f>
        <v>0</v>
      </c>
      <c r="V52">
        <f>ROUND((157/100)*ROUND([79]Source!R2639, 2), 2)</f>
        <v>0</v>
      </c>
    </row>
    <row r="53" spans="1:22" ht="15" x14ac:dyDescent="0.25">
      <c r="A53" s="35"/>
      <c r="B53" s="35"/>
      <c r="C53" s="35"/>
      <c r="D53" s="35"/>
      <c r="E53" s="35"/>
      <c r="F53" s="35"/>
      <c r="G53" s="35"/>
      <c r="H53" s="35"/>
      <c r="I53" s="524">
        <f>J52</f>
        <v>351.97</v>
      </c>
      <c r="J53" s="524"/>
      <c r="K53" s="524">
        <f>L52</f>
        <v>696.9</v>
      </c>
      <c r="L53" s="524"/>
      <c r="O53" s="11">
        <f>J52</f>
        <v>351.97</v>
      </c>
      <c r="P53" s="11">
        <f>L52</f>
        <v>696.9</v>
      </c>
    </row>
    <row r="54" spans="1:22" ht="71.25" x14ac:dyDescent="0.2">
      <c r="A54" s="4">
        <v>2</v>
      </c>
      <c r="B54" s="4" t="str">
        <f>[79]Source!E2642</f>
        <v>426</v>
      </c>
      <c r="C54" s="5" t="str">
        <f>[79]Source!F2642</f>
        <v>1.19-10-6</v>
      </c>
      <c r="D54" s="5" t="s">
        <v>84</v>
      </c>
      <c r="E54" s="6" t="str">
        <f>[79]Source!H2642</f>
        <v>шт.</v>
      </c>
      <c r="F54" s="2">
        <f>[79]Source!I2642</f>
        <v>6</v>
      </c>
      <c r="G54" s="7">
        <f>[79]Source!AL2642</f>
        <v>388.77</v>
      </c>
      <c r="H54" s="8" t="str">
        <f>[79]Source!DD2642</f>
        <v/>
      </c>
      <c r="I54" s="2">
        <f>[79]Source!AW2643</f>
        <v>1</v>
      </c>
      <c r="J54" s="25">
        <f>[79]Source!P2642</f>
        <v>2332.62</v>
      </c>
      <c r="K54" s="2">
        <f>IF([79]Source!BC2643&lt;&gt; 0, [79]Source!BC2643, 1)</f>
        <v>1.67</v>
      </c>
      <c r="L54" s="25">
        <f>[79]Source!P2643</f>
        <v>3895.48</v>
      </c>
      <c r="Q54">
        <f>[79]Source!X2642</f>
        <v>0</v>
      </c>
      <c r="R54">
        <f>[79]Source!X2643</f>
        <v>0</v>
      </c>
      <c r="S54">
        <f>[79]Source!Y2642</f>
        <v>0</v>
      </c>
      <c r="T54">
        <f>[79]Source!Y2643</f>
        <v>0</v>
      </c>
      <c r="U54">
        <f>ROUND((175/100)*ROUND([79]Source!R2642, 2), 2)</f>
        <v>0</v>
      </c>
      <c r="V54">
        <f>ROUND((157/100)*ROUND([79]Source!R2643, 2), 2)</f>
        <v>0</v>
      </c>
    </row>
    <row r="55" spans="1:22" ht="15" x14ac:dyDescent="0.25">
      <c r="A55" s="35"/>
      <c r="B55" s="35"/>
      <c r="C55" s="35"/>
      <c r="D55" s="35"/>
      <c r="E55" s="35"/>
      <c r="F55" s="35"/>
      <c r="G55" s="35"/>
      <c r="H55" s="35"/>
      <c r="I55" s="524">
        <f>J54</f>
        <v>2332.62</v>
      </c>
      <c r="J55" s="524"/>
      <c r="K55" s="524">
        <f>L54</f>
        <v>3895.48</v>
      </c>
      <c r="L55" s="524"/>
      <c r="O55" s="11">
        <f>J54</f>
        <v>2332.62</v>
      </c>
      <c r="P55" s="11">
        <f>L54</f>
        <v>3895.48</v>
      </c>
    </row>
    <row r="56" spans="1:22" ht="71.25" x14ac:dyDescent="0.2">
      <c r="A56" s="4">
        <v>3</v>
      </c>
      <c r="B56" s="4" t="str">
        <f>[79]Source!E2644</f>
        <v>427</v>
      </c>
      <c r="C56" s="5" t="str">
        <f>[79]Source!F2644</f>
        <v>1.19-10-7</v>
      </c>
      <c r="D56" s="5" t="s">
        <v>85</v>
      </c>
      <c r="E56" s="6" t="str">
        <f>[79]Source!H2644</f>
        <v>шт.</v>
      </c>
      <c r="F56" s="2">
        <f>[79]Source!I2644</f>
        <v>13</v>
      </c>
      <c r="G56" s="7">
        <f>[79]Source!AL2644</f>
        <v>443.7</v>
      </c>
      <c r="H56" s="8" t="str">
        <f>[79]Source!DD2644</f>
        <v/>
      </c>
      <c r="I56" s="2">
        <f>[79]Source!AW2645</f>
        <v>1</v>
      </c>
      <c r="J56" s="25">
        <f>[79]Source!P2644</f>
        <v>5768.1</v>
      </c>
      <c r="K56" s="2">
        <f>IF([79]Source!BC2645&lt;&gt; 0, [79]Source!BC2645, 1)</f>
        <v>3.11</v>
      </c>
      <c r="L56" s="25">
        <f>[79]Source!P2645</f>
        <v>17938.79</v>
      </c>
      <c r="Q56">
        <f>[79]Source!X2644</f>
        <v>0</v>
      </c>
      <c r="R56">
        <f>[79]Source!X2645</f>
        <v>0</v>
      </c>
      <c r="S56">
        <f>[79]Source!Y2644</f>
        <v>0</v>
      </c>
      <c r="T56">
        <f>[79]Source!Y2645</f>
        <v>0</v>
      </c>
      <c r="U56">
        <f>ROUND((175/100)*ROUND([79]Source!R2644, 2), 2)</f>
        <v>0</v>
      </c>
      <c r="V56">
        <f>ROUND((157/100)*ROUND([79]Source!R2645, 2), 2)</f>
        <v>0</v>
      </c>
    </row>
    <row r="57" spans="1:22" ht="15" x14ac:dyDescent="0.25">
      <c r="A57" s="35"/>
      <c r="B57" s="35"/>
      <c r="C57" s="35"/>
      <c r="D57" s="35"/>
      <c r="E57" s="35"/>
      <c r="F57" s="35"/>
      <c r="G57" s="35"/>
      <c r="H57" s="35"/>
      <c r="I57" s="524">
        <f>J56</f>
        <v>5768.1</v>
      </c>
      <c r="J57" s="524"/>
      <c r="K57" s="524">
        <f>L56</f>
        <v>17938.79</v>
      </c>
      <c r="L57" s="524"/>
      <c r="O57" s="11">
        <f>J56</f>
        <v>5768.1</v>
      </c>
      <c r="P57" s="11">
        <f>L56</f>
        <v>17938.79</v>
      </c>
    </row>
    <row r="58" spans="1:22" ht="71.25" x14ac:dyDescent="0.2">
      <c r="A58" s="4">
        <v>4</v>
      </c>
      <c r="B58" s="4" t="str">
        <f>[79]Source!E2646</f>
        <v>428</v>
      </c>
      <c r="C58" s="5" t="str">
        <f>[79]Source!F2646</f>
        <v>1.19-10-8</v>
      </c>
      <c r="D58" s="5" t="s">
        <v>86</v>
      </c>
      <c r="E58" s="6" t="str">
        <f>[79]Source!H2646</f>
        <v>шт.</v>
      </c>
      <c r="F58" s="2">
        <f>[79]Source!I2646</f>
        <v>7</v>
      </c>
      <c r="G58" s="7">
        <f>[79]Source!AL2646</f>
        <v>654.78</v>
      </c>
      <c r="H58" s="8" t="str">
        <f>[79]Source!DD2646</f>
        <v/>
      </c>
      <c r="I58" s="2">
        <f>[79]Source!AW2647</f>
        <v>1</v>
      </c>
      <c r="J58" s="25">
        <f>[79]Source!P2646</f>
        <v>4583.46</v>
      </c>
      <c r="K58" s="2">
        <f>IF([79]Source!BC2647&lt;&gt; 0, [79]Source!BC2647, 1)</f>
        <v>2.44</v>
      </c>
      <c r="L58" s="25">
        <f>[79]Source!P2647</f>
        <v>11183.64</v>
      </c>
      <c r="Q58">
        <f>[79]Source!X2646</f>
        <v>0</v>
      </c>
      <c r="R58">
        <f>[79]Source!X2647</f>
        <v>0</v>
      </c>
      <c r="S58">
        <f>[79]Source!Y2646</f>
        <v>0</v>
      </c>
      <c r="T58">
        <f>[79]Source!Y2647</f>
        <v>0</v>
      </c>
      <c r="U58">
        <f>ROUND((175/100)*ROUND([79]Source!R2646, 2), 2)</f>
        <v>0</v>
      </c>
      <c r="V58">
        <f>ROUND((157/100)*ROUND([79]Source!R2647, 2), 2)</f>
        <v>0</v>
      </c>
    </row>
    <row r="59" spans="1:22" ht="15" x14ac:dyDescent="0.25">
      <c r="A59" s="35"/>
      <c r="B59" s="35"/>
      <c r="C59" s="35"/>
      <c r="D59" s="35"/>
      <c r="E59" s="35"/>
      <c r="F59" s="35"/>
      <c r="G59" s="35"/>
      <c r="H59" s="35"/>
      <c r="I59" s="524">
        <f>J58</f>
        <v>4583.46</v>
      </c>
      <c r="J59" s="524"/>
      <c r="K59" s="524">
        <f>L58</f>
        <v>11183.64</v>
      </c>
      <c r="L59" s="524"/>
      <c r="O59" s="11">
        <f>J58</f>
        <v>4583.46</v>
      </c>
      <c r="P59" s="11">
        <f>L58</f>
        <v>11183.64</v>
      </c>
    </row>
    <row r="60" spans="1:22" ht="71.25" x14ac:dyDescent="0.2">
      <c r="A60" s="4">
        <v>5</v>
      </c>
      <c r="B60" s="4" t="str">
        <f>[79]Source!E2650</f>
        <v>430</v>
      </c>
      <c r="C60" s="5" t="str">
        <f>[79]Source!F2650</f>
        <v>1.19-10-10</v>
      </c>
      <c r="D60" s="5" t="s">
        <v>87</v>
      </c>
      <c r="E60" s="6" t="str">
        <f>[79]Source!H2650</f>
        <v>шт.</v>
      </c>
      <c r="F60" s="2">
        <f>[79]Source!I2650</f>
        <v>6</v>
      </c>
      <c r="G60" s="7">
        <f>[79]Source!AL2650</f>
        <v>1051.44</v>
      </c>
      <c r="H60" s="8" t="str">
        <f>[79]Source!DD2650</f>
        <v/>
      </c>
      <c r="I60" s="2">
        <f>[79]Source!AW2651</f>
        <v>1</v>
      </c>
      <c r="J60" s="25">
        <f>[79]Source!P2650</f>
        <v>6308.64</v>
      </c>
      <c r="K60" s="2">
        <f>IF([79]Source!BC2651&lt;&gt; 0, [79]Source!BC2651, 1)</f>
        <v>2.93</v>
      </c>
      <c r="L60" s="25">
        <f>[79]Source!P2651</f>
        <v>18484.32</v>
      </c>
      <c r="Q60">
        <f>[79]Source!X2650</f>
        <v>0</v>
      </c>
      <c r="R60">
        <f>[79]Source!X2651</f>
        <v>0</v>
      </c>
      <c r="S60">
        <f>[79]Source!Y2650</f>
        <v>0</v>
      </c>
      <c r="T60">
        <f>[79]Source!Y2651</f>
        <v>0</v>
      </c>
      <c r="U60">
        <f>ROUND((175/100)*ROUND([79]Source!R2650, 2), 2)</f>
        <v>0</v>
      </c>
      <c r="V60">
        <f>ROUND((157/100)*ROUND([79]Source!R2651, 2), 2)</f>
        <v>0</v>
      </c>
    </row>
    <row r="61" spans="1:22" ht="15" x14ac:dyDescent="0.25">
      <c r="A61" s="35"/>
      <c r="B61" s="35"/>
      <c r="C61" s="35"/>
      <c r="D61" s="35"/>
      <c r="E61" s="35"/>
      <c r="F61" s="35"/>
      <c r="G61" s="35"/>
      <c r="H61" s="35"/>
      <c r="I61" s="524">
        <f>J60</f>
        <v>6308.64</v>
      </c>
      <c r="J61" s="524"/>
      <c r="K61" s="524">
        <f>L60</f>
        <v>18484.32</v>
      </c>
      <c r="L61" s="524"/>
      <c r="O61" s="11">
        <f>J60</f>
        <v>6308.64</v>
      </c>
      <c r="P61" s="11">
        <f>L60</f>
        <v>18484.32</v>
      </c>
    </row>
    <row r="62" spans="1:22" ht="71.25" x14ac:dyDescent="0.2">
      <c r="A62" s="4">
        <v>6</v>
      </c>
      <c r="B62" s="4" t="str">
        <f>[79]Source!E2652</f>
        <v>431</v>
      </c>
      <c r="C62" s="5" t="str">
        <f>[79]Source!F2652</f>
        <v>3.20-1-1</v>
      </c>
      <c r="D62" s="5" t="s">
        <v>88</v>
      </c>
      <c r="E62" s="6" t="str">
        <f>[79]Source!H2652</f>
        <v>100 м2 поверхности воздуховодов</v>
      </c>
      <c r="F62" s="2">
        <f>[79]Source!I2652</f>
        <v>6.1899999999999997E-2</v>
      </c>
      <c r="G62" s="7"/>
      <c r="H62" s="8"/>
      <c r="I62" s="2"/>
      <c r="J62" s="25"/>
      <c r="K62" s="2"/>
      <c r="L62" s="25"/>
      <c r="Q62">
        <f>[79]Source!X2652</f>
        <v>240.35</v>
      </c>
      <c r="R62">
        <f>[79]Source!X2653</f>
        <v>4603.18</v>
      </c>
      <c r="S62">
        <f>[79]Source!Y2652</f>
        <v>180.74</v>
      </c>
      <c r="T62">
        <f>[79]Source!Y2653</f>
        <v>2071.4299999999998</v>
      </c>
      <c r="U62">
        <f>ROUND((175/100)*ROUND([79]Source!R2652, 2), 2)</f>
        <v>3.78</v>
      </c>
      <c r="V62">
        <f>ROUND((157/100)*ROUND([79]Source!R2653, 2), 2)</f>
        <v>81.180000000000007</v>
      </c>
    </row>
    <row r="63" spans="1:22" ht="14.25" x14ac:dyDescent="0.2">
      <c r="A63" s="4"/>
      <c r="B63" s="4"/>
      <c r="C63" s="5"/>
      <c r="D63" s="5" t="s">
        <v>20</v>
      </c>
      <c r="E63" s="6"/>
      <c r="F63" s="2"/>
      <c r="G63" s="7">
        <f>[79]Source!AO2652</f>
        <v>1743.28</v>
      </c>
      <c r="H63" s="8" t="str">
        <f>[79]Source!DG2652</f>
        <v>)*1,67</v>
      </c>
      <c r="I63" s="2">
        <f>[79]Source!AV2653</f>
        <v>1.0669999999999999</v>
      </c>
      <c r="J63" s="25">
        <f>[79]Source!S2652</f>
        <v>192.28</v>
      </c>
      <c r="K63" s="2">
        <f>IF([79]Source!BA2653&lt;&gt; 0, [79]Source!BA2653, 1)</f>
        <v>23.94</v>
      </c>
      <c r="L63" s="25">
        <f>[79]Source!S2653</f>
        <v>4603.18</v>
      </c>
    </row>
    <row r="64" spans="1:22" ht="14.25" x14ac:dyDescent="0.2">
      <c r="A64" s="4"/>
      <c r="B64" s="4"/>
      <c r="C64" s="5"/>
      <c r="D64" s="5" t="s">
        <v>21</v>
      </c>
      <c r="E64" s="6"/>
      <c r="F64" s="2"/>
      <c r="G64" s="7">
        <f>[79]Source!AM2652</f>
        <v>158.18</v>
      </c>
      <c r="H64" s="8" t="str">
        <f>[79]Source!DE2652</f>
        <v/>
      </c>
      <c r="I64" s="2">
        <f>[79]Source!AV2653</f>
        <v>1.0669999999999999</v>
      </c>
      <c r="J64" s="25">
        <f>[79]Source!Q2652-J74</f>
        <v>10.45</v>
      </c>
      <c r="K64" s="2">
        <f>IF([79]Source!BB2653&lt;&gt; 0, [79]Source!BB2653, 1)</f>
        <v>8.3800000000000008</v>
      </c>
      <c r="L64" s="25">
        <f>[79]Source!Q2653-L74</f>
        <v>87.66</v>
      </c>
    </row>
    <row r="65" spans="1:22" ht="14.25" x14ac:dyDescent="0.2">
      <c r="A65" s="4"/>
      <c r="B65" s="4"/>
      <c r="C65" s="5"/>
      <c r="D65" s="5" t="s">
        <v>22</v>
      </c>
      <c r="E65" s="6"/>
      <c r="F65" s="2"/>
      <c r="G65" s="7">
        <f>[79]Source!AN2652</f>
        <v>19.579999999999998</v>
      </c>
      <c r="H65" s="8" t="str">
        <f>[79]Source!DE2652</f>
        <v/>
      </c>
      <c r="I65" s="2">
        <f>[79]Source!AV2653</f>
        <v>1.0669999999999999</v>
      </c>
      <c r="J65" s="10">
        <f>[79]Source!R2652-J75</f>
        <v>1.29</v>
      </c>
      <c r="K65" s="2">
        <f>IF([79]Source!BS2653&lt;&gt; 0, [79]Source!BS2653, 1)</f>
        <v>23.94</v>
      </c>
      <c r="L65" s="10">
        <f>[79]Source!R2653-L75</f>
        <v>30.97</v>
      </c>
    </row>
    <row r="66" spans="1:22" ht="14.25" x14ac:dyDescent="0.2">
      <c r="A66" s="4"/>
      <c r="B66" s="4"/>
      <c r="C66" s="5"/>
      <c r="D66" s="5" t="s">
        <v>23</v>
      </c>
      <c r="E66" s="6"/>
      <c r="F66" s="2"/>
      <c r="G66" s="7">
        <f>[79]Source!AL2652</f>
        <v>499.52</v>
      </c>
      <c r="H66" s="8" t="str">
        <f>[79]Source!DD2652</f>
        <v/>
      </c>
      <c r="I66" s="2">
        <f>[79]Source!AW2653</f>
        <v>1</v>
      </c>
      <c r="J66" s="25">
        <f>[79]Source!P2652</f>
        <v>30.92</v>
      </c>
      <c r="K66" s="2">
        <f>IF([79]Source!BC2653&lt;&gt; 0, [79]Source!BC2653, 1)</f>
        <v>3.58</v>
      </c>
      <c r="L66" s="25">
        <f>[79]Source!P2653</f>
        <v>110.69</v>
      </c>
    </row>
    <row r="67" spans="1:22" ht="42.75" x14ac:dyDescent="0.2">
      <c r="A67" s="4">
        <v>7</v>
      </c>
      <c r="B67" s="4" t="str">
        <f>[79]Source!E2654</f>
        <v>431,1</v>
      </c>
      <c r="C67" s="5" t="str">
        <f>[79]Source!F2654</f>
        <v>1.19-3-5</v>
      </c>
      <c r="D67" s="5" t="s">
        <v>89</v>
      </c>
      <c r="E67" s="6" t="str">
        <f>[79]Source!H2654</f>
        <v>м2</v>
      </c>
      <c r="F67" s="2">
        <f>[79]Source!I2654</f>
        <v>6.19</v>
      </c>
      <c r="G67" s="7">
        <f>[79]Source!AK2654</f>
        <v>147.69999999999999</v>
      </c>
      <c r="H67" s="36" t="s">
        <v>90</v>
      </c>
      <c r="I67" s="2">
        <f>[79]Source!AW2655</f>
        <v>1</v>
      </c>
      <c r="J67" s="25">
        <f>[79]Source!O2654</f>
        <v>914.26</v>
      </c>
      <c r="K67" s="2">
        <f>IF([79]Source!BC2655&lt;&gt; 0, [79]Source!BC2655, 1)</f>
        <v>2.11</v>
      </c>
      <c r="L67" s="25">
        <f>[79]Source!O2655</f>
        <v>1929.09</v>
      </c>
      <c r="Q67">
        <f>[79]Source!X2654</f>
        <v>0</v>
      </c>
      <c r="R67">
        <f>[79]Source!X2655</f>
        <v>0</v>
      </c>
      <c r="S67">
        <f>[79]Source!Y2654</f>
        <v>0</v>
      </c>
      <c r="T67">
        <f>[79]Source!Y2655</f>
        <v>0</v>
      </c>
      <c r="U67">
        <f>ROUND((175/100)*ROUND([79]Source!R2654, 2), 2)</f>
        <v>0</v>
      </c>
      <c r="V67">
        <f>ROUND((157/100)*ROUND([79]Source!R2655, 2), 2)</f>
        <v>0</v>
      </c>
    </row>
    <row r="68" spans="1:22" ht="14.25" x14ac:dyDescent="0.2">
      <c r="A68" s="4"/>
      <c r="B68" s="4"/>
      <c r="C68" s="5"/>
      <c r="D68" s="5" t="s">
        <v>24</v>
      </c>
      <c r="E68" s="6" t="s">
        <v>25</v>
      </c>
      <c r="F68" s="2">
        <f>[79]Source!DN2653</f>
        <v>125</v>
      </c>
      <c r="G68" s="7"/>
      <c r="H68" s="8"/>
      <c r="I68" s="2"/>
      <c r="J68" s="25">
        <f>SUM(Q62:Q67)</f>
        <v>240.35</v>
      </c>
      <c r="K68" s="2">
        <f>[79]Source!BZ2653</f>
        <v>100</v>
      </c>
      <c r="L68" s="25">
        <f>SUM(R62:R67)</f>
        <v>4603.18</v>
      </c>
    </row>
    <row r="69" spans="1:22" ht="14.25" x14ac:dyDescent="0.2">
      <c r="A69" s="4"/>
      <c r="B69" s="4"/>
      <c r="C69" s="5"/>
      <c r="D69" s="5" t="s">
        <v>26</v>
      </c>
      <c r="E69" s="6" t="s">
        <v>25</v>
      </c>
      <c r="F69" s="2">
        <f>[79]Source!DO2653</f>
        <v>94</v>
      </c>
      <c r="G69" s="7"/>
      <c r="H69" s="8"/>
      <c r="I69" s="2"/>
      <c r="J69" s="25">
        <f>SUM(S62:S68)</f>
        <v>180.74</v>
      </c>
      <c r="K69" s="2">
        <f>[79]Source!CA2653</f>
        <v>45</v>
      </c>
      <c r="L69" s="25">
        <f>SUM(T62:T68)</f>
        <v>2071.4299999999998</v>
      </c>
    </row>
    <row r="70" spans="1:22" ht="14.25" x14ac:dyDescent="0.2">
      <c r="A70" s="4"/>
      <c r="B70" s="4"/>
      <c r="C70" s="5"/>
      <c r="D70" s="5" t="s">
        <v>27</v>
      </c>
      <c r="E70" s="6" t="s">
        <v>25</v>
      </c>
      <c r="F70" s="2">
        <f>175</f>
        <v>175</v>
      </c>
      <c r="G70" s="7"/>
      <c r="H70" s="8"/>
      <c r="I70" s="2"/>
      <c r="J70" s="25">
        <f>SUM(U62:U69)-J76</f>
        <v>2.2599999999999998</v>
      </c>
      <c r="K70" s="2">
        <f>157</f>
        <v>157</v>
      </c>
      <c r="L70" s="25">
        <f>SUM(V62:V69)-L76</f>
        <v>48.62</v>
      </c>
    </row>
    <row r="71" spans="1:22" ht="14.25" x14ac:dyDescent="0.2">
      <c r="A71" s="4"/>
      <c r="B71" s="4"/>
      <c r="C71" s="5"/>
      <c r="D71" s="5" t="s">
        <v>28</v>
      </c>
      <c r="E71" s="6" t="s">
        <v>29</v>
      </c>
      <c r="F71" s="2">
        <f>[79]Source!AQ2652</f>
        <v>154</v>
      </c>
      <c r="G71" s="7"/>
      <c r="H71" s="8" t="str">
        <f>[79]Source!DI2652</f>
        <v/>
      </c>
      <c r="I71" s="2">
        <f>[79]Source!AV2653</f>
        <v>1.0669999999999999</v>
      </c>
      <c r="J71" s="25">
        <f>[79]Source!U2652</f>
        <v>10.17</v>
      </c>
      <c r="K71" s="2"/>
      <c r="L71" s="25"/>
    </row>
    <row r="72" spans="1:22" ht="15" x14ac:dyDescent="0.25">
      <c r="I72" s="525">
        <f>J63+J64+J66+J68+J69+J70+SUM(J67:J67)</f>
        <v>1571.26</v>
      </c>
      <c r="J72" s="525"/>
      <c r="K72" s="525">
        <f>L63+L64+L66+L68+L69+L70+SUM(L67:L67)</f>
        <v>13453.85</v>
      </c>
      <c r="L72" s="525"/>
      <c r="O72" s="11">
        <f>J63+J64+J66+J68+J69+J70+SUM(J67:J67)</f>
        <v>1571.26</v>
      </c>
      <c r="P72" s="11">
        <f>L63+L64+L66+L68+L69+L70+SUM(L67:L67)</f>
        <v>13453.85</v>
      </c>
    </row>
    <row r="73" spans="1:22" ht="28.5" x14ac:dyDescent="0.2">
      <c r="A73" s="12"/>
      <c r="B73" s="12"/>
      <c r="C73" s="13"/>
      <c r="D73" s="13" t="s">
        <v>30</v>
      </c>
      <c r="E73" s="6"/>
      <c r="F73" s="14"/>
      <c r="G73" s="15"/>
      <c r="H73" s="6"/>
      <c r="I73" s="14"/>
      <c r="J73" s="10"/>
      <c r="K73" s="14"/>
      <c r="L73" s="10"/>
    </row>
    <row r="74" spans="1:22" ht="14.25" x14ac:dyDescent="0.2">
      <c r="A74" s="12"/>
      <c r="B74" s="12"/>
      <c r="C74" s="13"/>
      <c r="D74" s="13" t="s">
        <v>21</v>
      </c>
      <c r="E74" s="6"/>
      <c r="F74" s="14"/>
      <c r="G74" s="15">
        <f t="shared" ref="G74:L74" si="0">G75</f>
        <v>19.579999999999998</v>
      </c>
      <c r="H74" s="16" t="str">
        <f t="shared" si="0"/>
        <v>)*(1.67-1)</v>
      </c>
      <c r="I74" s="14">
        <f t="shared" si="0"/>
        <v>1.0669999999999999</v>
      </c>
      <c r="J74" s="10">
        <f t="shared" si="0"/>
        <v>0.87</v>
      </c>
      <c r="K74" s="14">
        <f t="shared" si="0"/>
        <v>23.94</v>
      </c>
      <c r="L74" s="10">
        <f t="shared" si="0"/>
        <v>20.74</v>
      </c>
    </row>
    <row r="75" spans="1:22" ht="14.25" x14ac:dyDescent="0.2">
      <c r="A75" s="12"/>
      <c r="B75" s="12"/>
      <c r="C75" s="13"/>
      <c r="D75" s="13" t="s">
        <v>22</v>
      </c>
      <c r="E75" s="6"/>
      <c r="F75" s="14"/>
      <c r="G75" s="15">
        <f>[79]Source!AN2652</f>
        <v>19.579999999999998</v>
      </c>
      <c r="H75" s="16" t="s">
        <v>31</v>
      </c>
      <c r="I75" s="14">
        <f>[79]Source!AV2653</f>
        <v>1.0669999999999999</v>
      </c>
      <c r="J75" s="10">
        <f>ROUND(F62*G75*I75*(1.67-1), 2)</f>
        <v>0.87</v>
      </c>
      <c r="K75" s="14">
        <f>IF([79]Source!BS2653&lt;&gt; 0, [79]Source!BS2653, 1)</f>
        <v>23.94</v>
      </c>
      <c r="L75" s="10">
        <f>ROUND(F62*G75*I75*(1.67-1)*K75, 2)</f>
        <v>20.74</v>
      </c>
    </row>
    <row r="76" spans="1:22" ht="14.25" x14ac:dyDescent="0.2">
      <c r="A76" s="12"/>
      <c r="B76" s="12"/>
      <c r="C76" s="13"/>
      <c r="D76" s="13" t="s">
        <v>27</v>
      </c>
      <c r="E76" s="6" t="s">
        <v>25</v>
      </c>
      <c r="F76" s="14">
        <f>175</f>
        <v>175</v>
      </c>
      <c r="G76" s="15"/>
      <c r="H76" s="6"/>
      <c r="I76" s="14"/>
      <c r="J76" s="10">
        <f>ROUND(J75*(F76/100), 2)</f>
        <v>1.52</v>
      </c>
      <c r="K76" s="14">
        <f>157</f>
        <v>157</v>
      </c>
      <c r="L76" s="10">
        <f>ROUND(L75*(K76/100), 2)</f>
        <v>32.56</v>
      </c>
    </row>
    <row r="77" spans="1:22" ht="15" x14ac:dyDescent="0.25">
      <c r="I77" s="525">
        <f>J76+J75</f>
        <v>2.39</v>
      </c>
      <c r="J77" s="525"/>
      <c r="K77" s="525">
        <f>L76+L75</f>
        <v>53.3</v>
      </c>
      <c r="L77" s="525"/>
      <c r="O77" s="11">
        <f>I77</f>
        <v>2.39</v>
      </c>
      <c r="P77" s="11">
        <f>K77</f>
        <v>53.3</v>
      </c>
    </row>
    <row r="79" spans="1:22" ht="15" x14ac:dyDescent="0.25">
      <c r="A79" s="37"/>
      <c r="B79" s="37"/>
      <c r="C79" s="38"/>
      <c r="D79" s="38" t="s">
        <v>32</v>
      </c>
      <c r="E79" s="39"/>
      <c r="F79" s="40"/>
      <c r="G79" s="41"/>
      <c r="H79" s="42"/>
      <c r="I79" s="524">
        <f>I72+I77</f>
        <v>1573.65</v>
      </c>
      <c r="J79" s="524"/>
      <c r="K79" s="524">
        <f>K72+K77</f>
        <v>13507.15</v>
      </c>
      <c r="L79" s="524"/>
    </row>
    <row r="80" spans="1:22" ht="71.25" x14ac:dyDescent="0.2">
      <c r="A80" s="4">
        <v>8</v>
      </c>
      <c r="B80" s="4" t="str">
        <f>[79]Source!E2656</f>
        <v>432</v>
      </c>
      <c r="C80" s="5" t="str">
        <f>[79]Source!F2656</f>
        <v>3.20-1-4</v>
      </c>
      <c r="D80" s="5" t="s">
        <v>91</v>
      </c>
      <c r="E80" s="6" t="str">
        <f>[79]Source!H2656</f>
        <v>100 м2 поверхности воздуховодов</v>
      </c>
      <c r="F80" s="2">
        <f>[79]Source!I2656</f>
        <v>2.4299999999999999E-2</v>
      </c>
      <c r="G80" s="7"/>
      <c r="H80" s="8"/>
      <c r="I80" s="2"/>
      <c r="J80" s="25"/>
      <c r="K80" s="2"/>
      <c r="L80" s="25"/>
      <c r="Q80">
        <f>[79]Source!X2656</f>
        <v>94.35</v>
      </c>
      <c r="R80">
        <f>[79]Source!X2657</f>
        <v>1806.99</v>
      </c>
      <c r="S80">
        <f>[79]Source!Y2656</f>
        <v>70.95</v>
      </c>
      <c r="T80">
        <f>[79]Source!Y2657</f>
        <v>813.15</v>
      </c>
      <c r="U80">
        <f>ROUND((175/100)*ROUND([79]Source!R2656, 2), 2)</f>
        <v>1.49</v>
      </c>
      <c r="V80">
        <f>ROUND((157/100)*ROUND([79]Source!R2657, 2), 2)</f>
        <v>31.95</v>
      </c>
    </row>
    <row r="81" spans="1:22" ht="14.25" x14ac:dyDescent="0.2">
      <c r="A81" s="4"/>
      <c r="B81" s="4"/>
      <c r="C81" s="5"/>
      <c r="D81" s="5" t="s">
        <v>20</v>
      </c>
      <c r="E81" s="6"/>
      <c r="F81" s="2"/>
      <c r="G81" s="7">
        <f>[79]Source!AO2656</f>
        <v>1743.28</v>
      </c>
      <c r="H81" s="8" t="str">
        <f>[79]Source!DG2656</f>
        <v>)*1,67</v>
      </c>
      <c r="I81" s="2">
        <f>[79]Source!AV2657</f>
        <v>1.0669999999999999</v>
      </c>
      <c r="J81" s="25">
        <f>[79]Source!S2656</f>
        <v>75.48</v>
      </c>
      <c r="K81" s="2">
        <f>IF([79]Source!BA2657&lt;&gt; 0, [79]Source!BA2657, 1)</f>
        <v>23.94</v>
      </c>
      <c r="L81" s="25">
        <f>[79]Source!S2657</f>
        <v>1806.99</v>
      </c>
    </row>
    <row r="82" spans="1:22" ht="14.25" x14ac:dyDescent="0.2">
      <c r="A82" s="4"/>
      <c r="B82" s="4"/>
      <c r="C82" s="5"/>
      <c r="D82" s="5" t="s">
        <v>21</v>
      </c>
      <c r="E82" s="6"/>
      <c r="F82" s="2"/>
      <c r="G82" s="7">
        <f>[79]Source!AM2656</f>
        <v>158.94999999999999</v>
      </c>
      <c r="H82" s="8" t="str">
        <f>[79]Source!DE2656</f>
        <v/>
      </c>
      <c r="I82" s="2">
        <f>[79]Source!AV2657</f>
        <v>1.0669999999999999</v>
      </c>
      <c r="J82" s="25">
        <f>[79]Source!Q2656-J92</f>
        <v>4.12</v>
      </c>
      <c r="K82" s="2">
        <f>IF([79]Source!BB2657&lt;&gt; 0, [79]Source!BB2657, 1)</f>
        <v>8.3800000000000008</v>
      </c>
      <c r="L82" s="25">
        <f>[79]Source!Q2657-L92</f>
        <v>34.46</v>
      </c>
    </row>
    <row r="83" spans="1:22" ht="14.25" x14ac:dyDescent="0.2">
      <c r="A83" s="4"/>
      <c r="B83" s="4"/>
      <c r="C83" s="5"/>
      <c r="D83" s="5" t="s">
        <v>22</v>
      </c>
      <c r="E83" s="6"/>
      <c r="F83" s="2"/>
      <c r="G83" s="7">
        <f>[79]Source!AN2656</f>
        <v>19.73</v>
      </c>
      <c r="H83" s="8" t="str">
        <f>[79]Source!DE2656</f>
        <v/>
      </c>
      <c r="I83" s="2">
        <f>[79]Source!AV2657</f>
        <v>1.0669999999999999</v>
      </c>
      <c r="J83" s="10">
        <f>[79]Source!R2656-J93</f>
        <v>0.51</v>
      </c>
      <c r="K83" s="2">
        <f>IF([79]Source!BS2657&lt;&gt; 0, [79]Source!BS2657, 1)</f>
        <v>23.94</v>
      </c>
      <c r="L83" s="10">
        <f>[79]Source!R2657-L93</f>
        <v>12.14</v>
      </c>
    </row>
    <row r="84" spans="1:22" ht="14.25" x14ac:dyDescent="0.2">
      <c r="A84" s="4"/>
      <c r="B84" s="4"/>
      <c r="C84" s="5"/>
      <c r="D84" s="5" t="s">
        <v>23</v>
      </c>
      <c r="E84" s="6"/>
      <c r="F84" s="2"/>
      <c r="G84" s="7">
        <f>[79]Source!AL2656</f>
        <v>499.52</v>
      </c>
      <c r="H84" s="8" t="str">
        <f>[79]Source!DD2656</f>
        <v/>
      </c>
      <c r="I84" s="2">
        <f>[79]Source!AW2657</f>
        <v>1</v>
      </c>
      <c r="J84" s="25">
        <f>[79]Source!P2656</f>
        <v>12.14</v>
      </c>
      <c r="K84" s="2">
        <f>IF([79]Source!BC2657&lt;&gt; 0, [79]Source!BC2657, 1)</f>
        <v>3.58</v>
      </c>
      <c r="L84" s="25">
        <f>[79]Source!P2657</f>
        <v>43.46</v>
      </c>
    </row>
    <row r="85" spans="1:22" ht="42.75" x14ac:dyDescent="0.2">
      <c r="A85" s="4">
        <v>9</v>
      </c>
      <c r="B85" s="4" t="str">
        <f>[79]Source!E2658</f>
        <v>432,1</v>
      </c>
      <c r="C85" s="5" t="str">
        <f>[79]Source!F2658</f>
        <v>1.19-3-6</v>
      </c>
      <c r="D85" s="5" t="s">
        <v>92</v>
      </c>
      <c r="E85" s="6" t="str">
        <f>[79]Source!H2658</f>
        <v>м2</v>
      </c>
      <c r="F85" s="2">
        <f>[79]Source!I2658</f>
        <v>2.4300000000000002</v>
      </c>
      <c r="G85" s="7">
        <f>[79]Source!AK2658</f>
        <v>156.05000000000001</v>
      </c>
      <c r="H85" s="36" t="s">
        <v>90</v>
      </c>
      <c r="I85" s="2">
        <f>[79]Source!AW2659</f>
        <v>1</v>
      </c>
      <c r="J85" s="25">
        <f>[79]Source!O2658</f>
        <v>379.2</v>
      </c>
      <c r="K85" s="2">
        <f>IF([79]Source!BC2659&lt;&gt; 0, [79]Source!BC2659, 1)</f>
        <v>2.4900000000000002</v>
      </c>
      <c r="L85" s="25">
        <f>[79]Source!O2659</f>
        <v>944.21</v>
      </c>
      <c r="Q85">
        <f>[79]Source!X2658</f>
        <v>0</v>
      </c>
      <c r="R85">
        <f>[79]Source!X2659</f>
        <v>0</v>
      </c>
      <c r="S85">
        <f>[79]Source!Y2658</f>
        <v>0</v>
      </c>
      <c r="T85">
        <f>[79]Source!Y2659</f>
        <v>0</v>
      </c>
      <c r="U85">
        <f>ROUND((175/100)*ROUND([79]Source!R2658, 2), 2)</f>
        <v>0</v>
      </c>
      <c r="V85">
        <f>ROUND((157/100)*ROUND([79]Source!R2659, 2), 2)</f>
        <v>0</v>
      </c>
    </row>
    <row r="86" spans="1:22" ht="14.25" x14ac:dyDescent="0.2">
      <c r="A86" s="4"/>
      <c r="B86" s="4"/>
      <c r="C86" s="5"/>
      <c r="D86" s="5" t="s">
        <v>24</v>
      </c>
      <c r="E86" s="6" t="s">
        <v>25</v>
      </c>
      <c r="F86" s="2">
        <f>[79]Source!DN2657</f>
        <v>125</v>
      </c>
      <c r="G86" s="7"/>
      <c r="H86" s="8"/>
      <c r="I86" s="2"/>
      <c r="J86" s="25">
        <f>SUM(Q80:Q85)</f>
        <v>94.35</v>
      </c>
      <c r="K86" s="2">
        <f>[79]Source!BZ2657</f>
        <v>100</v>
      </c>
      <c r="L86" s="25">
        <f>SUM(R80:R85)</f>
        <v>1806.99</v>
      </c>
    </row>
    <row r="87" spans="1:22" ht="14.25" x14ac:dyDescent="0.2">
      <c r="A87" s="4"/>
      <c r="B87" s="4"/>
      <c r="C87" s="5"/>
      <c r="D87" s="5" t="s">
        <v>26</v>
      </c>
      <c r="E87" s="6" t="s">
        <v>25</v>
      </c>
      <c r="F87" s="2">
        <f>[79]Source!DO2657</f>
        <v>94</v>
      </c>
      <c r="G87" s="7"/>
      <c r="H87" s="8"/>
      <c r="I87" s="2"/>
      <c r="J87" s="25">
        <f>SUM(S80:S86)</f>
        <v>70.95</v>
      </c>
      <c r="K87" s="2">
        <f>[79]Source!CA2657</f>
        <v>45</v>
      </c>
      <c r="L87" s="25">
        <f>SUM(T80:T86)</f>
        <v>813.15</v>
      </c>
    </row>
    <row r="88" spans="1:22" ht="14.25" x14ac:dyDescent="0.2">
      <c r="A88" s="4"/>
      <c r="B88" s="4"/>
      <c r="C88" s="5"/>
      <c r="D88" s="5" t="s">
        <v>27</v>
      </c>
      <c r="E88" s="6" t="s">
        <v>25</v>
      </c>
      <c r="F88" s="2">
        <f>175</f>
        <v>175</v>
      </c>
      <c r="G88" s="7"/>
      <c r="H88" s="8"/>
      <c r="I88" s="2"/>
      <c r="J88" s="25">
        <f>SUM(U80:U87)-J94</f>
        <v>0.89</v>
      </c>
      <c r="K88" s="2">
        <f>157</f>
        <v>157</v>
      </c>
      <c r="L88" s="25">
        <f>SUM(V80:V87)-L94</f>
        <v>19.059999999999999</v>
      </c>
    </row>
    <row r="89" spans="1:22" ht="14.25" x14ac:dyDescent="0.2">
      <c r="A89" s="4"/>
      <c r="B89" s="4"/>
      <c r="C89" s="5"/>
      <c r="D89" s="5" t="s">
        <v>28</v>
      </c>
      <c r="E89" s="6" t="s">
        <v>29</v>
      </c>
      <c r="F89" s="2">
        <f>[79]Source!AQ2656</f>
        <v>154</v>
      </c>
      <c r="G89" s="7"/>
      <c r="H89" s="8" t="str">
        <f>[79]Source!DI2656</f>
        <v/>
      </c>
      <c r="I89" s="2">
        <f>[79]Source!AV2657</f>
        <v>1.0669999999999999</v>
      </c>
      <c r="J89" s="25">
        <f>[79]Source!U2656</f>
        <v>3.99</v>
      </c>
      <c r="K89" s="2"/>
      <c r="L89" s="25"/>
    </row>
    <row r="90" spans="1:22" ht="15" x14ac:dyDescent="0.25">
      <c r="I90" s="525">
        <f>J81+J82+J84+J86+J87+J88+SUM(J85:J85)</f>
        <v>637.13</v>
      </c>
      <c r="J90" s="525"/>
      <c r="K90" s="525">
        <f>L81+L82+L84+L86+L87+L88+SUM(L85:L85)</f>
        <v>5468.32</v>
      </c>
      <c r="L90" s="525"/>
      <c r="O90" s="11">
        <f>J81+J82+J84+J86+J87+J88+SUM(J85:J85)</f>
        <v>637.13</v>
      </c>
      <c r="P90" s="11">
        <f>L81+L82+L84+L86+L87+L88+SUM(L85:L85)</f>
        <v>5468.32</v>
      </c>
    </row>
    <row r="91" spans="1:22" ht="28.5" x14ac:dyDescent="0.2">
      <c r="A91" s="12"/>
      <c r="B91" s="12"/>
      <c r="C91" s="13"/>
      <c r="D91" s="13" t="s">
        <v>30</v>
      </c>
      <c r="E91" s="6"/>
      <c r="F91" s="14"/>
      <c r="G91" s="15"/>
      <c r="H91" s="6"/>
      <c r="I91" s="14"/>
      <c r="J91" s="10"/>
      <c r="K91" s="14"/>
      <c r="L91" s="10"/>
    </row>
    <row r="92" spans="1:22" ht="14.25" x14ac:dyDescent="0.2">
      <c r="A92" s="12"/>
      <c r="B92" s="12"/>
      <c r="C92" s="13"/>
      <c r="D92" s="13" t="s">
        <v>21</v>
      </c>
      <c r="E92" s="6"/>
      <c r="F92" s="14"/>
      <c r="G92" s="15">
        <f t="shared" ref="G92:L92" si="1">G93</f>
        <v>19.73</v>
      </c>
      <c r="H92" s="16" t="str">
        <f t="shared" si="1"/>
        <v>)*(1.67-1)</v>
      </c>
      <c r="I92" s="14">
        <f t="shared" si="1"/>
        <v>1.0669999999999999</v>
      </c>
      <c r="J92" s="10">
        <f t="shared" si="1"/>
        <v>0.34</v>
      </c>
      <c r="K92" s="14">
        <f t="shared" si="1"/>
        <v>23.94</v>
      </c>
      <c r="L92" s="10">
        <f t="shared" si="1"/>
        <v>8.2100000000000009</v>
      </c>
    </row>
    <row r="93" spans="1:22" ht="14.25" x14ac:dyDescent="0.2">
      <c r="A93" s="12"/>
      <c r="B93" s="12"/>
      <c r="C93" s="13"/>
      <c r="D93" s="13" t="s">
        <v>22</v>
      </c>
      <c r="E93" s="6"/>
      <c r="F93" s="14"/>
      <c r="G93" s="15">
        <f>[79]Source!AN2656</f>
        <v>19.73</v>
      </c>
      <c r="H93" s="16" t="s">
        <v>31</v>
      </c>
      <c r="I93" s="14">
        <f>[79]Source!AV2657</f>
        <v>1.0669999999999999</v>
      </c>
      <c r="J93" s="10">
        <f>ROUND(F80*G93*I93*(1.67-1), 2)</f>
        <v>0.34</v>
      </c>
      <c r="K93" s="14">
        <f>IF([79]Source!BS2657&lt;&gt; 0, [79]Source!BS2657, 1)</f>
        <v>23.94</v>
      </c>
      <c r="L93" s="10">
        <f>ROUND(F80*G93*I93*(1.67-1)*K93, 2)</f>
        <v>8.2100000000000009</v>
      </c>
    </row>
    <row r="94" spans="1:22" ht="14.25" x14ac:dyDescent="0.2">
      <c r="A94" s="12"/>
      <c r="B94" s="12"/>
      <c r="C94" s="13"/>
      <c r="D94" s="13" t="s">
        <v>27</v>
      </c>
      <c r="E94" s="6" t="s">
        <v>25</v>
      </c>
      <c r="F94" s="14">
        <f>175</f>
        <v>175</v>
      </c>
      <c r="G94" s="15"/>
      <c r="H94" s="6"/>
      <c r="I94" s="14"/>
      <c r="J94" s="10">
        <f>ROUND(J93*(F94/100), 2)</f>
        <v>0.6</v>
      </c>
      <c r="K94" s="14">
        <f>157</f>
        <v>157</v>
      </c>
      <c r="L94" s="10">
        <f>ROUND(L93*(K94/100), 2)</f>
        <v>12.89</v>
      </c>
    </row>
    <row r="95" spans="1:22" ht="15" x14ac:dyDescent="0.25">
      <c r="I95" s="525">
        <f>J94+J93</f>
        <v>0.94</v>
      </c>
      <c r="J95" s="525"/>
      <c r="K95" s="525">
        <f>L94+L93</f>
        <v>21.1</v>
      </c>
      <c r="L95" s="525"/>
      <c r="O95" s="11">
        <f>I95</f>
        <v>0.94</v>
      </c>
      <c r="P95" s="11">
        <f>K95</f>
        <v>21.1</v>
      </c>
    </row>
    <row r="97" spans="1:22" ht="15" x14ac:dyDescent="0.25">
      <c r="A97" s="37"/>
      <c r="B97" s="37"/>
      <c r="C97" s="38"/>
      <c r="D97" s="38" t="s">
        <v>32</v>
      </c>
      <c r="E97" s="39"/>
      <c r="F97" s="40"/>
      <c r="G97" s="41"/>
      <c r="H97" s="42"/>
      <c r="I97" s="524">
        <f>I90+I95</f>
        <v>638.07000000000005</v>
      </c>
      <c r="J97" s="524"/>
      <c r="K97" s="524">
        <f>K90+K95</f>
        <v>5489.42</v>
      </c>
      <c r="L97" s="524"/>
    </row>
    <row r="98" spans="1:22" ht="71.25" x14ac:dyDescent="0.2">
      <c r="A98" s="4">
        <v>10</v>
      </c>
      <c r="B98" s="4" t="str">
        <f>[79]Source!E2664</f>
        <v>434</v>
      </c>
      <c r="C98" s="5" t="str">
        <f>[79]Source!F2664</f>
        <v>3.20-1-3</v>
      </c>
      <c r="D98" s="5" t="s">
        <v>93</v>
      </c>
      <c r="E98" s="6" t="str">
        <f>[79]Source!H2664</f>
        <v>100 м2 поверхности воздуховодов</v>
      </c>
      <c r="F98" s="2">
        <f>[79]Source!I2664</f>
        <v>0.443</v>
      </c>
      <c r="G98" s="7"/>
      <c r="H98" s="8"/>
      <c r="I98" s="2"/>
      <c r="J98" s="25"/>
      <c r="K98" s="2"/>
      <c r="L98" s="25"/>
      <c r="Q98">
        <f>[79]Source!X2664</f>
        <v>1574.93</v>
      </c>
      <c r="R98">
        <f>[79]Source!X2665</f>
        <v>30162.959999999999</v>
      </c>
      <c r="S98">
        <f>[79]Source!Y2664</f>
        <v>1184.3399999999999</v>
      </c>
      <c r="T98">
        <f>[79]Source!Y2665</f>
        <v>13573.33</v>
      </c>
      <c r="U98">
        <f>ROUND((175/100)*ROUND([79]Source!R2664, 2), 2)</f>
        <v>21.32</v>
      </c>
      <c r="V98">
        <f>ROUND((157/100)*ROUND([79]Source!R2665, 2), 2)</f>
        <v>457.8</v>
      </c>
    </row>
    <row r="99" spans="1:22" ht="14.25" x14ac:dyDescent="0.2">
      <c r="A99" s="4"/>
      <c r="B99" s="4"/>
      <c r="C99" s="5"/>
      <c r="D99" s="5" t="s">
        <v>20</v>
      </c>
      <c r="E99" s="6"/>
      <c r="F99" s="2"/>
      <c r="G99" s="7">
        <f>[79]Source!AO2664</f>
        <v>1596.12</v>
      </c>
      <c r="H99" s="8" t="str">
        <f>[79]Source!DG2664</f>
        <v>)*1,67</v>
      </c>
      <c r="I99" s="2">
        <f>[79]Source!AV2665</f>
        <v>1.0669999999999999</v>
      </c>
      <c r="J99" s="25">
        <f>[79]Source!S2664</f>
        <v>1259.94</v>
      </c>
      <c r="K99" s="2">
        <f>IF([79]Source!BA2665&lt;&gt; 0, [79]Source!BA2665, 1)</f>
        <v>23.94</v>
      </c>
      <c r="L99" s="25">
        <f>[79]Source!S2665</f>
        <v>30162.959999999999</v>
      </c>
    </row>
    <row r="100" spans="1:22" ht="14.25" x14ac:dyDescent="0.2">
      <c r="A100" s="4"/>
      <c r="B100" s="4"/>
      <c r="C100" s="5"/>
      <c r="D100" s="5" t="s">
        <v>21</v>
      </c>
      <c r="E100" s="6"/>
      <c r="F100" s="2"/>
      <c r="G100" s="7">
        <f>[79]Source!AM2664</f>
        <v>125.93</v>
      </c>
      <c r="H100" s="8" t="str">
        <f>[79]Source!DE2664</f>
        <v/>
      </c>
      <c r="I100" s="2">
        <f>[79]Source!AV2665</f>
        <v>1.0669999999999999</v>
      </c>
      <c r="J100" s="25">
        <f>[79]Source!Q2664-J110</f>
        <v>59.52</v>
      </c>
      <c r="K100" s="2">
        <f>IF([79]Source!BB2665&lt;&gt; 0, [79]Source!BB2665, 1)</f>
        <v>8.3699999999999992</v>
      </c>
      <c r="L100" s="25">
        <f>[79]Source!Q2665-L110</f>
        <v>498.26</v>
      </c>
    </row>
    <row r="101" spans="1:22" ht="14.25" x14ac:dyDescent="0.2">
      <c r="A101" s="4"/>
      <c r="B101" s="4"/>
      <c r="C101" s="5"/>
      <c r="D101" s="5" t="s">
        <v>22</v>
      </c>
      <c r="E101" s="6"/>
      <c r="F101" s="2"/>
      <c r="G101" s="7">
        <f>[79]Source!AN2664</f>
        <v>15.43</v>
      </c>
      <c r="H101" s="8" t="str">
        <f>[79]Source!DE2664</f>
        <v/>
      </c>
      <c r="I101" s="2">
        <f>[79]Source!AV2665</f>
        <v>1.0669999999999999</v>
      </c>
      <c r="J101" s="10">
        <f>[79]Source!R2664-J111</f>
        <v>7.29</v>
      </c>
      <c r="K101" s="2">
        <f>IF([79]Source!BS2665&lt;&gt; 0, [79]Source!BS2665, 1)</f>
        <v>23.94</v>
      </c>
      <c r="L101" s="10">
        <f>[79]Source!R2665-L111</f>
        <v>174.6</v>
      </c>
    </row>
    <row r="102" spans="1:22" ht="14.25" x14ac:dyDescent="0.2">
      <c r="A102" s="4"/>
      <c r="B102" s="4"/>
      <c r="C102" s="5"/>
      <c r="D102" s="5" t="s">
        <v>23</v>
      </c>
      <c r="E102" s="6"/>
      <c r="F102" s="2"/>
      <c r="G102" s="7">
        <f>[79]Source!AL2664</f>
        <v>499.17</v>
      </c>
      <c r="H102" s="8" t="str">
        <f>[79]Source!DD2664</f>
        <v/>
      </c>
      <c r="I102" s="2">
        <f>[79]Source!AW2665</f>
        <v>1</v>
      </c>
      <c r="J102" s="25">
        <f>[79]Source!P2664</f>
        <v>221.13</v>
      </c>
      <c r="K102" s="2">
        <f>IF([79]Source!BC2665&lt;&gt; 0, [79]Source!BC2665, 1)</f>
        <v>3.58</v>
      </c>
      <c r="L102" s="25">
        <f>[79]Source!P2665</f>
        <v>791.65</v>
      </c>
    </row>
    <row r="103" spans="1:22" ht="57" x14ac:dyDescent="0.2">
      <c r="A103" s="4">
        <v>11</v>
      </c>
      <c r="B103" s="4" t="str">
        <f>[79]Source!E2666</f>
        <v>434,1</v>
      </c>
      <c r="C103" s="5" t="str">
        <f>[79]Source!F2666</f>
        <v>1.19-3-12</v>
      </c>
      <c r="D103" s="5" t="s">
        <v>94</v>
      </c>
      <c r="E103" s="6" t="str">
        <f>[79]Source!H2666</f>
        <v>м2</v>
      </c>
      <c r="F103" s="2">
        <f>[79]Source!I2666</f>
        <v>44.3</v>
      </c>
      <c r="G103" s="7">
        <f>[79]Source!AK2666</f>
        <v>125.64</v>
      </c>
      <c r="H103" s="36" t="s">
        <v>90</v>
      </c>
      <c r="I103" s="2">
        <f>[79]Source!AW2667</f>
        <v>1</v>
      </c>
      <c r="J103" s="25">
        <f>[79]Source!O2666</f>
        <v>5565.85</v>
      </c>
      <c r="K103" s="2">
        <f>IF([79]Source!BC2667&lt;&gt; 0, [79]Source!BC2667, 1)</f>
        <v>3.84</v>
      </c>
      <c r="L103" s="25">
        <f>[79]Source!O2667</f>
        <v>21372.86</v>
      </c>
      <c r="Q103">
        <f>[79]Source!X2666</f>
        <v>0</v>
      </c>
      <c r="R103">
        <f>[79]Source!X2667</f>
        <v>0</v>
      </c>
      <c r="S103">
        <f>[79]Source!Y2666</f>
        <v>0</v>
      </c>
      <c r="T103">
        <f>[79]Source!Y2667</f>
        <v>0</v>
      </c>
      <c r="U103">
        <f>ROUND((175/100)*ROUND([79]Source!R2666, 2), 2)</f>
        <v>0</v>
      </c>
      <c r="V103">
        <f>ROUND((157/100)*ROUND([79]Source!R2667, 2), 2)</f>
        <v>0</v>
      </c>
    </row>
    <row r="104" spans="1:22" ht="14.25" x14ac:dyDescent="0.2">
      <c r="A104" s="4"/>
      <c r="B104" s="4"/>
      <c r="C104" s="5"/>
      <c r="D104" s="5" t="s">
        <v>24</v>
      </c>
      <c r="E104" s="6" t="s">
        <v>25</v>
      </c>
      <c r="F104" s="2">
        <f>[79]Source!DN2665</f>
        <v>125</v>
      </c>
      <c r="G104" s="7"/>
      <c r="H104" s="8"/>
      <c r="I104" s="2"/>
      <c r="J104" s="25">
        <f>SUM(Q98:Q103)</f>
        <v>1574.93</v>
      </c>
      <c r="K104" s="2">
        <f>[79]Source!BZ2665</f>
        <v>100</v>
      </c>
      <c r="L104" s="25">
        <f>SUM(R98:R103)</f>
        <v>30162.959999999999</v>
      </c>
    </row>
    <row r="105" spans="1:22" ht="14.25" x14ac:dyDescent="0.2">
      <c r="A105" s="4"/>
      <c r="B105" s="4"/>
      <c r="C105" s="5"/>
      <c r="D105" s="5" t="s">
        <v>26</v>
      </c>
      <c r="E105" s="6" t="s">
        <v>25</v>
      </c>
      <c r="F105" s="2">
        <f>[79]Source!DO2665</f>
        <v>94</v>
      </c>
      <c r="G105" s="7"/>
      <c r="H105" s="8"/>
      <c r="I105" s="2"/>
      <c r="J105" s="25">
        <f>SUM(S98:S104)</f>
        <v>1184.3399999999999</v>
      </c>
      <c r="K105" s="2">
        <f>[79]Source!CA2665</f>
        <v>45</v>
      </c>
      <c r="L105" s="25">
        <f>SUM(T98:T104)</f>
        <v>13573.33</v>
      </c>
    </row>
    <row r="106" spans="1:22" ht="14.25" x14ac:dyDescent="0.2">
      <c r="A106" s="4"/>
      <c r="B106" s="4"/>
      <c r="C106" s="5"/>
      <c r="D106" s="5" t="s">
        <v>27</v>
      </c>
      <c r="E106" s="6" t="s">
        <v>25</v>
      </c>
      <c r="F106" s="2">
        <f>175</f>
        <v>175</v>
      </c>
      <c r="G106" s="7"/>
      <c r="H106" s="8"/>
      <c r="I106" s="2"/>
      <c r="J106" s="25">
        <f>SUM(U98:U105)-J112</f>
        <v>12.76</v>
      </c>
      <c r="K106" s="2">
        <f>157</f>
        <v>157</v>
      </c>
      <c r="L106" s="25">
        <f>SUM(V98:V105)-L112</f>
        <v>274.13</v>
      </c>
    </row>
    <row r="107" spans="1:22" ht="14.25" x14ac:dyDescent="0.2">
      <c r="A107" s="4"/>
      <c r="B107" s="4"/>
      <c r="C107" s="5"/>
      <c r="D107" s="5" t="s">
        <v>28</v>
      </c>
      <c r="E107" s="6" t="s">
        <v>29</v>
      </c>
      <c r="F107" s="2">
        <f>[79]Source!AQ2664</f>
        <v>141</v>
      </c>
      <c r="G107" s="7"/>
      <c r="H107" s="8" t="str">
        <f>[79]Source!DI2664</f>
        <v/>
      </c>
      <c r="I107" s="2">
        <f>[79]Source!AV2665</f>
        <v>1.0669999999999999</v>
      </c>
      <c r="J107" s="25">
        <f>[79]Source!U2664</f>
        <v>66.650000000000006</v>
      </c>
      <c r="K107" s="2"/>
      <c r="L107" s="25"/>
    </row>
    <row r="108" spans="1:22" ht="15" x14ac:dyDescent="0.25">
      <c r="I108" s="525">
        <f>J99+J100+J102+J104+J105+J106+SUM(J103:J103)</f>
        <v>9878.4699999999993</v>
      </c>
      <c r="J108" s="525"/>
      <c r="K108" s="525">
        <f>L99+L100+L102+L104+L105+L106+SUM(L103:L103)</f>
        <v>96836.15</v>
      </c>
      <c r="L108" s="525"/>
      <c r="O108" s="11">
        <f>J99+J100+J102+J104+J105+J106+SUM(J103:J103)</f>
        <v>9878.4699999999993</v>
      </c>
      <c r="P108" s="11">
        <f>L99+L100+L102+L104+L105+L106+SUM(L103:L103)</f>
        <v>96836.15</v>
      </c>
    </row>
    <row r="109" spans="1:22" ht="28.5" x14ac:dyDescent="0.2">
      <c r="A109" s="12"/>
      <c r="B109" s="12"/>
      <c r="C109" s="13"/>
      <c r="D109" s="13" t="s">
        <v>30</v>
      </c>
      <c r="E109" s="6"/>
      <c r="F109" s="14"/>
      <c r="G109" s="15"/>
      <c r="H109" s="6"/>
      <c r="I109" s="14"/>
      <c r="J109" s="10"/>
      <c r="K109" s="14"/>
      <c r="L109" s="10"/>
    </row>
    <row r="110" spans="1:22" ht="14.25" x14ac:dyDescent="0.2">
      <c r="A110" s="12"/>
      <c r="B110" s="12"/>
      <c r="C110" s="13"/>
      <c r="D110" s="13" t="s">
        <v>21</v>
      </c>
      <c r="E110" s="6"/>
      <c r="F110" s="14"/>
      <c r="G110" s="15">
        <f t="shared" ref="G110:L110" si="2">G111</f>
        <v>15.43</v>
      </c>
      <c r="H110" s="16" t="str">
        <f t="shared" si="2"/>
        <v>)*(1.67-1)</v>
      </c>
      <c r="I110" s="14">
        <f t="shared" si="2"/>
        <v>1.0669999999999999</v>
      </c>
      <c r="J110" s="10">
        <f t="shared" si="2"/>
        <v>4.8899999999999997</v>
      </c>
      <c r="K110" s="14">
        <f t="shared" si="2"/>
        <v>23.94</v>
      </c>
      <c r="L110" s="10">
        <f t="shared" si="2"/>
        <v>116.99</v>
      </c>
    </row>
    <row r="111" spans="1:22" ht="14.25" x14ac:dyDescent="0.2">
      <c r="A111" s="12"/>
      <c r="B111" s="12"/>
      <c r="C111" s="13"/>
      <c r="D111" s="13" t="s">
        <v>22</v>
      </c>
      <c r="E111" s="6"/>
      <c r="F111" s="14"/>
      <c r="G111" s="15">
        <f>[79]Source!AN2664</f>
        <v>15.43</v>
      </c>
      <c r="H111" s="16" t="s">
        <v>31</v>
      </c>
      <c r="I111" s="14">
        <f>[79]Source!AV2665</f>
        <v>1.0669999999999999</v>
      </c>
      <c r="J111" s="10">
        <f>ROUND(F98*G111*I111*(1.67-1), 2)</f>
        <v>4.8899999999999997</v>
      </c>
      <c r="K111" s="14">
        <f>IF([79]Source!BS2665&lt;&gt; 0, [79]Source!BS2665, 1)</f>
        <v>23.94</v>
      </c>
      <c r="L111" s="10">
        <f>ROUND(F98*G111*I111*(1.67-1)*K111, 2)</f>
        <v>116.99</v>
      </c>
    </row>
    <row r="112" spans="1:22" ht="14.25" x14ac:dyDescent="0.2">
      <c r="A112" s="12"/>
      <c r="B112" s="12"/>
      <c r="C112" s="13"/>
      <c r="D112" s="13" t="s">
        <v>27</v>
      </c>
      <c r="E112" s="6" t="s">
        <v>25</v>
      </c>
      <c r="F112" s="14">
        <f>175</f>
        <v>175</v>
      </c>
      <c r="G112" s="15"/>
      <c r="H112" s="6"/>
      <c r="I112" s="14"/>
      <c r="J112" s="10">
        <f>ROUND(J111*(F112/100), 2)</f>
        <v>8.56</v>
      </c>
      <c r="K112" s="14">
        <f>157</f>
        <v>157</v>
      </c>
      <c r="L112" s="10">
        <f>ROUND(L111*(K112/100), 2)</f>
        <v>183.67</v>
      </c>
    </row>
    <row r="113" spans="1:22" ht="15" x14ac:dyDescent="0.25">
      <c r="I113" s="525">
        <f>J112+J111</f>
        <v>13.45</v>
      </c>
      <c r="J113" s="525"/>
      <c r="K113" s="525">
        <f>L112+L111</f>
        <v>300.66000000000003</v>
      </c>
      <c r="L113" s="525"/>
      <c r="O113" s="11">
        <f>I113</f>
        <v>13.45</v>
      </c>
      <c r="P113" s="11">
        <f>K113</f>
        <v>300.66000000000003</v>
      </c>
    </row>
    <row r="115" spans="1:22" ht="15" x14ac:dyDescent="0.25">
      <c r="A115" s="37"/>
      <c r="B115" s="37"/>
      <c r="C115" s="38"/>
      <c r="D115" s="38" t="s">
        <v>32</v>
      </c>
      <c r="E115" s="39"/>
      <c r="F115" s="40"/>
      <c r="G115" s="41"/>
      <c r="H115" s="42"/>
      <c r="I115" s="524">
        <f>I108+I113</f>
        <v>9891.92</v>
      </c>
      <c r="J115" s="524"/>
      <c r="K115" s="524">
        <f>K108+K113</f>
        <v>97136.81</v>
      </c>
      <c r="L115" s="524"/>
    </row>
    <row r="116" spans="1:22" ht="71.25" x14ac:dyDescent="0.2">
      <c r="A116" s="4">
        <v>12</v>
      </c>
      <c r="B116" s="4" t="str">
        <f>[79]Source!E2672</f>
        <v>436</v>
      </c>
      <c r="C116" s="5" t="str">
        <f>[79]Source!F2672</f>
        <v>3.20-1-6</v>
      </c>
      <c r="D116" s="5" t="s">
        <v>95</v>
      </c>
      <c r="E116" s="6" t="str">
        <f>[79]Source!H2672</f>
        <v>100 м2 поверхности воздуховодов</v>
      </c>
      <c r="F116" s="2">
        <f>[79]Source!I2672</f>
        <v>0.12570000000000001</v>
      </c>
      <c r="G116" s="7"/>
      <c r="H116" s="8"/>
      <c r="I116" s="2"/>
      <c r="J116" s="25"/>
      <c r="K116" s="2"/>
      <c r="L116" s="25"/>
      <c r="Q116">
        <f>[79]Source!X2672</f>
        <v>386.66</v>
      </c>
      <c r="R116">
        <f>[79]Source!X2673</f>
        <v>7405.36</v>
      </c>
      <c r="S116">
        <f>[79]Source!Y2672</f>
        <v>290.77</v>
      </c>
      <c r="T116">
        <f>[79]Source!Y2673</f>
        <v>3332.41</v>
      </c>
      <c r="U116">
        <f>ROUND((175/100)*ROUND([79]Source!R2672, 2), 2)</f>
        <v>5.6</v>
      </c>
      <c r="V116">
        <f>ROUND((157/100)*ROUND([79]Source!R2673, 2), 2)</f>
        <v>120.28</v>
      </c>
    </row>
    <row r="117" spans="1:22" ht="14.25" x14ac:dyDescent="0.2">
      <c r="A117" s="4"/>
      <c r="B117" s="4"/>
      <c r="C117" s="5"/>
      <c r="D117" s="5" t="s">
        <v>20</v>
      </c>
      <c r="E117" s="6"/>
      <c r="F117" s="2"/>
      <c r="G117" s="7">
        <f>[79]Source!AO2672</f>
        <v>1381.04</v>
      </c>
      <c r="H117" s="8" t="str">
        <f>[79]Source!DG2672</f>
        <v>)*1,67</v>
      </c>
      <c r="I117" s="2">
        <f>[79]Source!AV2673</f>
        <v>1.0669999999999999</v>
      </c>
      <c r="J117" s="25">
        <f>[79]Source!S2672</f>
        <v>309.33</v>
      </c>
      <c r="K117" s="2">
        <f>IF([79]Source!BA2673&lt;&gt; 0, [79]Source!BA2673, 1)</f>
        <v>23.94</v>
      </c>
      <c r="L117" s="25">
        <f>[79]Source!S2673</f>
        <v>7405.36</v>
      </c>
    </row>
    <row r="118" spans="1:22" ht="14.25" x14ac:dyDescent="0.2">
      <c r="A118" s="4"/>
      <c r="B118" s="4"/>
      <c r="C118" s="5"/>
      <c r="D118" s="5" t="s">
        <v>21</v>
      </c>
      <c r="E118" s="6"/>
      <c r="F118" s="2"/>
      <c r="G118" s="7">
        <f>[79]Source!AM2672</f>
        <v>116.7</v>
      </c>
      <c r="H118" s="8" t="str">
        <f>[79]Source!DE2672</f>
        <v/>
      </c>
      <c r="I118" s="2">
        <f>[79]Source!AV2673</f>
        <v>1.0669999999999999</v>
      </c>
      <c r="J118" s="25">
        <f>[79]Source!Q2672-J128</f>
        <v>15.65</v>
      </c>
      <c r="K118" s="2">
        <f>IF([79]Source!BB2673&lt;&gt; 0, [79]Source!BB2673, 1)</f>
        <v>8.3699999999999992</v>
      </c>
      <c r="L118" s="25">
        <f>[79]Source!Q2673-L128</f>
        <v>130.88999999999999</v>
      </c>
    </row>
    <row r="119" spans="1:22" ht="14.25" x14ac:dyDescent="0.2">
      <c r="A119" s="4"/>
      <c r="B119" s="4"/>
      <c r="C119" s="5"/>
      <c r="D119" s="5" t="s">
        <v>22</v>
      </c>
      <c r="E119" s="6"/>
      <c r="F119" s="2"/>
      <c r="G119" s="7">
        <f>[79]Source!AN2672</f>
        <v>14.29</v>
      </c>
      <c r="H119" s="8" t="str">
        <f>[79]Source!DE2672</f>
        <v/>
      </c>
      <c r="I119" s="2">
        <f>[79]Source!AV2673</f>
        <v>1.0669999999999999</v>
      </c>
      <c r="J119" s="10">
        <f>[79]Source!R2672-J129</f>
        <v>1.92</v>
      </c>
      <c r="K119" s="2">
        <f>IF([79]Source!BS2673&lt;&gt; 0, [79]Source!BS2673, 1)</f>
        <v>23.94</v>
      </c>
      <c r="L119" s="10">
        <f>[79]Source!R2673-L129</f>
        <v>45.87</v>
      </c>
    </row>
    <row r="120" spans="1:22" ht="14.25" x14ac:dyDescent="0.2">
      <c r="A120" s="4"/>
      <c r="B120" s="4"/>
      <c r="C120" s="5"/>
      <c r="D120" s="5" t="s">
        <v>23</v>
      </c>
      <c r="E120" s="6"/>
      <c r="F120" s="2"/>
      <c r="G120" s="7">
        <f>[79]Source!AL2672</f>
        <v>417.44</v>
      </c>
      <c r="H120" s="8" t="str">
        <f>[79]Source!DD2672</f>
        <v/>
      </c>
      <c r="I120" s="2">
        <f>[79]Source!AW2673</f>
        <v>1</v>
      </c>
      <c r="J120" s="25">
        <f>[79]Source!P2672</f>
        <v>52.47</v>
      </c>
      <c r="K120" s="2">
        <f>IF([79]Source!BC2673&lt;&gt; 0, [79]Source!BC2673, 1)</f>
        <v>3.5</v>
      </c>
      <c r="L120" s="25">
        <f>[79]Source!P2673</f>
        <v>183.65</v>
      </c>
    </row>
    <row r="121" spans="1:22" ht="42.75" x14ac:dyDescent="0.2">
      <c r="A121" s="4">
        <v>13</v>
      </c>
      <c r="B121" s="4" t="str">
        <f>[79]Source!E2674</f>
        <v>436,1</v>
      </c>
      <c r="C121" s="5" t="str">
        <f>[79]Source!F2674</f>
        <v>1.19-3-6</v>
      </c>
      <c r="D121" s="5" t="s">
        <v>92</v>
      </c>
      <c r="E121" s="6" t="str">
        <f>[79]Source!H2674</f>
        <v>м2</v>
      </c>
      <c r="F121" s="2">
        <f>[79]Source!I2674</f>
        <v>12.57</v>
      </c>
      <c r="G121" s="7">
        <f>[79]Source!AK2674</f>
        <v>156.05000000000001</v>
      </c>
      <c r="H121" s="36" t="s">
        <v>90</v>
      </c>
      <c r="I121" s="2">
        <f>[79]Source!AW2675</f>
        <v>1</v>
      </c>
      <c r="J121" s="25">
        <f>[79]Source!O2674</f>
        <v>1961.55</v>
      </c>
      <c r="K121" s="2">
        <f>IF([79]Source!BC2675&lt;&gt; 0, [79]Source!BC2675, 1)</f>
        <v>2.4900000000000002</v>
      </c>
      <c r="L121" s="25">
        <f>[79]Source!O2675</f>
        <v>4884.26</v>
      </c>
      <c r="Q121">
        <f>[79]Source!X2674</f>
        <v>0</v>
      </c>
      <c r="R121">
        <f>[79]Source!X2675</f>
        <v>0</v>
      </c>
      <c r="S121">
        <f>[79]Source!Y2674</f>
        <v>0</v>
      </c>
      <c r="T121">
        <f>[79]Source!Y2675</f>
        <v>0</v>
      </c>
      <c r="U121">
        <f>ROUND((175/100)*ROUND([79]Source!R2674, 2), 2)</f>
        <v>0</v>
      </c>
      <c r="V121">
        <f>ROUND((157/100)*ROUND([79]Source!R2675, 2), 2)</f>
        <v>0</v>
      </c>
    </row>
    <row r="122" spans="1:22" ht="14.25" x14ac:dyDescent="0.2">
      <c r="A122" s="4"/>
      <c r="B122" s="4"/>
      <c r="C122" s="5"/>
      <c r="D122" s="5" t="s">
        <v>24</v>
      </c>
      <c r="E122" s="6" t="s">
        <v>25</v>
      </c>
      <c r="F122" s="2">
        <f>[79]Source!DN2673</f>
        <v>125</v>
      </c>
      <c r="G122" s="7"/>
      <c r="H122" s="8"/>
      <c r="I122" s="2"/>
      <c r="J122" s="25">
        <f>SUM(Q116:Q121)</f>
        <v>386.66</v>
      </c>
      <c r="K122" s="2">
        <f>[79]Source!BZ2673</f>
        <v>100</v>
      </c>
      <c r="L122" s="25">
        <f>SUM(R116:R121)</f>
        <v>7405.36</v>
      </c>
    </row>
    <row r="123" spans="1:22" ht="14.25" x14ac:dyDescent="0.2">
      <c r="A123" s="4"/>
      <c r="B123" s="4"/>
      <c r="C123" s="5"/>
      <c r="D123" s="5" t="s">
        <v>26</v>
      </c>
      <c r="E123" s="6" t="s">
        <v>25</v>
      </c>
      <c r="F123" s="2">
        <f>[79]Source!DO2673</f>
        <v>94</v>
      </c>
      <c r="G123" s="7"/>
      <c r="H123" s="8"/>
      <c r="I123" s="2"/>
      <c r="J123" s="25">
        <f>SUM(S116:S122)</f>
        <v>290.77</v>
      </c>
      <c r="K123" s="2">
        <f>[79]Source!CA2673</f>
        <v>45</v>
      </c>
      <c r="L123" s="25">
        <f>SUM(T116:T122)</f>
        <v>3332.41</v>
      </c>
    </row>
    <row r="124" spans="1:22" ht="14.25" x14ac:dyDescent="0.2">
      <c r="A124" s="4"/>
      <c r="B124" s="4"/>
      <c r="C124" s="5"/>
      <c r="D124" s="5" t="s">
        <v>27</v>
      </c>
      <c r="E124" s="6" t="s">
        <v>25</v>
      </c>
      <c r="F124" s="2">
        <f>175</f>
        <v>175</v>
      </c>
      <c r="G124" s="7"/>
      <c r="H124" s="8"/>
      <c r="I124" s="2"/>
      <c r="J124" s="25">
        <f>SUM(U116:U123)-J130</f>
        <v>3.36</v>
      </c>
      <c r="K124" s="2">
        <f>157</f>
        <v>157</v>
      </c>
      <c r="L124" s="25">
        <f>SUM(V116:V123)-L130</f>
        <v>72.02</v>
      </c>
    </row>
    <row r="125" spans="1:22" ht="14.25" x14ac:dyDescent="0.2">
      <c r="A125" s="4"/>
      <c r="B125" s="4"/>
      <c r="C125" s="5"/>
      <c r="D125" s="5" t="s">
        <v>28</v>
      </c>
      <c r="E125" s="6" t="s">
        <v>29</v>
      </c>
      <c r="F125" s="2">
        <f>[79]Source!AQ2672</f>
        <v>122</v>
      </c>
      <c r="G125" s="7"/>
      <c r="H125" s="8" t="str">
        <f>[79]Source!DI2672</f>
        <v/>
      </c>
      <c r="I125" s="2">
        <f>[79]Source!AV2673</f>
        <v>1.0669999999999999</v>
      </c>
      <c r="J125" s="25">
        <f>[79]Source!U2672</f>
        <v>16.36</v>
      </c>
      <c r="K125" s="2"/>
      <c r="L125" s="25"/>
    </row>
    <row r="126" spans="1:22" ht="15" x14ac:dyDescent="0.25">
      <c r="I126" s="525">
        <f>J117+J118+J120+J122+J123+J124+SUM(J121:J121)</f>
        <v>3019.79</v>
      </c>
      <c r="J126" s="525"/>
      <c r="K126" s="525">
        <f>L117+L118+L120+L122+L123+L124+SUM(L121:L121)</f>
        <v>23413.95</v>
      </c>
      <c r="L126" s="525"/>
      <c r="O126" s="11">
        <f>J117+J118+J120+J122+J123+J124+SUM(J121:J121)</f>
        <v>3019.79</v>
      </c>
      <c r="P126" s="11">
        <f>L117+L118+L120+L122+L123+L124+SUM(L121:L121)</f>
        <v>23413.95</v>
      </c>
    </row>
    <row r="127" spans="1:22" ht="28.5" x14ac:dyDescent="0.2">
      <c r="A127" s="12"/>
      <c r="B127" s="12"/>
      <c r="C127" s="13"/>
      <c r="D127" s="13" t="s">
        <v>30</v>
      </c>
      <c r="E127" s="6"/>
      <c r="F127" s="14"/>
      <c r="G127" s="15"/>
      <c r="H127" s="6"/>
      <c r="I127" s="14"/>
      <c r="J127" s="10"/>
      <c r="K127" s="14"/>
      <c r="L127" s="10"/>
    </row>
    <row r="128" spans="1:22" ht="14.25" x14ac:dyDescent="0.2">
      <c r="A128" s="12"/>
      <c r="B128" s="12"/>
      <c r="C128" s="13"/>
      <c r="D128" s="13" t="s">
        <v>21</v>
      </c>
      <c r="E128" s="6"/>
      <c r="F128" s="14"/>
      <c r="G128" s="15">
        <f t="shared" ref="G128:L128" si="3">G129</f>
        <v>14.29</v>
      </c>
      <c r="H128" s="16" t="str">
        <f t="shared" si="3"/>
        <v>)*(1.67-1)</v>
      </c>
      <c r="I128" s="14">
        <f t="shared" si="3"/>
        <v>1.0669999999999999</v>
      </c>
      <c r="J128" s="10">
        <f t="shared" si="3"/>
        <v>1.28</v>
      </c>
      <c r="K128" s="14">
        <f t="shared" si="3"/>
        <v>23.94</v>
      </c>
      <c r="L128" s="10">
        <f t="shared" si="3"/>
        <v>30.74</v>
      </c>
    </row>
    <row r="129" spans="1:22" ht="14.25" x14ac:dyDescent="0.2">
      <c r="A129" s="12"/>
      <c r="B129" s="12"/>
      <c r="C129" s="13"/>
      <c r="D129" s="13" t="s">
        <v>22</v>
      </c>
      <c r="E129" s="6"/>
      <c r="F129" s="14"/>
      <c r="G129" s="15">
        <f>[79]Source!AN2672</f>
        <v>14.29</v>
      </c>
      <c r="H129" s="16" t="s">
        <v>31</v>
      </c>
      <c r="I129" s="14">
        <f>[79]Source!AV2673</f>
        <v>1.0669999999999999</v>
      </c>
      <c r="J129" s="10">
        <f>ROUND(F116*G129*I129*(1.67-1), 2)</f>
        <v>1.28</v>
      </c>
      <c r="K129" s="14">
        <f>IF([79]Source!BS2673&lt;&gt; 0, [79]Source!BS2673, 1)</f>
        <v>23.94</v>
      </c>
      <c r="L129" s="10">
        <f>ROUND(F116*G129*I129*(1.67-1)*K129, 2)</f>
        <v>30.74</v>
      </c>
    </row>
    <row r="130" spans="1:22" ht="14.25" x14ac:dyDescent="0.2">
      <c r="A130" s="12"/>
      <c r="B130" s="12"/>
      <c r="C130" s="13"/>
      <c r="D130" s="13" t="s">
        <v>27</v>
      </c>
      <c r="E130" s="6" t="s">
        <v>25</v>
      </c>
      <c r="F130" s="14">
        <f>175</f>
        <v>175</v>
      </c>
      <c r="G130" s="15"/>
      <c r="H130" s="6"/>
      <c r="I130" s="14"/>
      <c r="J130" s="10">
        <f>ROUND(J129*(F130/100), 2)</f>
        <v>2.2400000000000002</v>
      </c>
      <c r="K130" s="14">
        <f>157</f>
        <v>157</v>
      </c>
      <c r="L130" s="10">
        <f>ROUND(L129*(K130/100), 2)</f>
        <v>48.26</v>
      </c>
    </row>
    <row r="131" spans="1:22" ht="15" x14ac:dyDescent="0.25">
      <c r="I131" s="525">
        <f>J130+J129</f>
        <v>3.52</v>
      </c>
      <c r="J131" s="525"/>
      <c r="K131" s="525">
        <f>L130+L129</f>
        <v>79</v>
      </c>
      <c r="L131" s="525"/>
      <c r="O131" s="11">
        <f>I131</f>
        <v>3.52</v>
      </c>
      <c r="P131" s="11">
        <f>K131</f>
        <v>79</v>
      </c>
    </row>
    <row r="133" spans="1:22" ht="15" x14ac:dyDescent="0.25">
      <c r="A133" s="37"/>
      <c r="B133" s="37"/>
      <c r="C133" s="38"/>
      <c r="D133" s="38" t="s">
        <v>32</v>
      </c>
      <c r="E133" s="39"/>
      <c r="F133" s="40"/>
      <c r="G133" s="41"/>
      <c r="H133" s="42"/>
      <c r="I133" s="524">
        <f>I126+I131</f>
        <v>3023.31</v>
      </c>
      <c r="J133" s="524"/>
      <c r="K133" s="524">
        <f>K126+K131</f>
        <v>23492.95</v>
      </c>
      <c r="L133" s="524"/>
    </row>
    <row r="134" spans="1:22" ht="71.25" x14ac:dyDescent="0.2">
      <c r="A134" s="4">
        <v>14</v>
      </c>
      <c r="B134" s="4" t="str">
        <f>[79]Source!E2690</f>
        <v>442</v>
      </c>
      <c r="C134" s="5" t="str">
        <f>[79]Source!F2690</f>
        <v>3.20-1-11</v>
      </c>
      <c r="D134" s="5" t="s">
        <v>96</v>
      </c>
      <c r="E134" s="6" t="str">
        <f>[79]Source!H2690</f>
        <v>100 м2 поверхности воздуховодов</v>
      </c>
      <c r="F134" s="2">
        <f>[79]Source!I2690</f>
        <v>0.34749999999999998</v>
      </c>
      <c r="G134" s="7"/>
      <c r="H134" s="8"/>
      <c r="I134" s="2"/>
      <c r="J134" s="25"/>
      <c r="K134" s="2"/>
      <c r="L134" s="25"/>
      <c r="Q134">
        <f>[79]Source!X2690</f>
        <v>804.34</v>
      </c>
      <c r="R134">
        <f>[79]Source!X2691</f>
        <v>15404.67</v>
      </c>
      <c r="S134">
        <f>[79]Source!Y2690</f>
        <v>604.86</v>
      </c>
      <c r="T134">
        <f>[79]Source!Y2691</f>
        <v>6932.1</v>
      </c>
      <c r="U134">
        <f>ROUND((175/100)*ROUND([79]Source!R2690, 2), 2)</f>
        <v>11.59</v>
      </c>
      <c r="V134">
        <f>ROUND((157/100)*ROUND([79]Source!R2691, 2), 2)</f>
        <v>248.81</v>
      </c>
    </row>
    <row r="135" spans="1:22" ht="14.25" x14ac:dyDescent="0.2">
      <c r="A135" s="4"/>
      <c r="B135" s="4"/>
      <c r="C135" s="5"/>
      <c r="D135" s="5" t="s">
        <v>20</v>
      </c>
      <c r="E135" s="6"/>
      <c r="F135" s="2"/>
      <c r="G135" s="7">
        <f>[79]Source!AO2690</f>
        <v>1039.18</v>
      </c>
      <c r="H135" s="8" t="str">
        <f>[79]Source!DG2690</f>
        <v>)*1,67</v>
      </c>
      <c r="I135" s="2">
        <f>[79]Source!AV2691</f>
        <v>1.0669999999999999</v>
      </c>
      <c r="J135" s="25">
        <f>[79]Source!S2690</f>
        <v>643.47</v>
      </c>
      <c r="K135" s="2">
        <f>IF([79]Source!BA2691&lt;&gt; 0, [79]Source!BA2691, 1)</f>
        <v>23.94</v>
      </c>
      <c r="L135" s="25">
        <f>[79]Source!S2691</f>
        <v>15404.67</v>
      </c>
    </row>
    <row r="136" spans="1:22" ht="14.25" x14ac:dyDescent="0.2">
      <c r="A136" s="4"/>
      <c r="B136" s="4"/>
      <c r="C136" s="5"/>
      <c r="D136" s="5" t="s">
        <v>21</v>
      </c>
      <c r="E136" s="6"/>
      <c r="F136" s="2"/>
      <c r="G136" s="7">
        <f>[79]Source!AM2690</f>
        <v>87.46</v>
      </c>
      <c r="H136" s="8" t="str">
        <f>[79]Source!DE2690</f>
        <v/>
      </c>
      <c r="I136" s="2">
        <f>[79]Source!AV2691</f>
        <v>1.0669999999999999</v>
      </c>
      <c r="J136" s="25">
        <f>[79]Source!Q2690-J146</f>
        <v>32.43</v>
      </c>
      <c r="K136" s="2">
        <f>IF([79]Source!BB2691&lt;&gt; 0, [79]Source!BB2691, 1)</f>
        <v>8.3800000000000008</v>
      </c>
      <c r="L136" s="25">
        <f>[79]Source!Q2691-L146</f>
        <v>271.86</v>
      </c>
    </row>
    <row r="137" spans="1:22" ht="14.25" x14ac:dyDescent="0.2">
      <c r="A137" s="4"/>
      <c r="B137" s="4"/>
      <c r="C137" s="5"/>
      <c r="D137" s="5" t="s">
        <v>22</v>
      </c>
      <c r="E137" s="6"/>
      <c r="F137" s="2"/>
      <c r="G137" s="7">
        <f>[79]Source!AN2690</f>
        <v>10.69</v>
      </c>
      <c r="H137" s="8" t="str">
        <f>[79]Source!DE2690</f>
        <v/>
      </c>
      <c r="I137" s="2">
        <f>[79]Source!AV2691</f>
        <v>1.0669999999999999</v>
      </c>
      <c r="J137" s="10">
        <f>[79]Source!R2690-J147</f>
        <v>3.96</v>
      </c>
      <c r="K137" s="2">
        <f>IF([79]Source!BS2691&lt;&gt; 0, [79]Source!BS2691, 1)</f>
        <v>23.94</v>
      </c>
      <c r="L137" s="10">
        <f>[79]Source!R2691-L147</f>
        <v>94.9</v>
      </c>
    </row>
    <row r="138" spans="1:22" ht="14.25" x14ac:dyDescent="0.2">
      <c r="A138" s="4"/>
      <c r="B138" s="4"/>
      <c r="C138" s="5"/>
      <c r="D138" s="5" t="s">
        <v>23</v>
      </c>
      <c r="E138" s="6"/>
      <c r="F138" s="2"/>
      <c r="G138" s="7">
        <f>[79]Source!AL2690</f>
        <v>409.71</v>
      </c>
      <c r="H138" s="8" t="str">
        <f>[79]Source!DD2690</f>
        <v/>
      </c>
      <c r="I138" s="2">
        <f>[79]Source!AW2691</f>
        <v>1</v>
      </c>
      <c r="J138" s="25">
        <f>[79]Source!P2690</f>
        <v>142.37</v>
      </c>
      <c r="K138" s="2">
        <f>IF([79]Source!BC2691&lt;&gt; 0, [79]Source!BC2691, 1)</f>
        <v>3.23</v>
      </c>
      <c r="L138" s="25">
        <f>[79]Source!P2691</f>
        <v>459.86</v>
      </c>
    </row>
    <row r="139" spans="1:22" ht="57" x14ac:dyDescent="0.2">
      <c r="A139" s="4">
        <v>15</v>
      </c>
      <c r="B139" s="4" t="str">
        <f>[79]Source!E2692</f>
        <v>442,1</v>
      </c>
      <c r="C139" s="5" t="str">
        <f>[79]Source!F2692</f>
        <v>1.19-3-13</v>
      </c>
      <c r="D139" s="5" t="s">
        <v>97</v>
      </c>
      <c r="E139" s="6" t="str">
        <f>[79]Source!H2692</f>
        <v>м2</v>
      </c>
      <c r="F139" s="2">
        <f>[79]Source!I2692</f>
        <v>34.75</v>
      </c>
      <c r="G139" s="7">
        <f>[79]Source!AK2692</f>
        <v>157.54</v>
      </c>
      <c r="H139" s="36" t="s">
        <v>90</v>
      </c>
      <c r="I139" s="2">
        <f>[79]Source!AW2693</f>
        <v>1</v>
      </c>
      <c r="J139" s="25">
        <f>[79]Source!O2692</f>
        <v>5474.52</v>
      </c>
      <c r="K139" s="2">
        <f>IF([79]Source!BC2693&lt;&gt; 0, [79]Source!BC2693, 1)</f>
        <v>3.07</v>
      </c>
      <c r="L139" s="25">
        <f>[79]Source!O2693</f>
        <v>16806.78</v>
      </c>
      <c r="Q139">
        <f>[79]Source!X2692</f>
        <v>0</v>
      </c>
      <c r="R139">
        <f>[79]Source!X2693</f>
        <v>0</v>
      </c>
      <c r="S139">
        <f>[79]Source!Y2692</f>
        <v>0</v>
      </c>
      <c r="T139">
        <f>[79]Source!Y2693</f>
        <v>0</v>
      </c>
      <c r="U139">
        <f>ROUND((175/100)*ROUND([79]Source!R2692, 2), 2)</f>
        <v>0</v>
      </c>
      <c r="V139">
        <f>ROUND((157/100)*ROUND([79]Source!R2693, 2), 2)</f>
        <v>0</v>
      </c>
    </row>
    <row r="140" spans="1:22" ht="14.25" x14ac:dyDescent="0.2">
      <c r="A140" s="4"/>
      <c r="B140" s="4"/>
      <c r="C140" s="5"/>
      <c r="D140" s="5" t="s">
        <v>24</v>
      </c>
      <c r="E140" s="6" t="s">
        <v>25</v>
      </c>
      <c r="F140" s="2">
        <f>[79]Source!DN2691</f>
        <v>125</v>
      </c>
      <c r="G140" s="7"/>
      <c r="H140" s="8"/>
      <c r="I140" s="2"/>
      <c r="J140" s="25">
        <f>SUM(Q134:Q139)</f>
        <v>804.34</v>
      </c>
      <c r="K140" s="2">
        <f>[79]Source!BZ2691</f>
        <v>100</v>
      </c>
      <c r="L140" s="25">
        <f>SUM(R134:R139)</f>
        <v>15404.67</v>
      </c>
    </row>
    <row r="141" spans="1:22" ht="14.25" x14ac:dyDescent="0.2">
      <c r="A141" s="4"/>
      <c r="B141" s="4"/>
      <c r="C141" s="5"/>
      <c r="D141" s="5" t="s">
        <v>26</v>
      </c>
      <c r="E141" s="6" t="s">
        <v>25</v>
      </c>
      <c r="F141" s="2">
        <f>[79]Source!DO2691</f>
        <v>94</v>
      </c>
      <c r="G141" s="7"/>
      <c r="H141" s="8"/>
      <c r="I141" s="2"/>
      <c r="J141" s="25">
        <f>SUM(S134:S140)</f>
        <v>604.86</v>
      </c>
      <c r="K141" s="2">
        <f>[79]Source!CA2691</f>
        <v>45</v>
      </c>
      <c r="L141" s="25">
        <f>SUM(T134:T140)</f>
        <v>6932.1</v>
      </c>
    </row>
    <row r="142" spans="1:22" ht="14.25" x14ac:dyDescent="0.2">
      <c r="A142" s="4"/>
      <c r="B142" s="4"/>
      <c r="C142" s="5"/>
      <c r="D142" s="5" t="s">
        <v>27</v>
      </c>
      <c r="E142" s="6" t="s">
        <v>25</v>
      </c>
      <c r="F142" s="2">
        <f>175</f>
        <v>175</v>
      </c>
      <c r="G142" s="7"/>
      <c r="H142" s="8"/>
      <c r="I142" s="2"/>
      <c r="J142" s="25">
        <f>SUM(U134:U141)-J148</f>
        <v>6.93</v>
      </c>
      <c r="K142" s="2">
        <f>157</f>
        <v>157</v>
      </c>
      <c r="L142" s="25">
        <f>SUM(V134:V141)-L148</f>
        <v>148.99</v>
      </c>
    </row>
    <row r="143" spans="1:22" ht="14.25" x14ac:dyDescent="0.2">
      <c r="A143" s="4"/>
      <c r="B143" s="4"/>
      <c r="C143" s="5"/>
      <c r="D143" s="5" t="s">
        <v>28</v>
      </c>
      <c r="E143" s="6" t="s">
        <v>29</v>
      </c>
      <c r="F143" s="2">
        <f>[79]Source!AQ2690</f>
        <v>91.8</v>
      </c>
      <c r="G143" s="7"/>
      <c r="H143" s="8" t="str">
        <f>[79]Source!DI2690</f>
        <v/>
      </c>
      <c r="I143" s="2">
        <f>[79]Source!AV2691</f>
        <v>1.0669999999999999</v>
      </c>
      <c r="J143" s="25">
        <f>[79]Source!U2690</f>
        <v>34.04</v>
      </c>
      <c r="K143" s="2"/>
      <c r="L143" s="25"/>
    </row>
    <row r="144" spans="1:22" ht="15" x14ac:dyDescent="0.25">
      <c r="I144" s="525">
        <f>J135+J136+J138+J140+J141+J142+SUM(J139:J139)</f>
        <v>7708.92</v>
      </c>
      <c r="J144" s="525"/>
      <c r="K144" s="525">
        <f>L135+L136+L138+L140+L141+L142+SUM(L139:L139)</f>
        <v>55428.93</v>
      </c>
      <c r="L144" s="525"/>
      <c r="O144" s="11">
        <f>J135+J136+J138+J140+J141+J142+SUM(J139:J139)</f>
        <v>7708.92</v>
      </c>
      <c r="P144" s="11">
        <f>L135+L136+L138+L140+L141+L142+SUM(L139:L139)</f>
        <v>55428.93</v>
      </c>
    </row>
    <row r="145" spans="1:16" ht="28.5" x14ac:dyDescent="0.2">
      <c r="A145" s="12"/>
      <c r="B145" s="12"/>
      <c r="C145" s="13"/>
      <c r="D145" s="13" t="s">
        <v>30</v>
      </c>
      <c r="E145" s="6"/>
      <c r="F145" s="14"/>
      <c r="G145" s="15"/>
      <c r="H145" s="6"/>
      <c r="I145" s="14"/>
      <c r="J145" s="10"/>
      <c r="K145" s="14"/>
      <c r="L145" s="10"/>
    </row>
    <row r="146" spans="1:16" ht="14.25" x14ac:dyDescent="0.2">
      <c r="A146" s="12"/>
      <c r="B146" s="12"/>
      <c r="C146" s="13"/>
      <c r="D146" s="13" t="s">
        <v>21</v>
      </c>
      <c r="E146" s="6"/>
      <c r="F146" s="14"/>
      <c r="G146" s="15">
        <f t="shared" ref="G146:L146" si="4">G147</f>
        <v>10.69</v>
      </c>
      <c r="H146" s="16" t="str">
        <f t="shared" si="4"/>
        <v>)*(1.67-1)</v>
      </c>
      <c r="I146" s="14">
        <f t="shared" si="4"/>
        <v>1.0669999999999999</v>
      </c>
      <c r="J146" s="10">
        <f t="shared" si="4"/>
        <v>2.66</v>
      </c>
      <c r="K146" s="14">
        <f t="shared" si="4"/>
        <v>23.94</v>
      </c>
      <c r="L146" s="10">
        <f t="shared" si="4"/>
        <v>63.58</v>
      </c>
    </row>
    <row r="147" spans="1:16" ht="14.25" x14ac:dyDescent="0.2">
      <c r="A147" s="12"/>
      <c r="B147" s="12"/>
      <c r="C147" s="13"/>
      <c r="D147" s="13" t="s">
        <v>22</v>
      </c>
      <c r="E147" s="6"/>
      <c r="F147" s="14"/>
      <c r="G147" s="15">
        <f>[79]Source!AN2690</f>
        <v>10.69</v>
      </c>
      <c r="H147" s="16" t="s">
        <v>31</v>
      </c>
      <c r="I147" s="14">
        <f>[79]Source!AV2691</f>
        <v>1.0669999999999999</v>
      </c>
      <c r="J147" s="10">
        <f>ROUND(F134*G147*I147*(1.67-1), 2)</f>
        <v>2.66</v>
      </c>
      <c r="K147" s="14">
        <f>IF([79]Source!BS2691&lt;&gt; 0, [79]Source!BS2691, 1)</f>
        <v>23.94</v>
      </c>
      <c r="L147" s="10">
        <f>ROUND(F134*G147*I147*(1.67-1)*K147, 2)</f>
        <v>63.58</v>
      </c>
    </row>
    <row r="148" spans="1:16" ht="14.25" x14ac:dyDescent="0.2">
      <c r="A148" s="12"/>
      <c r="B148" s="12"/>
      <c r="C148" s="13"/>
      <c r="D148" s="13" t="s">
        <v>27</v>
      </c>
      <c r="E148" s="6" t="s">
        <v>25</v>
      </c>
      <c r="F148" s="14">
        <f>175</f>
        <v>175</v>
      </c>
      <c r="G148" s="15"/>
      <c r="H148" s="6"/>
      <c r="I148" s="14"/>
      <c r="J148" s="10">
        <f>ROUND(J147*(F148/100), 2)</f>
        <v>4.66</v>
      </c>
      <c r="K148" s="14">
        <f>157</f>
        <v>157</v>
      </c>
      <c r="L148" s="10">
        <f>ROUND(L147*(K148/100), 2)</f>
        <v>99.82</v>
      </c>
    </row>
    <row r="149" spans="1:16" ht="15" x14ac:dyDescent="0.25">
      <c r="I149" s="525">
        <f>J148+J147</f>
        <v>7.32</v>
      </c>
      <c r="J149" s="525"/>
      <c r="K149" s="525">
        <f>L148+L147</f>
        <v>163.4</v>
      </c>
      <c r="L149" s="525"/>
      <c r="O149" s="11">
        <f>I149</f>
        <v>7.32</v>
      </c>
      <c r="P149" s="11">
        <f>K149</f>
        <v>163.4</v>
      </c>
    </row>
    <row r="151" spans="1:16" ht="15" x14ac:dyDescent="0.25">
      <c r="A151" s="37"/>
      <c r="B151" s="37"/>
      <c r="C151" s="38"/>
      <c r="D151" s="38" t="s">
        <v>32</v>
      </c>
      <c r="E151" s="39"/>
      <c r="F151" s="40"/>
      <c r="G151" s="41"/>
      <c r="H151" s="42"/>
      <c r="I151" s="524">
        <f>I144+I149</f>
        <v>7716.24</v>
      </c>
      <c r="J151" s="524"/>
      <c r="K151" s="524">
        <f>K144+K149</f>
        <v>55592.33</v>
      </c>
      <c r="L151" s="524"/>
    </row>
    <row r="153" spans="1:16" ht="15" x14ac:dyDescent="0.25">
      <c r="A153" s="528" t="str">
        <f>CONCATENATE("Итого по подразделу: ",IF([79]Source!G2841&lt;&gt;"Новый подраздел", [79]Source!G2841, ""))</f>
        <v>Итого по подразделу: Дополнительные материалы и оборудование</v>
      </c>
      <c r="B153" s="528"/>
      <c r="C153" s="528"/>
      <c r="D153" s="528"/>
      <c r="E153" s="528"/>
      <c r="F153" s="528"/>
      <c r="G153" s="528"/>
      <c r="H153" s="528"/>
      <c r="I153" s="526">
        <f>SUM(O51:O152)</f>
        <v>42187.98</v>
      </c>
      <c r="J153" s="527"/>
      <c r="K153" s="526">
        <f>SUM(P51:P152)</f>
        <v>247417.79</v>
      </c>
      <c r="L153" s="527"/>
    </row>
    <row r="154" spans="1:16" hidden="1" x14ac:dyDescent="0.2">
      <c r="A154" t="s">
        <v>48</v>
      </c>
      <c r="J154">
        <f>SUM(W51:W153)</f>
        <v>0</v>
      </c>
      <c r="K154">
        <f>SUM(X51:X153)</f>
        <v>0</v>
      </c>
    </row>
    <row r="155" spans="1:16" hidden="1" x14ac:dyDescent="0.2">
      <c r="A155" t="s">
        <v>49</v>
      </c>
      <c r="J155">
        <f>SUM(Y51:Y154)</f>
        <v>0</v>
      </c>
      <c r="K155">
        <f>SUM(Z51:Z154)</f>
        <v>0</v>
      </c>
    </row>
    <row r="157" spans="1:16" ht="15" x14ac:dyDescent="0.25">
      <c r="A157" s="528" t="str">
        <f>CONCATENATE("Итого по разделу: ",IF([79]Source!G2870&lt;&gt;"Новый раздел", [79]Source!G2870, ""))</f>
        <v>Итого по разделу: Вентиляция</v>
      </c>
      <c r="B157" s="528"/>
      <c r="C157" s="528"/>
      <c r="D157" s="528"/>
      <c r="E157" s="528"/>
      <c r="F157" s="528"/>
      <c r="G157" s="528"/>
      <c r="H157" s="528"/>
      <c r="I157" s="526">
        <f>SUM(O49:O156)</f>
        <v>42187.98</v>
      </c>
      <c r="J157" s="527"/>
      <c r="K157" s="526">
        <f>SUM(P49:P156)</f>
        <v>247417.79</v>
      </c>
      <c r="L157" s="527"/>
    </row>
    <row r="158" spans="1:16" hidden="1" x14ac:dyDescent="0.2">
      <c r="A158" t="s">
        <v>48</v>
      </c>
      <c r="J158">
        <f>SUM(W49:W157)</f>
        <v>0</v>
      </c>
      <c r="K158">
        <f>SUM(X49:X157)</f>
        <v>0</v>
      </c>
    </row>
    <row r="159" spans="1:16" hidden="1" x14ac:dyDescent="0.2">
      <c r="A159" t="s">
        <v>49</v>
      </c>
      <c r="J159">
        <f>SUM(Y49:Y158)</f>
        <v>0</v>
      </c>
      <c r="K159">
        <f>SUM(Z49:Z158)</f>
        <v>0</v>
      </c>
    </row>
    <row r="161" spans="1:256" ht="45" x14ac:dyDescent="0.25">
      <c r="A161" s="528" t="str">
        <f>CONCATENATE("Итого по локальной смете: ",IF([79]Source!G2899&lt;&gt;"Новая локальная смета", [79]Source!G2899, ""))</f>
        <v>Итого по локальной смете: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  <c r="B161" s="528"/>
      <c r="C161" s="528"/>
      <c r="D161" s="528"/>
      <c r="E161" s="528"/>
      <c r="F161" s="528"/>
      <c r="G161" s="528"/>
      <c r="H161" s="528"/>
      <c r="I161" s="526">
        <f>SUM(O48:O160)</f>
        <v>42187.98</v>
      </c>
      <c r="J161" s="527"/>
      <c r="K161" s="526">
        <f>SUM(P48:P160)</f>
        <v>247417.79</v>
      </c>
      <c r="L161" s="527"/>
      <c r="AF161" s="26" t="str">
        <f>CONCATENATE("Итого по локальной смете: ",IF([79]Source!G2899&lt;&gt;"Новая локальная смета", [79]Source!G2899, ""))</f>
        <v>Итого по локальной смете: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</row>
    <row r="162" spans="1:256" hidden="1" x14ac:dyDescent="0.2">
      <c r="A162" t="s">
        <v>48</v>
      </c>
      <c r="J162">
        <f>SUM(W48:W161)</f>
        <v>0</v>
      </c>
      <c r="K162">
        <f>SUM(X48:X161)</f>
        <v>0</v>
      </c>
    </row>
    <row r="163" spans="1:256" hidden="1" x14ac:dyDescent="0.2">
      <c r="A163" t="s">
        <v>49</v>
      </c>
      <c r="J163">
        <f>SUM(Y48:Y162)</f>
        <v>0</v>
      </c>
      <c r="K163">
        <f>SUM(Z48:Z162)</f>
        <v>0</v>
      </c>
    </row>
    <row r="164" spans="1:256" ht="14.25" x14ac:dyDescent="0.2">
      <c r="D164" s="550" t="str">
        <f>[79]Source!H2905</f>
        <v>Стоимость материалов (всего)</v>
      </c>
      <c r="E164" s="550"/>
      <c r="F164" s="550"/>
      <c r="G164" s="550"/>
      <c r="H164" s="550"/>
      <c r="I164" s="551">
        <f>[79]Source!F2905</f>
        <v>34099.199999999997</v>
      </c>
      <c r="J164" s="551"/>
      <c r="K164" s="551">
        <f>[79]Source!P2905</f>
        <v>99725.64</v>
      </c>
      <c r="L164" s="551"/>
    </row>
    <row r="165" spans="1:256" ht="14.25" x14ac:dyDescent="0.2">
      <c r="D165" s="550" t="str">
        <f>[79]Source!H2913</f>
        <v>ЗП машинистов</v>
      </c>
      <c r="E165" s="550"/>
      <c r="F165" s="550"/>
      <c r="G165" s="550"/>
      <c r="H165" s="550"/>
      <c r="I165" s="551">
        <f>[79]Source!F2913</f>
        <v>25.01</v>
      </c>
      <c r="J165" s="551"/>
      <c r="K165" s="551">
        <f>[79]Source!P2913</f>
        <v>598.74</v>
      </c>
      <c r="L165" s="551"/>
    </row>
    <row r="166" spans="1:256" ht="14.25" x14ac:dyDescent="0.2">
      <c r="D166" s="550" t="str">
        <f>[79]Source!H2914</f>
        <v>Основная ЗП рабочих</v>
      </c>
      <c r="E166" s="550"/>
      <c r="F166" s="550"/>
      <c r="G166" s="550"/>
      <c r="H166" s="550"/>
      <c r="I166" s="551">
        <f>[79]Source!F2914</f>
        <v>2480.5</v>
      </c>
      <c r="J166" s="551"/>
      <c r="K166" s="551">
        <f>[79]Source!P2914</f>
        <v>59383.16</v>
      </c>
      <c r="L166" s="551"/>
    </row>
    <row r="168" spans="1:256" x14ac:dyDescent="0.2">
      <c r="A168" s="74"/>
      <c r="B168" s="74"/>
      <c r="C168" s="74"/>
      <c r="D168" s="543" t="s">
        <v>207</v>
      </c>
      <c r="E168" s="543"/>
      <c r="F168" s="543"/>
      <c r="G168" s="543"/>
      <c r="H168" s="543"/>
      <c r="I168" s="75"/>
      <c r="J168" s="76">
        <v>0</v>
      </c>
      <c r="K168" s="76"/>
      <c r="L168" s="76">
        <v>0</v>
      </c>
      <c r="M168" s="77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74"/>
      <c r="EK168" s="74"/>
      <c r="EL168" s="74"/>
      <c r="EM168" s="74"/>
      <c r="EN168" s="74"/>
      <c r="EO168" s="74"/>
      <c r="EP168" s="74"/>
      <c r="EQ168" s="74"/>
      <c r="ER168" s="74"/>
      <c r="ES168" s="74"/>
      <c r="ET168" s="74"/>
      <c r="EU168" s="74"/>
      <c r="EV168" s="74"/>
      <c r="EW168" s="74"/>
      <c r="EX168" s="74"/>
      <c r="EY168" s="74"/>
      <c r="EZ168" s="74"/>
      <c r="FA168" s="74"/>
      <c r="FB168" s="74"/>
      <c r="FC168" s="74"/>
      <c r="FD168" s="74"/>
      <c r="FE168" s="74"/>
      <c r="FF168" s="74"/>
      <c r="FG168" s="74"/>
      <c r="FH168" s="74"/>
      <c r="FI168" s="74"/>
      <c r="FJ168" s="74"/>
      <c r="FK168" s="74"/>
      <c r="FL168" s="74"/>
      <c r="FM168" s="74"/>
      <c r="FN168" s="74"/>
      <c r="FO168" s="74"/>
      <c r="FP168" s="74"/>
      <c r="FQ168" s="74"/>
      <c r="FR168" s="74"/>
      <c r="FS168" s="74"/>
      <c r="FT168" s="74"/>
      <c r="FU168" s="74"/>
      <c r="FV168" s="74"/>
      <c r="FW168" s="74"/>
      <c r="FX168" s="74"/>
      <c r="FY168" s="74"/>
      <c r="FZ168" s="74"/>
      <c r="GA168" s="74"/>
      <c r="GB168" s="74"/>
      <c r="GC168" s="74"/>
      <c r="GD168" s="74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</row>
    <row r="169" spans="1:256" x14ac:dyDescent="0.2">
      <c r="A169" s="78"/>
      <c r="B169" s="78"/>
      <c r="C169" s="78"/>
      <c r="D169" s="543" t="s">
        <v>208</v>
      </c>
      <c r="E169" s="543"/>
      <c r="F169" s="543"/>
      <c r="G169" s="543"/>
      <c r="H169" s="543"/>
      <c r="I169" s="75"/>
      <c r="J169" s="76">
        <f>I162</f>
        <v>0</v>
      </c>
      <c r="K169" s="79"/>
      <c r="L169" s="76">
        <f>K162</f>
        <v>0</v>
      </c>
      <c r="M169" s="77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  <c r="CR169" s="80"/>
      <c r="CS169" s="80"/>
      <c r="CT169" s="80"/>
      <c r="CU169" s="80"/>
      <c r="CV169" s="80"/>
      <c r="CW169" s="80"/>
      <c r="CX169" s="80"/>
      <c r="CY169" s="80"/>
      <c r="CZ169" s="80"/>
      <c r="DA169" s="80"/>
      <c r="DB169" s="80"/>
      <c r="DC169" s="80"/>
      <c r="DD169" s="80"/>
      <c r="DE169" s="80"/>
      <c r="DF169" s="80"/>
      <c r="DG169" s="80"/>
      <c r="DH169" s="80"/>
      <c r="DI169" s="80"/>
      <c r="DJ169" s="80"/>
      <c r="DK169" s="80"/>
      <c r="DL169" s="80"/>
      <c r="DM169" s="80"/>
      <c r="DN169" s="80"/>
      <c r="DO169" s="80"/>
      <c r="DP169" s="80"/>
      <c r="DQ169" s="80"/>
      <c r="DR169" s="80"/>
      <c r="DS169" s="80"/>
      <c r="DT169" s="80"/>
      <c r="DU169" s="80"/>
      <c r="DV169" s="80"/>
      <c r="DW169" s="80"/>
      <c r="DX169" s="80"/>
      <c r="DY169" s="80"/>
      <c r="DZ169" s="80"/>
      <c r="EA169" s="80"/>
      <c r="EB169" s="80"/>
      <c r="EC169" s="80"/>
      <c r="ED169" s="80"/>
      <c r="EE169" s="80"/>
      <c r="EF169" s="80"/>
      <c r="EG169" s="80"/>
      <c r="EH169" s="80"/>
      <c r="EI169" s="80"/>
      <c r="EJ169" s="80"/>
      <c r="EK169" s="80"/>
      <c r="EL169" s="80"/>
      <c r="EM169" s="80"/>
      <c r="EN169" s="80"/>
      <c r="EO169" s="80"/>
      <c r="EP169" s="80"/>
      <c r="EQ169" s="80"/>
      <c r="ER169" s="80"/>
      <c r="ES169" s="80"/>
      <c r="ET169" s="80"/>
      <c r="EU169" s="80"/>
      <c r="EV169" s="80"/>
      <c r="EW169" s="80"/>
      <c r="EX169" s="80"/>
      <c r="EY169" s="80"/>
      <c r="EZ169" s="80"/>
      <c r="FA169" s="80"/>
      <c r="FB169" s="80"/>
      <c r="FC169" s="80"/>
      <c r="FD169" s="80"/>
      <c r="FE169" s="80"/>
      <c r="FF169" s="80"/>
      <c r="FG169" s="80"/>
      <c r="FH169" s="80"/>
      <c r="FI169" s="80"/>
      <c r="FJ169" s="80"/>
      <c r="FK169" s="80"/>
      <c r="FL169" s="80"/>
      <c r="FM169" s="80"/>
      <c r="FN169" s="80"/>
      <c r="FO169" s="80"/>
      <c r="FP169" s="80"/>
      <c r="FQ169" s="80"/>
      <c r="FR169" s="80"/>
      <c r="FS169" s="80"/>
      <c r="FT169" s="80"/>
      <c r="FU169" s="80"/>
      <c r="FV169" s="80"/>
      <c r="FW169" s="80"/>
      <c r="FX169" s="80"/>
      <c r="FY169" s="80"/>
      <c r="FZ169" s="80"/>
      <c r="GA169" s="80"/>
      <c r="GB169" s="80"/>
      <c r="GC169" s="80"/>
      <c r="GD169" s="80"/>
      <c r="GE169" s="80"/>
      <c r="GF169" s="80"/>
      <c r="GG169" s="80"/>
      <c r="GH169" s="80"/>
      <c r="GI169" s="80"/>
      <c r="GJ169" s="80"/>
      <c r="GK169" s="80"/>
      <c r="GL169" s="80"/>
      <c r="GM169" s="80"/>
      <c r="GN169" s="80"/>
      <c r="GO169" s="80"/>
      <c r="GP169" s="80"/>
      <c r="GQ169" s="80"/>
      <c r="GR169" s="80"/>
      <c r="GS169" s="80"/>
      <c r="GT169" s="80"/>
      <c r="GU169" s="80"/>
      <c r="GV169" s="80"/>
      <c r="GW169" s="80"/>
      <c r="GX169" s="80"/>
      <c r="GY169" s="80"/>
      <c r="GZ169" s="80"/>
      <c r="HA169" s="80"/>
      <c r="HB169" s="80"/>
      <c r="HC169" s="80"/>
      <c r="HD169" s="80"/>
      <c r="HE169" s="80"/>
      <c r="HF169" s="80"/>
      <c r="HG169" s="80"/>
      <c r="HH169" s="80"/>
      <c r="HI169" s="80"/>
      <c r="HJ169" s="80"/>
      <c r="HK169" s="80"/>
      <c r="HL169" s="80"/>
      <c r="HM169" s="80"/>
      <c r="HN169" s="80"/>
      <c r="HO169" s="80"/>
      <c r="HP169" s="80"/>
      <c r="HQ169" s="80"/>
      <c r="HR169" s="80"/>
      <c r="HS169" s="80"/>
      <c r="HT169" s="80"/>
      <c r="HU169" s="80"/>
      <c r="HV169" s="80"/>
      <c r="HW169" s="80"/>
      <c r="HX169" s="80"/>
      <c r="HY169" s="80"/>
      <c r="HZ169" s="80"/>
      <c r="IA169" s="80"/>
      <c r="IB169" s="80"/>
      <c r="IC169" s="80"/>
      <c r="ID169" s="80"/>
      <c r="IE169" s="80"/>
      <c r="IF169" s="80"/>
      <c r="IG169" s="80"/>
      <c r="IH169" s="80"/>
      <c r="II169" s="80"/>
      <c r="IJ169" s="80"/>
      <c r="IK169" s="80"/>
      <c r="IL169" s="80"/>
      <c r="IM169" s="80"/>
      <c r="IN169" s="80"/>
      <c r="IO169" s="80"/>
      <c r="IP169" s="80"/>
      <c r="IQ169" s="80"/>
      <c r="IR169" s="80"/>
      <c r="IS169" s="80"/>
      <c r="IT169" s="80"/>
      <c r="IU169" s="80"/>
      <c r="IV169" s="80"/>
    </row>
    <row r="170" spans="1:256" x14ac:dyDescent="0.2">
      <c r="A170" s="78"/>
      <c r="B170" s="78"/>
      <c r="C170" s="78"/>
      <c r="D170" s="79" t="s">
        <v>209</v>
      </c>
      <c r="E170" s="79"/>
      <c r="F170" s="79"/>
      <c r="G170" s="79"/>
      <c r="H170" s="79"/>
      <c r="I170" s="79"/>
      <c r="J170" s="76">
        <f>SUM(J168:J169)</f>
        <v>0</v>
      </c>
      <c r="K170" s="79"/>
      <c r="L170" s="76">
        <f>SUM(L168:L169)</f>
        <v>0</v>
      </c>
      <c r="M170" s="77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  <c r="CR170" s="80"/>
      <c r="CS170" s="80"/>
      <c r="CT170" s="80"/>
      <c r="CU170" s="80"/>
      <c r="CV170" s="80"/>
      <c r="CW170" s="80"/>
      <c r="CX170" s="80"/>
      <c r="CY170" s="80"/>
      <c r="CZ170" s="80"/>
      <c r="DA170" s="80"/>
      <c r="DB170" s="80"/>
      <c r="DC170" s="80"/>
      <c r="DD170" s="80"/>
      <c r="DE170" s="80"/>
      <c r="DF170" s="80"/>
      <c r="DG170" s="80"/>
      <c r="DH170" s="80"/>
      <c r="DI170" s="80"/>
      <c r="DJ170" s="80"/>
      <c r="DK170" s="80"/>
      <c r="DL170" s="80"/>
      <c r="DM170" s="80"/>
      <c r="DN170" s="80"/>
      <c r="DO170" s="80"/>
      <c r="DP170" s="80"/>
      <c r="DQ170" s="80"/>
      <c r="DR170" s="80"/>
      <c r="DS170" s="80"/>
      <c r="DT170" s="80"/>
      <c r="DU170" s="80"/>
      <c r="DV170" s="80"/>
      <c r="DW170" s="80"/>
      <c r="DX170" s="80"/>
      <c r="DY170" s="80"/>
      <c r="DZ170" s="80"/>
      <c r="EA170" s="80"/>
      <c r="EB170" s="80"/>
      <c r="EC170" s="80"/>
      <c r="ED170" s="80"/>
      <c r="EE170" s="80"/>
      <c r="EF170" s="80"/>
      <c r="EG170" s="80"/>
      <c r="EH170" s="80"/>
      <c r="EI170" s="80"/>
      <c r="EJ170" s="80"/>
      <c r="EK170" s="80"/>
      <c r="EL170" s="80"/>
      <c r="EM170" s="80"/>
      <c r="EN170" s="80"/>
      <c r="EO170" s="80"/>
      <c r="EP170" s="80"/>
      <c r="EQ170" s="80"/>
      <c r="ER170" s="80"/>
      <c r="ES170" s="80"/>
      <c r="ET170" s="80"/>
      <c r="EU170" s="80"/>
      <c r="EV170" s="80"/>
      <c r="EW170" s="80"/>
      <c r="EX170" s="80"/>
      <c r="EY170" s="80"/>
      <c r="EZ170" s="80"/>
      <c r="FA170" s="80"/>
      <c r="FB170" s="80"/>
      <c r="FC170" s="80"/>
      <c r="FD170" s="80"/>
      <c r="FE170" s="80"/>
      <c r="FF170" s="80"/>
      <c r="FG170" s="80"/>
      <c r="FH170" s="80"/>
      <c r="FI170" s="80"/>
      <c r="FJ170" s="80"/>
      <c r="FK170" s="80"/>
      <c r="FL170" s="80"/>
      <c r="FM170" s="80"/>
      <c r="FN170" s="80"/>
      <c r="FO170" s="80"/>
      <c r="FP170" s="80"/>
      <c r="FQ170" s="80"/>
      <c r="FR170" s="80"/>
      <c r="FS170" s="80"/>
      <c r="FT170" s="80"/>
      <c r="FU170" s="80"/>
      <c r="FV170" s="80"/>
      <c r="FW170" s="80"/>
      <c r="FX170" s="80"/>
      <c r="FY170" s="80"/>
      <c r="FZ170" s="80"/>
      <c r="GA170" s="80"/>
      <c r="GB170" s="80"/>
      <c r="GC170" s="80"/>
      <c r="GD170" s="80"/>
      <c r="GE170" s="80"/>
      <c r="GF170" s="80"/>
      <c r="GG170" s="80"/>
      <c r="GH170" s="80"/>
      <c r="GI170" s="80"/>
      <c r="GJ170" s="80"/>
      <c r="GK170" s="80"/>
      <c r="GL170" s="80"/>
      <c r="GM170" s="80"/>
      <c r="GN170" s="80"/>
      <c r="GO170" s="80"/>
      <c r="GP170" s="80"/>
      <c r="GQ170" s="80"/>
      <c r="GR170" s="80"/>
      <c r="GS170" s="80"/>
      <c r="GT170" s="80"/>
      <c r="GU170" s="80"/>
      <c r="GV170" s="80"/>
      <c r="GW170" s="80"/>
      <c r="GX170" s="80"/>
      <c r="GY170" s="80"/>
      <c r="GZ170" s="80"/>
      <c r="HA170" s="80"/>
      <c r="HB170" s="80"/>
      <c r="HC170" s="80"/>
      <c r="HD170" s="80"/>
      <c r="HE170" s="80"/>
      <c r="HF170" s="80"/>
      <c r="HG170" s="80"/>
      <c r="HH170" s="80"/>
      <c r="HI170" s="80"/>
      <c r="HJ170" s="80"/>
      <c r="HK170" s="80"/>
      <c r="HL170" s="80"/>
      <c r="HM170" s="80"/>
      <c r="HN170" s="80"/>
      <c r="HO170" s="80"/>
      <c r="HP170" s="80"/>
      <c r="HQ170" s="80"/>
      <c r="HR170" s="80"/>
      <c r="HS170" s="80"/>
      <c r="HT170" s="80"/>
      <c r="HU170" s="80"/>
      <c r="HV170" s="80"/>
      <c r="HW170" s="80"/>
      <c r="HX170" s="80"/>
      <c r="HY170" s="80"/>
      <c r="HZ170" s="80"/>
      <c r="IA170" s="80"/>
      <c r="IB170" s="80"/>
      <c r="IC170" s="80"/>
      <c r="ID170" s="80"/>
      <c r="IE170" s="80"/>
      <c r="IF170" s="80"/>
      <c r="IG170" s="80"/>
      <c r="IH170" s="80"/>
      <c r="II170" s="80"/>
      <c r="IJ170" s="80"/>
      <c r="IK170" s="80"/>
      <c r="IL170" s="80"/>
      <c r="IM170" s="80"/>
      <c r="IN170" s="80"/>
      <c r="IO170" s="80"/>
      <c r="IP170" s="80"/>
      <c r="IQ170" s="80"/>
      <c r="IR170" s="80"/>
      <c r="IS170" s="80"/>
      <c r="IT170" s="80"/>
      <c r="IU170" s="80"/>
      <c r="IV170" s="80"/>
    </row>
    <row r="171" spans="1:256" x14ac:dyDescent="0.2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2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81"/>
      <c r="DF171" s="81"/>
      <c r="DG171" s="81"/>
      <c r="DH171" s="81"/>
      <c r="DI171" s="81"/>
      <c r="DJ171" s="81"/>
      <c r="DK171" s="81"/>
      <c r="DL171" s="81"/>
      <c r="DM171" s="81"/>
      <c r="DN171" s="81"/>
      <c r="DO171" s="81"/>
      <c r="DP171" s="81"/>
      <c r="DQ171" s="81"/>
      <c r="DR171" s="81"/>
      <c r="DS171" s="81"/>
      <c r="DT171" s="81"/>
      <c r="DU171" s="81"/>
      <c r="DV171" s="81"/>
      <c r="DW171" s="81"/>
      <c r="DX171" s="81"/>
      <c r="DY171" s="81"/>
      <c r="DZ171" s="81"/>
      <c r="EA171" s="81"/>
      <c r="EB171" s="81"/>
      <c r="EC171" s="81"/>
      <c r="ED171" s="81"/>
      <c r="EE171" s="81"/>
      <c r="EF171" s="81"/>
      <c r="EG171" s="81"/>
      <c r="EH171" s="81"/>
      <c r="EI171" s="81"/>
      <c r="EJ171" s="81"/>
      <c r="EK171" s="81"/>
      <c r="EL171" s="81"/>
      <c r="EM171" s="81"/>
      <c r="EN171" s="81"/>
      <c r="EO171" s="81"/>
      <c r="EP171" s="81"/>
      <c r="EQ171" s="81"/>
      <c r="ER171" s="81"/>
      <c r="ES171" s="81"/>
      <c r="ET171" s="81"/>
      <c r="EU171" s="81"/>
      <c r="EV171" s="81"/>
      <c r="EW171" s="81"/>
      <c r="EX171" s="81"/>
      <c r="EY171" s="81"/>
      <c r="EZ171" s="81"/>
      <c r="FA171" s="81"/>
      <c r="FB171" s="81"/>
      <c r="FC171" s="81"/>
      <c r="FD171" s="81"/>
      <c r="FE171" s="81"/>
      <c r="FF171" s="81"/>
      <c r="FG171" s="81"/>
      <c r="FH171" s="81"/>
      <c r="FI171" s="81"/>
      <c r="FJ171" s="81"/>
      <c r="FK171" s="81"/>
      <c r="FL171" s="81"/>
      <c r="FM171" s="81"/>
      <c r="FN171" s="81"/>
      <c r="FO171" s="81"/>
      <c r="FP171" s="81"/>
      <c r="FQ171" s="81"/>
      <c r="FR171" s="81"/>
      <c r="FS171" s="81"/>
      <c r="FT171" s="81"/>
      <c r="FU171" s="81"/>
      <c r="FV171" s="81"/>
      <c r="FW171" s="81"/>
      <c r="FX171" s="81"/>
      <c r="FY171" s="81"/>
      <c r="FZ171" s="81"/>
      <c r="GA171" s="81"/>
      <c r="GB171" s="81"/>
      <c r="GC171" s="81"/>
      <c r="GD171" s="81"/>
      <c r="GE171" s="81"/>
      <c r="GF171" s="81"/>
      <c r="GG171" s="81"/>
      <c r="GH171" s="81"/>
      <c r="GI171" s="81"/>
      <c r="GJ171" s="81"/>
      <c r="GK171" s="81"/>
      <c r="GL171" s="81"/>
      <c r="GM171" s="81"/>
      <c r="GN171" s="81"/>
      <c r="GO171" s="81"/>
      <c r="GP171" s="81"/>
      <c r="GQ171" s="81"/>
      <c r="GR171" s="81"/>
      <c r="GS171" s="81"/>
      <c r="GT171" s="81"/>
      <c r="GU171" s="81"/>
      <c r="GV171" s="81"/>
      <c r="GW171" s="81"/>
      <c r="GX171" s="81"/>
      <c r="GY171" s="81"/>
      <c r="GZ171" s="81"/>
      <c r="HA171" s="81"/>
      <c r="HB171" s="81"/>
      <c r="HC171" s="81"/>
      <c r="HD171" s="81"/>
      <c r="HE171" s="81"/>
      <c r="HF171" s="81"/>
      <c r="HG171" s="81"/>
      <c r="HH171" s="81"/>
      <c r="HI171" s="81"/>
      <c r="HJ171" s="81"/>
      <c r="HK171" s="81"/>
      <c r="HL171" s="81"/>
      <c r="HM171" s="81"/>
      <c r="HN171" s="81"/>
      <c r="HO171" s="81"/>
      <c r="HP171" s="81"/>
      <c r="HQ171" s="81"/>
      <c r="HR171" s="81"/>
      <c r="HS171" s="81"/>
      <c r="HT171" s="81"/>
      <c r="HU171" s="81"/>
      <c r="HV171" s="81"/>
      <c r="HW171" s="81"/>
      <c r="HX171" s="81"/>
      <c r="HY171" s="81"/>
      <c r="HZ171" s="81"/>
      <c r="IA171" s="81"/>
      <c r="IB171" s="81"/>
      <c r="IC171" s="81"/>
      <c r="ID171" s="81"/>
      <c r="IE171" s="81"/>
      <c r="IF171" s="81"/>
      <c r="IG171" s="81"/>
      <c r="IH171" s="81"/>
      <c r="II171" s="81"/>
      <c r="IJ171" s="81"/>
      <c r="IK171" s="81"/>
      <c r="IL171" s="81"/>
      <c r="IM171" s="81"/>
      <c r="IN171" s="81"/>
      <c r="IO171" s="81"/>
      <c r="IP171" s="81"/>
      <c r="IQ171" s="81"/>
      <c r="IR171" s="81"/>
      <c r="IS171" s="81"/>
      <c r="IT171" s="81"/>
      <c r="IU171" s="81"/>
      <c r="IV171" s="81"/>
    </row>
    <row r="172" spans="1:256" ht="30" x14ac:dyDescent="0.25">
      <c r="A172" s="78"/>
      <c r="B172" s="78"/>
      <c r="C172" s="78"/>
      <c r="D172" s="83" t="s">
        <v>210</v>
      </c>
      <c r="E172" s="83"/>
      <c r="F172" s="83"/>
      <c r="G172" s="83"/>
      <c r="H172" s="83"/>
      <c r="I172" s="84"/>
      <c r="J172" s="85">
        <f>I161</f>
        <v>42187.98</v>
      </c>
      <c r="K172" s="86"/>
      <c r="L172" s="85">
        <f>K161</f>
        <v>247417.79</v>
      </c>
      <c r="M172" s="82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  <c r="CR172" s="80"/>
      <c r="CS172" s="80"/>
      <c r="CT172" s="80"/>
      <c r="CU172" s="80"/>
      <c r="CV172" s="80"/>
      <c r="CW172" s="80"/>
      <c r="CX172" s="80"/>
      <c r="CY172" s="80"/>
      <c r="CZ172" s="80"/>
      <c r="DA172" s="80"/>
      <c r="DB172" s="80"/>
      <c r="DC172" s="80"/>
      <c r="DD172" s="80"/>
      <c r="DE172" s="80"/>
      <c r="DF172" s="80"/>
      <c r="DG172" s="80"/>
      <c r="DH172" s="80"/>
      <c r="DI172" s="80"/>
      <c r="DJ172" s="80"/>
      <c r="DK172" s="80"/>
      <c r="DL172" s="80"/>
      <c r="DM172" s="80"/>
      <c r="DN172" s="80"/>
      <c r="DO172" s="80"/>
      <c r="DP172" s="80"/>
      <c r="DQ172" s="80"/>
      <c r="DR172" s="80"/>
      <c r="DS172" s="80"/>
      <c r="DT172" s="80"/>
      <c r="DU172" s="80"/>
      <c r="DV172" s="80"/>
      <c r="DW172" s="80"/>
      <c r="DX172" s="80"/>
      <c r="DY172" s="80"/>
      <c r="DZ172" s="80"/>
      <c r="EA172" s="80"/>
      <c r="EB172" s="80"/>
      <c r="EC172" s="80"/>
      <c r="ED172" s="80"/>
      <c r="EE172" s="80"/>
      <c r="EF172" s="80"/>
      <c r="EG172" s="80"/>
      <c r="EH172" s="80"/>
      <c r="EI172" s="80"/>
      <c r="EJ172" s="80"/>
      <c r="EK172" s="80"/>
      <c r="EL172" s="80"/>
      <c r="EM172" s="80"/>
      <c r="EN172" s="80"/>
      <c r="EO172" s="80"/>
      <c r="EP172" s="80"/>
      <c r="EQ172" s="80"/>
      <c r="ER172" s="80"/>
      <c r="ES172" s="80"/>
      <c r="ET172" s="80"/>
      <c r="EU172" s="80"/>
      <c r="EV172" s="80"/>
      <c r="EW172" s="80"/>
      <c r="EX172" s="80"/>
      <c r="EY172" s="80"/>
      <c r="EZ172" s="80"/>
      <c r="FA172" s="80"/>
      <c r="FB172" s="80"/>
      <c r="FC172" s="80"/>
      <c r="FD172" s="80"/>
      <c r="FE172" s="80"/>
      <c r="FF172" s="80"/>
      <c r="FG172" s="80"/>
      <c r="FH172" s="80"/>
      <c r="FI172" s="80"/>
      <c r="FJ172" s="80"/>
      <c r="FK172" s="80"/>
      <c r="FL172" s="80"/>
      <c r="FM172" s="80"/>
      <c r="FN172" s="80"/>
      <c r="FO172" s="80"/>
      <c r="FP172" s="80"/>
      <c r="FQ172" s="80"/>
      <c r="FR172" s="80"/>
      <c r="FS172" s="80"/>
      <c r="FT172" s="80"/>
      <c r="FU172" s="80"/>
      <c r="FV172" s="80"/>
      <c r="FW172" s="80"/>
      <c r="FX172" s="80"/>
      <c r="FY172" s="80"/>
      <c r="FZ172" s="80"/>
      <c r="GA172" s="80"/>
      <c r="GB172" s="80"/>
      <c r="GC172" s="80"/>
      <c r="GD172" s="80"/>
      <c r="GE172" s="80"/>
      <c r="GF172" s="80"/>
      <c r="GG172" s="80"/>
      <c r="GH172" s="80"/>
      <c r="GI172" s="80"/>
      <c r="GJ172" s="80"/>
      <c r="GK172" s="80"/>
      <c r="GL172" s="80"/>
      <c r="GM172" s="80"/>
      <c r="GN172" s="80"/>
      <c r="GO172" s="80"/>
      <c r="GP172" s="80"/>
      <c r="GQ172" s="80"/>
      <c r="GR172" s="80"/>
      <c r="GS172" s="80"/>
      <c r="GT172" s="80"/>
      <c r="GU172" s="80"/>
      <c r="GV172" s="80"/>
      <c r="GW172" s="80"/>
      <c r="GX172" s="80"/>
      <c r="GY172" s="80"/>
      <c r="GZ172" s="80"/>
      <c r="HA172" s="80"/>
      <c r="HB172" s="80"/>
      <c r="HC172" s="80"/>
      <c r="HD172" s="80"/>
      <c r="HE172" s="80"/>
      <c r="HF172" s="80"/>
      <c r="HG172" s="80"/>
      <c r="HH172" s="80"/>
      <c r="HI172" s="80"/>
      <c r="HJ172" s="80"/>
      <c r="HK172" s="80"/>
      <c r="HL172" s="80"/>
      <c r="HM172" s="80"/>
      <c r="HN172" s="80"/>
      <c r="HO172" s="80"/>
      <c r="HP172" s="80"/>
      <c r="HQ172" s="80"/>
      <c r="HR172" s="80"/>
      <c r="HS172" s="80"/>
      <c r="HT172" s="80"/>
      <c r="HU172" s="80"/>
      <c r="HV172" s="80"/>
      <c r="HW172" s="80"/>
      <c r="HX172" s="80"/>
      <c r="HY172" s="80"/>
      <c r="HZ172" s="80"/>
      <c r="IA172" s="80"/>
      <c r="IB172" s="80"/>
      <c r="IC172" s="80"/>
      <c r="ID172" s="80"/>
      <c r="IE172" s="80"/>
      <c r="IF172" s="80"/>
      <c r="IG172" s="80"/>
      <c r="IH172" s="80"/>
      <c r="II172" s="80"/>
      <c r="IJ172" s="80"/>
      <c r="IK172" s="80"/>
      <c r="IL172" s="80"/>
      <c r="IM172" s="80"/>
      <c r="IN172" s="80"/>
      <c r="IO172" s="80"/>
      <c r="IP172" s="80"/>
      <c r="IQ172" s="80"/>
      <c r="IR172" s="80"/>
      <c r="IS172" s="80"/>
      <c r="IT172" s="80"/>
      <c r="IU172" s="80"/>
      <c r="IV172" s="80"/>
    </row>
    <row r="173" spans="1:256" ht="14.25" x14ac:dyDescent="0.2">
      <c r="A173" s="78"/>
      <c r="B173" s="78"/>
      <c r="C173" s="78"/>
      <c r="D173" s="87" t="s">
        <v>211</v>
      </c>
      <c r="E173" s="87"/>
      <c r="F173" s="87"/>
      <c r="G173" s="87"/>
      <c r="H173" s="87"/>
      <c r="I173" s="88"/>
      <c r="J173" s="89">
        <f>J172-J176</f>
        <v>42187.98</v>
      </c>
      <c r="K173" s="90"/>
      <c r="L173" s="89">
        <f>L172-L176</f>
        <v>247417.79</v>
      </c>
      <c r="M173" s="82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  <c r="CT173" s="80"/>
      <c r="CU173" s="80"/>
      <c r="CV173" s="80"/>
      <c r="CW173" s="80"/>
      <c r="CX173" s="80"/>
      <c r="CY173" s="80"/>
      <c r="CZ173" s="80"/>
      <c r="DA173" s="80"/>
      <c r="DB173" s="80"/>
      <c r="DC173" s="80"/>
      <c r="DD173" s="80"/>
      <c r="DE173" s="80"/>
      <c r="DF173" s="80"/>
      <c r="DG173" s="80"/>
      <c r="DH173" s="80"/>
      <c r="DI173" s="80"/>
      <c r="DJ173" s="80"/>
      <c r="DK173" s="80"/>
      <c r="DL173" s="80"/>
      <c r="DM173" s="80"/>
      <c r="DN173" s="80"/>
      <c r="DO173" s="80"/>
      <c r="DP173" s="80"/>
      <c r="DQ173" s="80"/>
      <c r="DR173" s="80"/>
      <c r="DS173" s="80"/>
      <c r="DT173" s="80"/>
      <c r="DU173" s="80"/>
      <c r="DV173" s="80"/>
      <c r="DW173" s="80"/>
      <c r="DX173" s="80"/>
      <c r="DY173" s="80"/>
      <c r="DZ173" s="80"/>
      <c r="EA173" s="80"/>
      <c r="EB173" s="80"/>
      <c r="EC173" s="80"/>
      <c r="ED173" s="80"/>
      <c r="EE173" s="80"/>
      <c r="EF173" s="80"/>
      <c r="EG173" s="80"/>
      <c r="EH173" s="80"/>
      <c r="EI173" s="80"/>
      <c r="EJ173" s="80"/>
      <c r="EK173" s="80"/>
      <c r="EL173" s="80"/>
      <c r="EM173" s="80"/>
      <c r="EN173" s="80"/>
      <c r="EO173" s="80"/>
      <c r="EP173" s="80"/>
      <c r="EQ173" s="80"/>
      <c r="ER173" s="80"/>
      <c r="ES173" s="80"/>
      <c r="ET173" s="80"/>
      <c r="EU173" s="80"/>
      <c r="EV173" s="80"/>
      <c r="EW173" s="80"/>
      <c r="EX173" s="80"/>
      <c r="EY173" s="80"/>
      <c r="EZ173" s="80"/>
      <c r="FA173" s="80"/>
      <c r="FB173" s="80"/>
      <c r="FC173" s="80"/>
      <c r="FD173" s="80"/>
      <c r="FE173" s="80"/>
      <c r="FF173" s="80"/>
      <c r="FG173" s="80"/>
      <c r="FH173" s="80"/>
      <c r="FI173" s="80"/>
      <c r="FJ173" s="80"/>
      <c r="FK173" s="80"/>
      <c r="FL173" s="80"/>
      <c r="FM173" s="80"/>
      <c r="FN173" s="80"/>
      <c r="FO173" s="80"/>
      <c r="FP173" s="80"/>
      <c r="FQ173" s="80"/>
      <c r="FR173" s="80"/>
      <c r="FS173" s="80"/>
      <c r="FT173" s="80"/>
      <c r="FU173" s="80"/>
      <c r="FV173" s="80"/>
      <c r="FW173" s="80"/>
      <c r="FX173" s="80"/>
      <c r="FY173" s="80"/>
      <c r="FZ173" s="80"/>
      <c r="GA173" s="80"/>
      <c r="GB173" s="80"/>
      <c r="GC173" s="80"/>
      <c r="GD173" s="80"/>
      <c r="GE173" s="80"/>
      <c r="GF173" s="80"/>
      <c r="GG173" s="80"/>
      <c r="GH173" s="80"/>
      <c r="GI173" s="80"/>
      <c r="GJ173" s="80"/>
      <c r="GK173" s="80"/>
      <c r="GL173" s="80"/>
      <c r="GM173" s="80"/>
      <c r="GN173" s="80"/>
      <c r="GO173" s="80"/>
      <c r="GP173" s="80"/>
      <c r="GQ173" s="80"/>
      <c r="GR173" s="80"/>
      <c r="GS173" s="80"/>
      <c r="GT173" s="80"/>
      <c r="GU173" s="80"/>
      <c r="GV173" s="80"/>
      <c r="GW173" s="80"/>
      <c r="GX173" s="80"/>
      <c r="GY173" s="80"/>
      <c r="GZ173" s="80"/>
      <c r="HA173" s="80"/>
      <c r="HB173" s="80"/>
      <c r="HC173" s="80"/>
      <c r="HD173" s="80"/>
      <c r="HE173" s="80"/>
      <c r="HF173" s="80"/>
      <c r="HG173" s="80"/>
      <c r="HH173" s="80"/>
      <c r="HI173" s="80"/>
      <c r="HJ173" s="80"/>
      <c r="HK173" s="80"/>
      <c r="HL173" s="80"/>
      <c r="HM173" s="80"/>
      <c r="HN173" s="80"/>
      <c r="HO173" s="80"/>
      <c r="HP173" s="80"/>
      <c r="HQ173" s="80"/>
      <c r="HR173" s="80"/>
      <c r="HS173" s="80"/>
      <c r="HT173" s="80"/>
      <c r="HU173" s="80"/>
      <c r="HV173" s="80"/>
      <c r="HW173" s="80"/>
      <c r="HX173" s="80"/>
      <c r="HY173" s="80"/>
      <c r="HZ173" s="80"/>
      <c r="IA173" s="80"/>
      <c r="IB173" s="80"/>
      <c r="IC173" s="80"/>
      <c r="ID173" s="80"/>
      <c r="IE173" s="80"/>
      <c r="IF173" s="80"/>
      <c r="IG173" s="80"/>
      <c r="IH173" s="80"/>
      <c r="II173" s="80"/>
      <c r="IJ173" s="80"/>
      <c r="IK173" s="80"/>
      <c r="IL173" s="80"/>
      <c r="IM173" s="80"/>
      <c r="IN173" s="80"/>
      <c r="IO173" s="80"/>
      <c r="IP173" s="80"/>
      <c r="IQ173" s="80"/>
      <c r="IR173" s="80"/>
      <c r="IS173" s="80"/>
      <c r="IT173" s="80"/>
      <c r="IU173" s="80"/>
      <c r="IV173" s="80"/>
    </row>
    <row r="174" spans="1:256" ht="14.25" x14ac:dyDescent="0.2">
      <c r="A174" s="78"/>
      <c r="B174" s="78"/>
      <c r="C174" s="78"/>
      <c r="D174" s="87" t="s">
        <v>212</v>
      </c>
      <c r="E174" s="87"/>
      <c r="F174" s="87"/>
      <c r="G174" s="87"/>
      <c r="H174" s="87"/>
      <c r="I174" s="88"/>
      <c r="J174" s="89">
        <f>I166+I165</f>
        <v>2505.5100000000002</v>
      </c>
      <c r="K174" s="90"/>
      <c r="L174" s="89">
        <f>K165+K166</f>
        <v>59981.9</v>
      </c>
      <c r="M174" s="82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  <c r="CT174" s="80"/>
      <c r="CU174" s="80"/>
      <c r="CV174" s="80"/>
      <c r="CW174" s="80"/>
      <c r="CX174" s="80"/>
      <c r="CY174" s="80"/>
      <c r="CZ174" s="80"/>
      <c r="DA174" s="80"/>
      <c r="DB174" s="80"/>
      <c r="DC174" s="80"/>
      <c r="DD174" s="80"/>
      <c r="DE174" s="80"/>
      <c r="DF174" s="80"/>
      <c r="DG174" s="80"/>
      <c r="DH174" s="80"/>
      <c r="DI174" s="80"/>
      <c r="DJ174" s="80"/>
      <c r="DK174" s="80"/>
      <c r="DL174" s="80"/>
      <c r="DM174" s="80"/>
      <c r="DN174" s="80"/>
      <c r="DO174" s="80"/>
      <c r="DP174" s="80"/>
      <c r="DQ174" s="80"/>
      <c r="DR174" s="80"/>
      <c r="DS174" s="80"/>
      <c r="DT174" s="80"/>
      <c r="DU174" s="80"/>
      <c r="DV174" s="80"/>
      <c r="DW174" s="80"/>
      <c r="DX174" s="80"/>
      <c r="DY174" s="80"/>
      <c r="DZ174" s="80"/>
      <c r="EA174" s="80"/>
      <c r="EB174" s="80"/>
      <c r="EC174" s="80"/>
      <c r="ED174" s="80"/>
      <c r="EE174" s="80"/>
      <c r="EF174" s="80"/>
      <c r="EG174" s="80"/>
      <c r="EH174" s="80"/>
      <c r="EI174" s="80"/>
      <c r="EJ174" s="80"/>
      <c r="EK174" s="80"/>
      <c r="EL174" s="80"/>
      <c r="EM174" s="80"/>
      <c r="EN174" s="80"/>
      <c r="EO174" s="80"/>
      <c r="EP174" s="80"/>
      <c r="EQ174" s="80"/>
      <c r="ER174" s="80"/>
      <c r="ES174" s="80"/>
      <c r="ET174" s="80"/>
      <c r="EU174" s="80"/>
      <c r="EV174" s="80"/>
      <c r="EW174" s="80"/>
      <c r="EX174" s="80"/>
      <c r="EY174" s="80"/>
      <c r="EZ174" s="80"/>
      <c r="FA174" s="80"/>
      <c r="FB174" s="80"/>
      <c r="FC174" s="80"/>
      <c r="FD174" s="80"/>
      <c r="FE174" s="80"/>
      <c r="FF174" s="80"/>
      <c r="FG174" s="80"/>
      <c r="FH174" s="80"/>
      <c r="FI174" s="80"/>
      <c r="FJ174" s="80"/>
      <c r="FK174" s="80"/>
      <c r="FL174" s="80"/>
      <c r="FM174" s="80"/>
      <c r="FN174" s="80"/>
      <c r="FO174" s="80"/>
      <c r="FP174" s="80"/>
      <c r="FQ174" s="80"/>
      <c r="FR174" s="80"/>
      <c r="FS174" s="80"/>
      <c r="FT174" s="80"/>
      <c r="FU174" s="80"/>
      <c r="FV174" s="80"/>
      <c r="FW174" s="80"/>
      <c r="FX174" s="80"/>
      <c r="FY174" s="80"/>
      <c r="FZ174" s="80"/>
      <c r="GA174" s="80"/>
      <c r="GB174" s="80"/>
      <c r="GC174" s="80"/>
      <c r="GD174" s="80"/>
      <c r="GE174" s="80"/>
      <c r="GF174" s="80"/>
      <c r="GG174" s="80"/>
      <c r="GH174" s="80"/>
      <c r="GI174" s="80"/>
      <c r="GJ174" s="80"/>
      <c r="GK174" s="80"/>
      <c r="GL174" s="80"/>
      <c r="GM174" s="80"/>
      <c r="GN174" s="80"/>
      <c r="GO174" s="80"/>
      <c r="GP174" s="80"/>
      <c r="GQ174" s="80"/>
      <c r="GR174" s="80"/>
      <c r="GS174" s="80"/>
      <c r="GT174" s="80"/>
      <c r="GU174" s="80"/>
      <c r="GV174" s="80"/>
      <c r="GW174" s="80"/>
      <c r="GX174" s="80"/>
      <c r="GY174" s="80"/>
      <c r="GZ174" s="80"/>
      <c r="HA174" s="80"/>
      <c r="HB174" s="80"/>
      <c r="HC174" s="80"/>
      <c r="HD174" s="80"/>
      <c r="HE174" s="80"/>
      <c r="HF174" s="80"/>
      <c r="HG174" s="80"/>
      <c r="HH174" s="80"/>
      <c r="HI174" s="80"/>
      <c r="HJ174" s="80"/>
      <c r="HK174" s="80"/>
      <c r="HL174" s="80"/>
      <c r="HM174" s="80"/>
      <c r="HN174" s="80"/>
      <c r="HO174" s="80"/>
      <c r="HP174" s="80"/>
      <c r="HQ174" s="80"/>
      <c r="HR174" s="80"/>
      <c r="HS174" s="80"/>
      <c r="HT174" s="80"/>
      <c r="HU174" s="80"/>
      <c r="HV174" s="80"/>
      <c r="HW174" s="80"/>
      <c r="HX174" s="80"/>
      <c r="HY174" s="80"/>
      <c r="HZ174" s="80"/>
      <c r="IA174" s="80"/>
      <c r="IB174" s="80"/>
      <c r="IC174" s="80"/>
      <c r="ID174" s="80"/>
      <c r="IE174" s="80"/>
      <c r="IF174" s="80"/>
      <c r="IG174" s="80"/>
      <c r="IH174" s="80"/>
      <c r="II174" s="80"/>
      <c r="IJ174" s="80"/>
      <c r="IK174" s="80"/>
      <c r="IL174" s="80"/>
      <c r="IM174" s="80"/>
      <c r="IN174" s="80"/>
      <c r="IO174" s="80"/>
      <c r="IP174" s="80"/>
      <c r="IQ174" s="80"/>
      <c r="IR174" s="80"/>
      <c r="IS174" s="80"/>
      <c r="IT174" s="80"/>
      <c r="IU174" s="80"/>
      <c r="IV174" s="80"/>
    </row>
    <row r="175" spans="1:256" ht="14.25" x14ac:dyDescent="0.2">
      <c r="A175" s="78"/>
      <c r="B175" s="78"/>
      <c r="C175" s="78"/>
      <c r="D175" s="87" t="s">
        <v>213</v>
      </c>
      <c r="E175" s="87"/>
      <c r="F175" s="87"/>
      <c r="G175" s="87"/>
      <c r="H175" s="87"/>
      <c r="I175" s="88"/>
      <c r="J175" s="89">
        <f>I164</f>
        <v>34099.199999999997</v>
      </c>
      <c r="K175" s="90"/>
      <c r="L175" s="89">
        <f>K164</f>
        <v>99725.64</v>
      </c>
      <c r="M175" s="82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  <c r="CT175" s="80"/>
      <c r="CU175" s="80"/>
      <c r="CV175" s="80"/>
      <c r="CW175" s="80"/>
      <c r="CX175" s="80"/>
      <c r="CY175" s="80"/>
      <c r="CZ175" s="80"/>
      <c r="DA175" s="80"/>
      <c r="DB175" s="80"/>
      <c r="DC175" s="80"/>
      <c r="DD175" s="80"/>
      <c r="DE175" s="80"/>
      <c r="DF175" s="80"/>
      <c r="DG175" s="80"/>
      <c r="DH175" s="80"/>
      <c r="DI175" s="80"/>
      <c r="DJ175" s="80"/>
      <c r="DK175" s="80"/>
      <c r="DL175" s="80"/>
      <c r="DM175" s="80"/>
      <c r="DN175" s="80"/>
      <c r="DO175" s="80"/>
      <c r="DP175" s="80"/>
      <c r="DQ175" s="80"/>
      <c r="DR175" s="80"/>
      <c r="DS175" s="80"/>
      <c r="DT175" s="80"/>
      <c r="DU175" s="80"/>
      <c r="DV175" s="80"/>
      <c r="DW175" s="80"/>
      <c r="DX175" s="80"/>
      <c r="DY175" s="80"/>
      <c r="DZ175" s="80"/>
      <c r="EA175" s="80"/>
      <c r="EB175" s="80"/>
      <c r="EC175" s="80"/>
      <c r="ED175" s="80"/>
      <c r="EE175" s="80"/>
      <c r="EF175" s="80"/>
      <c r="EG175" s="80"/>
      <c r="EH175" s="80"/>
      <c r="EI175" s="80"/>
      <c r="EJ175" s="80"/>
      <c r="EK175" s="80"/>
      <c r="EL175" s="80"/>
      <c r="EM175" s="80"/>
      <c r="EN175" s="80"/>
      <c r="EO175" s="80"/>
      <c r="EP175" s="80"/>
      <c r="EQ175" s="80"/>
      <c r="ER175" s="80"/>
      <c r="ES175" s="80"/>
      <c r="ET175" s="80"/>
      <c r="EU175" s="80"/>
      <c r="EV175" s="80"/>
      <c r="EW175" s="80"/>
      <c r="EX175" s="80"/>
      <c r="EY175" s="80"/>
      <c r="EZ175" s="80"/>
      <c r="FA175" s="80"/>
      <c r="FB175" s="80"/>
      <c r="FC175" s="80"/>
      <c r="FD175" s="80"/>
      <c r="FE175" s="80"/>
      <c r="FF175" s="80"/>
      <c r="FG175" s="80"/>
      <c r="FH175" s="80"/>
      <c r="FI175" s="80"/>
      <c r="FJ175" s="80"/>
      <c r="FK175" s="80"/>
      <c r="FL175" s="80"/>
      <c r="FM175" s="80"/>
      <c r="FN175" s="80"/>
      <c r="FO175" s="80"/>
      <c r="FP175" s="80"/>
      <c r="FQ175" s="80"/>
      <c r="FR175" s="80"/>
      <c r="FS175" s="80"/>
      <c r="FT175" s="80"/>
      <c r="FU175" s="80"/>
      <c r="FV175" s="80"/>
      <c r="FW175" s="80"/>
      <c r="FX175" s="80"/>
      <c r="FY175" s="80"/>
      <c r="FZ175" s="80"/>
      <c r="GA175" s="80"/>
      <c r="GB175" s="80"/>
      <c r="GC175" s="80"/>
      <c r="GD175" s="80"/>
      <c r="GE175" s="80"/>
      <c r="GF175" s="80"/>
      <c r="GG175" s="80"/>
      <c r="GH175" s="80"/>
      <c r="GI175" s="80"/>
      <c r="GJ175" s="80"/>
      <c r="GK175" s="80"/>
      <c r="GL175" s="80"/>
      <c r="GM175" s="80"/>
      <c r="GN175" s="80"/>
      <c r="GO175" s="80"/>
      <c r="GP175" s="80"/>
      <c r="GQ175" s="80"/>
      <c r="GR175" s="80"/>
      <c r="GS175" s="80"/>
      <c r="GT175" s="80"/>
      <c r="GU175" s="80"/>
      <c r="GV175" s="80"/>
      <c r="GW175" s="80"/>
      <c r="GX175" s="80"/>
      <c r="GY175" s="80"/>
      <c r="GZ175" s="80"/>
      <c r="HA175" s="80"/>
      <c r="HB175" s="80"/>
      <c r="HC175" s="80"/>
      <c r="HD175" s="80"/>
      <c r="HE175" s="80"/>
      <c r="HF175" s="80"/>
      <c r="HG175" s="80"/>
      <c r="HH175" s="80"/>
      <c r="HI175" s="80"/>
      <c r="HJ175" s="80"/>
      <c r="HK175" s="80"/>
      <c r="HL175" s="80"/>
      <c r="HM175" s="80"/>
      <c r="HN175" s="80"/>
      <c r="HO175" s="80"/>
      <c r="HP175" s="80"/>
      <c r="HQ175" s="80"/>
      <c r="HR175" s="80"/>
      <c r="HS175" s="80"/>
      <c r="HT175" s="80"/>
      <c r="HU175" s="80"/>
      <c r="HV175" s="80"/>
      <c r="HW175" s="80"/>
      <c r="HX175" s="80"/>
      <c r="HY175" s="80"/>
      <c r="HZ175" s="80"/>
      <c r="IA175" s="80"/>
      <c r="IB175" s="80"/>
      <c r="IC175" s="80"/>
      <c r="ID175" s="80"/>
      <c r="IE175" s="80"/>
      <c r="IF175" s="80"/>
      <c r="IG175" s="80"/>
      <c r="IH175" s="80"/>
      <c r="II175" s="80"/>
      <c r="IJ175" s="80"/>
      <c r="IK175" s="80"/>
      <c r="IL175" s="80"/>
      <c r="IM175" s="80"/>
      <c r="IN175" s="80"/>
      <c r="IO175" s="80"/>
      <c r="IP175" s="80"/>
      <c r="IQ175" s="80"/>
      <c r="IR175" s="80"/>
      <c r="IS175" s="80"/>
      <c r="IT175" s="80"/>
      <c r="IU175" s="80"/>
      <c r="IV175" s="80"/>
    </row>
    <row r="176" spans="1:256" ht="14.25" x14ac:dyDescent="0.2">
      <c r="A176" s="91"/>
      <c r="B176" s="91"/>
      <c r="C176" s="91"/>
      <c r="D176" s="92" t="s">
        <v>214</v>
      </c>
      <c r="E176" s="92"/>
      <c r="F176" s="92"/>
      <c r="G176" s="92"/>
      <c r="H176" s="92"/>
      <c r="I176" s="93"/>
      <c r="J176" s="94">
        <v>0</v>
      </c>
      <c r="K176" s="95"/>
      <c r="L176" s="94">
        <v>0</v>
      </c>
      <c r="M176" s="82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  <c r="DB176" s="96"/>
      <c r="DC176" s="96"/>
      <c r="DD176" s="96"/>
      <c r="DE176" s="96"/>
      <c r="DF176" s="96"/>
      <c r="DG176" s="96"/>
      <c r="DH176" s="96"/>
      <c r="DI176" s="96"/>
      <c r="DJ176" s="96"/>
      <c r="DK176" s="96"/>
      <c r="DL176" s="96"/>
      <c r="DM176" s="96"/>
      <c r="DN176" s="96"/>
      <c r="DO176" s="96"/>
      <c r="DP176" s="96"/>
      <c r="DQ176" s="96"/>
      <c r="DR176" s="96"/>
      <c r="DS176" s="96"/>
      <c r="DT176" s="96"/>
      <c r="DU176" s="96"/>
      <c r="DV176" s="96"/>
      <c r="DW176" s="96"/>
      <c r="DX176" s="96"/>
      <c r="DY176" s="96"/>
      <c r="DZ176" s="96"/>
      <c r="EA176" s="96"/>
      <c r="EB176" s="96"/>
      <c r="EC176" s="96"/>
      <c r="ED176" s="96"/>
      <c r="EE176" s="96"/>
      <c r="EF176" s="96"/>
      <c r="EG176" s="96"/>
      <c r="EH176" s="96"/>
      <c r="EI176" s="96"/>
      <c r="EJ176" s="96"/>
      <c r="EK176" s="96"/>
      <c r="EL176" s="96"/>
      <c r="EM176" s="96"/>
      <c r="EN176" s="96"/>
      <c r="EO176" s="96"/>
      <c r="EP176" s="96"/>
      <c r="EQ176" s="96"/>
      <c r="ER176" s="96"/>
      <c r="ES176" s="96"/>
      <c r="ET176" s="96"/>
      <c r="EU176" s="96"/>
      <c r="EV176" s="96"/>
      <c r="EW176" s="96"/>
      <c r="EX176" s="96"/>
      <c r="EY176" s="96"/>
      <c r="EZ176" s="96"/>
      <c r="FA176" s="96"/>
      <c r="FB176" s="96"/>
      <c r="FC176" s="96"/>
      <c r="FD176" s="96"/>
      <c r="FE176" s="96"/>
      <c r="FF176" s="96"/>
      <c r="FG176" s="96"/>
      <c r="FH176" s="96"/>
      <c r="FI176" s="96"/>
      <c r="FJ176" s="96"/>
      <c r="FK176" s="96"/>
      <c r="FL176" s="96"/>
      <c r="FM176" s="96"/>
      <c r="FN176" s="96"/>
      <c r="FO176" s="96"/>
      <c r="FP176" s="96"/>
      <c r="FQ176" s="96"/>
      <c r="FR176" s="96"/>
      <c r="FS176" s="96"/>
      <c r="FT176" s="96"/>
      <c r="FU176" s="96"/>
      <c r="FV176" s="96"/>
      <c r="FW176" s="96"/>
      <c r="FX176" s="96"/>
      <c r="FY176" s="96"/>
      <c r="FZ176" s="96"/>
      <c r="GA176" s="96"/>
      <c r="GB176" s="96"/>
      <c r="GC176" s="96"/>
      <c r="GD176" s="96"/>
      <c r="GE176" s="96"/>
      <c r="GF176" s="96"/>
      <c r="GG176" s="96"/>
      <c r="GH176" s="96"/>
      <c r="GI176" s="96"/>
      <c r="GJ176" s="96"/>
      <c r="GK176" s="96"/>
      <c r="GL176" s="96"/>
      <c r="GM176" s="96"/>
      <c r="GN176" s="96"/>
      <c r="GO176" s="96"/>
      <c r="GP176" s="96"/>
      <c r="GQ176" s="96"/>
      <c r="GR176" s="96"/>
      <c r="GS176" s="96"/>
      <c r="GT176" s="96"/>
      <c r="GU176" s="96"/>
      <c r="GV176" s="96"/>
      <c r="GW176" s="96"/>
      <c r="GX176" s="96"/>
      <c r="GY176" s="96"/>
      <c r="GZ176" s="96"/>
      <c r="HA176" s="96"/>
      <c r="HB176" s="96"/>
      <c r="HC176" s="96"/>
      <c r="HD176" s="96"/>
      <c r="HE176" s="96"/>
      <c r="HF176" s="96"/>
      <c r="HG176" s="96"/>
      <c r="HH176" s="96"/>
      <c r="HI176" s="96"/>
      <c r="HJ176" s="96"/>
      <c r="HK176" s="96"/>
      <c r="HL176" s="96"/>
      <c r="HM176" s="96"/>
      <c r="HN176" s="96"/>
      <c r="HO176" s="96"/>
      <c r="HP176" s="96"/>
      <c r="HQ176" s="96"/>
      <c r="HR176" s="96"/>
      <c r="HS176" s="96"/>
      <c r="HT176" s="96"/>
      <c r="HU176" s="96"/>
      <c r="HV176" s="96"/>
      <c r="HW176" s="96"/>
      <c r="HX176" s="96"/>
      <c r="HY176" s="96"/>
      <c r="HZ176" s="96"/>
      <c r="IA176" s="96"/>
      <c r="IB176" s="96"/>
      <c r="IC176" s="96"/>
      <c r="ID176" s="96"/>
      <c r="IE176" s="96"/>
      <c r="IF176" s="96"/>
      <c r="IG176" s="96"/>
      <c r="IH176" s="96"/>
      <c r="II176" s="96"/>
      <c r="IJ176" s="96"/>
      <c r="IK176" s="96"/>
      <c r="IL176" s="96"/>
      <c r="IM176" s="96"/>
      <c r="IN176" s="96"/>
      <c r="IO176" s="96"/>
      <c r="IP176" s="96"/>
      <c r="IQ176" s="96"/>
      <c r="IR176" s="96"/>
      <c r="IS176" s="96"/>
      <c r="IT176" s="96"/>
      <c r="IU176" s="96"/>
      <c r="IV176" s="96"/>
    </row>
    <row r="177" spans="1:256" x14ac:dyDescent="0.2">
      <c r="A177" s="74"/>
      <c r="B177" s="74"/>
      <c r="C177" s="74"/>
      <c r="D177" s="97" t="s">
        <v>215</v>
      </c>
      <c r="E177" s="97"/>
      <c r="F177" s="97"/>
      <c r="G177" s="97"/>
      <c r="H177" s="97"/>
      <c r="I177" s="97"/>
      <c r="J177" s="98">
        <f>J174*15%</f>
        <v>375.83</v>
      </c>
      <c r="K177" s="98"/>
      <c r="L177" s="98">
        <f>L174*15%</f>
        <v>8997.2900000000009</v>
      </c>
      <c r="M177" s="77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4"/>
      <c r="EK177" s="74"/>
      <c r="EL177" s="74"/>
      <c r="EM177" s="74"/>
      <c r="EN177" s="74"/>
      <c r="EO177" s="74"/>
      <c r="EP177" s="74"/>
      <c r="EQ177" s="74"/>
      <c r="ER177" s="74"/>
      <c r="ES177" s="74"/>
      <c r="ET177" s="74"/>
      <c r="EU177" s="74"/>
      <c r="EV177" s="74"/>
      <c r="EW177" s="74"/>
      <c r="EX177" s="74"/>
      <c r="EY177" s="74"/>
      <c r="EZ177" s="74"/>
      <c r="FA177" s="74"/>
      <c r="FB177" s="74"/>
      <c r="FC177" s="74"/>
      <c r="FD177" s="74"/>
      <c r="FE177" s="74"/>
      <c r="FF177" s="74"/>
      <c r="FG177" s="74"/>
      <c r="FH177" s="74"/>
      <c r="FI177" s="74"/>
      <c r="FJ177" s="74"/>
      <c r="FK177" s="74"/>
      <c r="FL177" s="74"/>
      <c r="FM177" s="74"/>
      <c r="FN177" s="74"/>
      <c r="FO177" s="74"/>
      <c r="FP177" s="74"/>
      <c r="FQ177" s="74"/>
      <c r="FR177" s="74"/>
      <c r="FS177" s="74"/>
      <c r="FT177" s="74"/>
      <c r="FU177" s="74"/>
      <c r="FV177" s="74"/>
      <c r="FW177" s="74"/>
      <c r="FX177" s="74"/>
      <c r="FY177" s="74"/>
      <c r="FZ177" s="74"/>
      <c r="GA177" s="74"/>
      <c r="GB177" s="74"/>
      <c r="GC177" s="74"/>
      <c r="GD177" s="74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</row>
    <row r="178" spans="1:256" x14ac:dyDescent="0.2">
      <c r="A178" s="74"/>
      <c r="B178" s="74"/>
      <c r="C178" s="74"/>
      <c r="D178" s="99" t="s">
        <v>216</v>
      </c>
      <c r="E178" s="100"/>
      <c r="F178" s="100"/>
      <c r="G178" s="100"/>
      <c r="H178" s="100"/>
      <c r="I178" s="100"/>
      <c r="J178" s="101">
        <f>J172+J177</f>
        <v>42563.81</v>
      </c>
      <c r="K178" s="101"/>
      <c r="L178" s="101">
        <f>L172+L177</f>
        <v>256415.08</v>
      </c>
      <c r="M178" s="77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  <c r="DS178" s="74"/>
      <c r="DT178" s="74"/>
      <c r="DU178" s="74"/>
      <c r="DV178" s="74"/>
      <c r="DW178" s="74"/>
      <c r="DX178" s="74"/>
      <c r="DY178" s="74"/>
      <c r="DZ178" s="74"/>
      <c r="EA178" s="74"/>
      <c r="EB178" s="74"/>
      <c r="EC178" s="74"/>
      <c r="ED178" s="74"/>
      <c r="EE178" s="74"/>
      <c r="EF178" s="74"/>
      <c r="EG178" s="74"/>
      <c r="EH178" s="74"/>
      <c r="EI178" s="74"/>
      <c r="EJ178" s="74"/>
      <c r="EK178" s="74"/>
      <c r="EL178" s="74"/>
      <c r="EM178" s="74"/>
      <c r="EN178" s="74"/>
      <c r="EO178" s="74"/>
      <c r="EP178" s="74"/>
      <c r="EQ178" s="74"/>
      <c r="ER178" s="74"/>
      <c r="ES178" s="74"/>
      <c r="ET178" s="74"/>
      <c r="EU178" s="74"/>
      <c r="EV178" s="74"/>
      <c r="EW178" s="74"/>
      <c r="EX178" s="74"/>
      <c r="EY178" s="74"/>
      <c r="EZ178" s="74"/>
      <c r="FA178" s="74"/>
      <c r="FB178" s="74"/>
      <c r="FC178" s="74"/>
      <c r="FD178" s="74"/>
      <c r="FE178" s="74"/>
      <c r="FF178" s="74"/>
      <c r="FG178" s="74"/>
      <c r="FH178" s="74"/>
      <c r="FI178" s="74"/>
      <c r="FJ178" s="74"/>
      <c r="FK178" s="74"/>
      <c r="FL178" s="74"/>
      <c r="FM178" s="74"/>
      <c r="FN178" s="74"/>
      <c r="FO178" s="74"/>
      <c r="FP178" s="74"/>
      <c r="FQ178" s="74"/>
      <c r="FR178" s="74"/>
      <c r="FS178" s="74"/>
      <c r="FT178" s="74"/>
      <c r="FU178" s="74"/>
      <c r="FV178" s="74"/>
      <c r="FW178" s="74"/>
      <c r="FX178" s="74"/>
      <c r="FY178" s="74"/>
      <c r="FZ178" s="74"/>
      <c r="GA178" s="74"/>
      <c r="GB178" s="74"/>
      <c r="GC178" s="74"/>
      <c r="GD178" s="74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</row>
    <row r="179" spans="1:256" x14ac:dyDescent="0.2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2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1"/>
      <c r="CX179" s="81"/>
      <c r="CY179" s="81"/>
      <c r="CZ179" s="81"/>
      <c r="DA179" s="81"/>
      <c r="DB179" s="81"/>
      <c r="DC179" s="81"/>
      <c r="DD179" s="81"/>
      <c r="DE179" s="81"/>
      <c r="DF179" s="81"/>
      <c r="DG179" s="81"/>
      <c r="DH179" s="81"/>
      <c r="DI179" s="81"/>
      <c r="DJ179" s="81"/>
      <c r="DK179" s="81"/>
      <c r="DL179" s="81"/>
      <c r="DM179" s="81"/>
      <c r="DN179" s="81"/>
      <c r="DO179" s="81"/>
      <c r="DP179" s="81"/>
      <c r="DQ179" s="81"/>
      <c r="DR179" s="81"/>
      <c r="DS179" s="81"/>
      <c r="DT179" s="81"/>
      <c r="DU179" s="81"/>
      <c r="DV179" s="81"/>
      <c r="DW179" s="81"/>
      <c r="DX179" s="81"/>
      <c r="DY179" s="81"/>
      <c r="DZ179" s="81"/>
      <c r="EA179" s="81"/>
      <c r="EB179" s="81"/>
      <c r="EC179" s="81"/>
      <c r="ED179" s="81"/>
      <c r="EE179" s="81"/>
      <c r="EF179" s="81"/>
      <c r="EG179" s="81"/>
      <c r="EH179" s="81"/>
      <c r="EI179" s="81"/>
      <c r="EJ179" s="81"/>
      <c r="EK179" s="81"/>
      <c r="EL179" s="81"/>
      <c r="EM179" s="81"/>
      <c r="EN179" s="81"/>
      <c r="EO179" s="81"/>
      <c r="EP179" s="81"/>
      <c r="EQ179" s="81"/>
      <c r="ER179" s="81"/>
      <c r="ES179" s="81"/>
      <c r="ET179" s="81"/>
      <c r="EU179" s="81"/>
      <c r="EV179" s="81"/>
      <c r="EW179" s="81"/>
      <c r="EX179" s="81"/>
      <c r="EY179" s="81"/>
      <c r="EZ179" s="81"/>
      <c r="FA179" s="81"/>
      <c r="FB179" s="81"/>
      <c r="FC179" s="81"/>
      <c r="FD179" s="81"/>
      <c r="FE179" s="81"/>
      <c r="FF179" s="81"/>
      <c r="FG179" s="81"/>
      <c r="FH179" s="81"/>
      <c r="FI179" s="81"/>
      <c r="FJ179" s="81"/>
      <c r="FK179" s="81"/>
      <c r="FL179" s="81"/>
      <c r="FM179" s="81"/>
      <c r="FN179" s="81"/>
      <c r="FO179" s="81"/>
      <c r="FP179" s="81"/>
      <c r="FQ179" s="81"/>
      <c r="FR179" s="81"/>
      <c r="FS179" s="81"/>
      <c r="FT179" s="81"/>
      <c r="FU179" s="81"/>
      <c r="FV179" s="81"/>
      <c r="FW179" s="81"/>
      <c r="FX179" s="81"/>
      <c r="FY179" s="81"/>
      <c r="FZ179" s="81"/>
      <c r="GA179" s="81"/>
      <c r="GB179" s="81"/>
      <c r="GC179" s="81"/>
      <c r="GD179" s="81"/>
      <c r="GE179" s="81"/>
      <c r="GF179" s="81"/>
      <c r="GG179" s="81"/>
      <c r="GH179" s="81"/>
      <c r="GI179" s="81"/>
      <c r="GJ179" s="81"/>
      <c r="GK179" s="81"/>
      <c r="GL179" s="81"/>
      <c r="GM179" s="81"/>
      <c r="GN179" s="81"/>
      <c r="GO179" s="81"/>
      <c r="GP179" s="81"/>
      <c r="GQ179" s="81"/>
      <c r="GR179" s="81"/>
      <c r="GS179" s="81"/>
      <c r="GT179" s="81"/>
      <c r="GU179" s="81"/>
      <c r="GV179" s="81"/>
      <c r="GW179" s="81"/>
      <c r="GX179" s="81"/>
      <c r="GY179" s="81"/>
      <c r="GZ179" s="81"/>
      <c r="HA179" s="81"/>
      <c r="HB179" s="81"/>
      <c r="HC179" s="81"/>
      <c r="HD179" s="81"/>
      <c r="HE179" s="81"/>
      <c r="HF179" s="81"/>
      <c r="HG179" s="81"/>
      <c r="HH179" s="81"/>
      <c r="HI179" s="81"/>
      <c r="HJ179" s="81"/>
      <c r="HK179" s="81"/>
      <c r="HL179" s="81"/>
      <c r="HM179" s="81"/>
      <c r="HN179" s="81"/>
      <c r="HO179" s="81"/>
      <c r="HP179" s="81"/>
      <c r="HQ179" s="81"/>
      <c r="HR179" s="81"/>
      <c r="HS179" s="81"/>
      <c r="HT179" s="81"/>
      <c r="HU179" s="81"/>
      <c r="HV179" s="81"/>
      <c r="HW179" s="81"/>
      <c r="HX179" s="81"/>
      <c r="HY179" s="81"/>
      <c r="HZ179" s="81"/>
      <c r="IA179" s="81"/>
      <c r="IB179" s="81"/>
      <c r="IC179" s="81"/>
      <c r="ID179" s="81"/>
      <c r="IE179" s="81"/>
      <c r="IF179" s="81"/>
      <c r="IG179" s="81"/>
      <c r="IH179" s="81"/>
      <c r="II179" s="81"/>
      <c r="IJ179" s="81"/>
      <c r="IK179" s="81"/>
      <c r="IL179" s="81"/>
      <c r="IM179" s="81"/>
      <c r="IN179" s="81"/>
      <c r="IO179" s="81"/>
      <c r="IP179" s="81"/>
      <c r="IQ179" s="81"/>
      <c r="IR179" s="81"/>
      <c r="IS179" s="81"/>
      <c r="IT179" s="81"/>
      <c r="IU179" s="81"/>
      <c r="IV179" s="81"/>
    </row>
    <row r="180" spans="1:256" x14ac:dyDescent="0.2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2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1"/>
      <c r="CX180" s="81"/>
      <c r="CY180" s="81"/>
      <c r="CZ180" s="81"/>
      <c r="DA180" s="81"/>
      <c r="DB180" s="81"/>
      <c r="DC180" s="81"/>
      <c r="DD180" s="81"/>
      <c r="DE180" s="81"/>
      <c r="DF180" s="81"/>
      <c r="DG180" s="81"/>
      <c r="DH180" s="81"/>
      <c r="DI180" s="81"/>
      <c r="DJ180" s="81"/>
      <c r="DK180" s="81"/>
      <c r="DL180" s="81"/>
      <c r="DM180" s="81"/>
      <c r="DN180" s="81"/>
      <c r="DO180" s="81"/>
      <c r="DP180" s="81"/>
      <c r="DQ180" s="81"/>
      <c r="DR180" s="81"/>
      <c r="DS180" s="81"/>
      <c r="DT180" s="81"/>
      <c r="DU180" s="81"/>
      <c r="DV180" s="81"/>
      <c r="DW180" s="81"/>
      <c r="DX180" s="81"/>
      <c r="DY180" s="81"/>
      <c r="DZ180" s="81"/>
      <c r="EA180" s="81"/>
      <c r="EB180" s="81"/>
      <c r="EC180" s="81"/>
      <c r="ED180" s="81"/>
      <c r="EE180" s="81"/>
      <c r="EF180" s="81"/>
      <c r="EG180" s="81"/>
      <c r="EH180" s="81"/>
      <c r="EI180" s="81"/>
      <c r="EJ180" s="81"/>
      <c r="EK180" s="81"/>
      <c r="EL180" s="81"/>
      <c r="EM180" s="81"/>
      <c r="EN180" s="81"/>
      <c r="EO180" s="81"/>
      <c r="EP180" s="81"/>
      <c r="EQ180" s="81"/>
      <c r="ER180" s="81"/>
      <c r="ES180" s="81"/>
      <c r="ET180" s="81"/>
      <c r="EU180" s="81"/>
      <c r="EV180" s="81"/>
      <c r="EW180" s="81"/>
      <c r="EX180" s="81"/>
      <c r="EY180" s="81"/>
      <c r="EZ180" s="81"/>
      <c r="FA180" s="81"/>
      <c r="FB180" s="81"/>
      <c r="FC180" s="81"/>
      <c r="FD180" s="81"/>
      <c r="FE180" s="81"/>
      <c r="FF180" s="81"/>
      <c r="FG180" s="81"/>
      <c r="FH180" s="81"/>
      <c r="FI180" s="81"/>
      <c r="FJ180" s="81"/>
      <c r="FK180" s="81"/>
      <c r="FL180" s="81"/>
      <c r="FM180" s="81"/>
      <c r="FN180" s="81"/>
      <c r="FO180" s="81"/>
      <c r="FP180" s="81"/>
      <c r="FQ180" s="81"/>
      <c r="FR180" s="81"/>
      <c r="FS180" s="81"/>
      <c r="FT180" s="81"/>
      <c r="FU180" s="81"/>
      <c r="FV180" s="81"/>
      <c r="FW180" s="81"/>
      <c r="FX180" s="81"/>
      <c r="FY180" s="81"/>
      <c r="FZ180" s="81"/>
      <c r="GA180" s="81"/>
      <c r="GB180" s="81"/>
      <c r="GC180" s="81"/>
      <c r="GD180" s="81"/>
      <c r="GE180" s="81"/>
      <c r="GF180" s="81"/>
      <c r="GG180" s="81"/>
      <c r="GH180" s="81"/>
      <c r="GI180" s="81"/>
      <c r="GJ180" s="81"/>
      <c r="GK180" s="81"/>
      <c r="GL180" s="81"/>
      <c r="GM180" s="81"/>
      <c r="GN180" s="81"/>
      <c r="GO180" s="81"/>
      <c r="GP180" s="81"/>
      <c r="GQ180" s="81"/>
      <c r="GR180" s="81"/>
      <c r="GS180" s="81"/>
      <c r="GT180" s="81"/>
      <c r="GU180" s="81"/>
      <c r="GV180" s="81"/>
      <c r="GW180" s="81"/>
      <c r="GX180" s="81"/>
      <c r="GY180" s="81"/>
      <c r="GZ180" s="81"/>
      <c r="HA180" s="81"/>
      <c r="HB180" s="81"/>
      <c r="HC180" s="81"/>
      <c r="HD180" s="81"/>
      <c r="HE180" s="81"/>
      <c r="HF180" s="81"/>
      <c r="HG180" s="81"/>
      <c r="HH180" s="81"/>
      <c r="HI180" s="81"/>
      <c r="HJ180" s="81"/>
      <c r="HK180" s="81"/>
      <c r="HL180" s="81"/>
      <c r="HM180" s="81"/>
      <c r="HN180" s="81"/>
      <c r="HO180" s="81"/>
      <c r="HP180" s="81"/>
      <c r="HQ180" s="81"/>
      <c r="HR180" s="81"/>
      <c r="HS180" s="81"/>
      <c r="HT180" s="81"/>
      <c r="HU180" s="81"/>
      <c r="HV180" s="81"/>
      <c r="HW180" s="81"/>
      <c r="HX180" s="81"/>
      <c r="HY180" s="81"/>
      <c r="HZ180" s="81"/>
      <c r="IA180" s="81"/>
      <c r="IB180" s="81"/>
      <c r="IC180" s="81"/>
      <c r="ID180" s="81"/>
      <c r="IE180" s="81"/>
      <c r="IF180" s="81"/>
      <c r="IG180" s="81"/>
      <c r="IH180" s="81"/>
      <c r="II180" s="81"/>
      <c r="IJ180" s="81"/>
      <c r="IK180" s="81"/>
      <c r="IL180" s="81"/>
      <c r="IM180" s="81"/>
      <c r="IN180" s="81"/>
      <c r="IO180" s="81"/>
      <c r="IP180" s="81"/>
      <c r="IQ180" s="81"/>
      <c r="IR180" s="81"/>
      <c r="IS180" s="81"/>
      <c r="IT180" s="81"/>
      <c r="IU180" s="81"/>
      <c r="IV180" s="81"/>
    </row>
    <row r="181" spans="1:256" x14ac:dyDescent="0.2">
      <c r="A181" s="75"/>
      <c r="B181" s="75"/>
      <c r="C181" s="75"/>
      <c r="D181" s="99" t="s">
        <v>217</v>
      </c>
      <c r="E181" s="97"/>
      <c r="F181" s="97"/>
      <c r="G181" s="97"/>
      <c r="H181" s="97"/>
      <c r="I181" s="97"/>
      <c r="J181" s="102">
        <f>J172</f>
        <v>42187.98</v>
      </c>
      <c r="K181" s="102"/>
      <c r="L181" s="102">
        <f>L172*0.925</f>
        <v>228861.46</v>
      </c>
      <c r="M181" s="103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  <c r="BM181" s="104"/>
      <c r="BN181" s="104"/>
      <c r="BO181" s="104"/>
      <c r="BP181" s="104"/>
      <c r="BQ181" s="104"/>
      <c r="BR181" s="104"/>
      <c r="BS181" s="104"/>
      <c r="BT181" s="104"/>
      <c r="BU181" s="104"/>
      <c r="BV181" s="104"/>
      <c r="BW181" s="104"/>
      <c r="BX181" s="104"/>
      <c r="BY181" s="104"/>
      <c r="BZ181" s="104"/>
      <c r="CA181" s="104"/>
      <c r="CB181" s="104"/>
      <c r="CC181" s="104"/>
      <c r="CD181" s="104"/>
      <c r="CE181" s="104"/>
      <c r="CF181" s="104"/>
      <c r="CG181" s="104"/>
      <c r="CH181" s="104"/>
      <c r="CI181" s="104"/>
      <c r="CJ181" s="104"/>
      <c r="CK181" s="104"/>
      <c r="CL181" s="104"/>
      <c r="CM181" s="104"/>
      <c r="CN181" s="104"/>
      <c r="CO181" s="104"/>
      <c r="CP181" s="104"/>
      <c r="CQ181" s="104"/>
      <c r="CR181" s="104"/>
      <c r="CS181" s="104"/>
      <c r="CT181" s="104"/>
      <c r="CU181" s="104"/>
      <c r="CV181" s="104"/>
      <c r="CW181" s="104"/>
      <c r="CX181" s="104"/>
      <c r="CY181" s="104"/>
      <c r="CZ181" s="104"/>
      <c r="DA181" s="104"/>
      <c r="DB181" s="104"/>
      <c r="DC181" s="104"/>
      <c r="DD181" s="104"/>
      <c r="DE181" s="104"/>
      <c r="DF181" s="104"/>
      <c r="DG181" s="104"/>
      <c r="DH181" s="104"/>
      <c r="DI181" s="104"/>
      <c r="DJ181" s="104"/>
      <c r="DK181" s="104"/>
      <c r="DL181" s="104"/>
      <c r="DM181" s="104"/>
      <c r="DN181" s="104"/>
      <c r="DO181" s="104"/>
      <c r="DP181" s="104"/>
      <c r="DQ181" s="104"/>
      <c r="DR181" s="104"/>
      <c r="DS181" s="104"/>
      <c r="DT181" s="104"/>
      <c r="DU181" s="104"/>
      <c r="DV181" s="104"/>
      <c r="DW181" s="104"/>
      <c r="DX181" s="104"/>
      <c r="DY181" s="104"/>
      <c r="DZ181" s="104"/>
      <c r="EA181" s="104"/>
      <c r="EB181" s="104"/>
      <c r="EC181" s="104"/>
      <c r="ED181" s="104"/>
      <c r="EE181" s="104"/>
      <c r="EF181" s="104"/>
      <c r="EG181" s="104"/>
      <c r="EH181" s="104"/>
      <c r="EI181" s="104"/>
      <c r="EJ181" s="104"/>
      <c r="EK181" s="104"/>
      <c r="EL181" s="104"/>
      <c r="EM181" s="104"/>
      <c r="EN181" s="104"/>
      <c r="EO181" s="104"/>
      <c r="EP181" s="104"/>
      <c r="EQ181" s="104"/>
      <c r="ER181" s="104"/>
      <c r="ES181" s="104"/>
      <c r="ET181" s="104"/>
      <c r="EU181" s="104"/>
      <c r="EV181" s="104"/>
      <c r="EW181" s="104"/>
      <c r="EX181" s="104"/>
      <c r="EY181" s="104"/>
      <c r="EZ181" s="104"/>
      <c r="FA181" s="104"/>
      <c r="FB181" s="104"/>
      <c r="FC181" s="104"/>
      <c r="FD181" s="104"/>
      <c r="FE181" s="104"/>
      <c r="FF181" s="104"/>
      <c r="FG181" s="104"/>
      <c r="FH181" s="104"/>
      <c r="FI181" s="104"/>
      <c r="FJ181" s="104"/>
      <c r="FK181" s="104"/>
      <c r="FL181" s="104"/>
      <c r="FM181" s="104"/>
      <c r="FN181" s="104"/>
      <c r="FO181" s="104"/>
      <c r="FP181" s="104"/>
      <c r="FQ181" s="104"/>
      <c r="FR181" s="104"/>
      <c r="FS181" s="104"/>
      <c r="FT181" s="104"/>
      <c r="FU181" s="104"/>
      <c r="FV181" s="104"/>
      <c r="FW181" s="104"/>
      <c r="FX181" s="104"/>
      <c r="FY181" s="104"/>
      <c r="FZ181" s="104"/>
      <c r="GA181" s="104"/>
      <c r="GB181" s="104"/>
      <c r="GC181" s="104"/>
      <c r="GD181" s="104"/>
      <c r="GE181" s="104"/>
      <c r="GF181" s="104"/>
      <c r="GG181" s="104"/>
      <c r="GH181" s="104"/>
      <c r="GI181" s="104"/>
      <c r="GJ181" s="104"/>
      <c r="GK181" s="104"/>
      <c r="GL181" s="104"/>
      <c r="GM181" s="104"/>
      <c r="GN181" s="104"/>
      <c r="GO181" s="104"/>
      <c r="GP181" s="104"/>
      <c r="GQ181" s="104"/>
      <c r="GR181" s="104"/>
      <c r="GS181" s="104"/>
      <c r="GT181" s="104"/>
      <c r="GU181" s="104"/>
      <c r="GV181" s="104"/>
      <c r="GW181" s="104"/>
      <c r="GX181" s="104"/>
      <c r="GY181" s="104"/>
      <c r="GZ181" s="104"/>
      <c r="HA181" s="104"/>
      <c r="HB181" s="104"/>
      <c r="HC181" s="104"/>
      <c r="HD181" s="104"/>
      <c r="HE181" s="104"/>
      <c r="HF181" s="104"/>
      <c r="HG181" s="104"/>
      <c r="HH181" s="104"/>
      <c r="HI181" s="104"/>
      <c r="HJ181" s="104"/>
      <c r="HK181" s="104"/>
      <c r="HL181" s="104"/>
      <c r="HM181" s="104"/>
      <c r="HN181" s="104"/>
      <c r="HO181" s="104"/>
      <c r="HP181" s="104"/>
      <c r="HQ181" s="104"/>
      <c r="HR181" s="104"/>
      <c r="HS181" s="104"/>
      <c r="HT181" s="104"/>
      <c r="HU181" s="104"/>
      <c r="HV181" s="104"/>
      <c r="HW181" s="104"/>
      <c r="HX181" s="104"/>
      <c r="HY181" s="104"/>
      <c r="HZ181" s="104"/>
      <c r="IA181" s="104"/>
      <c r="IB181" s="104"/>
      <c r="IC181" s="104"/>
      <c r="ID181" s="104"/>
      <c r="IE181" s="104"/>
      <c r="IF181" s="104"/>
      <c r="IG181" s="104"/>
      <c r="IH181" s="104"/>
      <c r="II181" s="104"/>
      <c r="IJ181" s="104"/>
      <c r="IK181" s="104"/>
      <c r="IL181" s="104"/>
      <c r="IM181" s="104"/>
      <c r="IN181" s="104"/>
      <c r="IO181" s="104"/>
      <c r="IP181" s="104"/>
      <c r="IQ181" s="104"/>
      <c r="IR181" s="104"/>
      <c r="IS181" s="104"/>
      <c r="IT181" s="104"/>
      <c r="IU181" s="104"/>
      <c r="IV181" s="104"/>
    </row>
    <row r="182" spans="1:256" x14ac:dyDescent="0.2">
      <c r="A182" s="75"/>
      <c r="B182" s="75"/>
      <c r="C182" s="75"/>
      <c r="D182" s="97" t="s">
        <v>211</v>
      </c>
      <c r="E182" s="97"/>
      <c r="F182" s="97"/>
      <c r="G182" s="97"/>
      <c r="H182" s="97"/>
      <c r="I182" s="97"/>
      <c r="J182" s="98">
        <f>J181</f>
        <v>42187.98</v>
      </c>
      <c r="K182" s="98"/>
      <c r="L182" s="98">
        <f>L181</f>
        <v>228861.46</v>
      </c>
      <c r="M182" s="103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  <c r="BM182" s="104"/>
      <c r="BN182" s="104"/>
      <c r="BO182" s="104"/>
      <c r="BP182" s="104"/>
      <c r="BQ182" s="104"/>
      <c r="BR182" s="104"/>
      <c r="BS182" s="104"/>
      <c r="BT182" s="104"/>
      <c r="BU182" s="104"/>
      <c r="BV182" s="104"/>
      <c r="BW182" s="104"/>
      <c r="BX182" s="104"/>
      <c r="BY182" s="104"/>
      <c r="BZ182" s="104"/>
      <c r="CA182" s="104"/>
      <c r="CB182" s="104"/>
      <c r="CC182" s="104"/>
      <c r="CD182" s="104"/>
      <c r="CE182" s="104"/>
      <c r="CF182" s="104"/>
      <c r="CG182" s="104"/>
      <c r="CH182" s="104"/>
      <c r="CI182" s="104"/>
      <c r="CJ182" s="104"/>
      <c r="CK182" s="104"/>
      <c r="CL182" s="104"/>
      <c r="CM182" s="104"/>
      <c r="CN182" s="104"/>
      <c r="CO182" s="104"/>
      <c r="CP182" s="104"/>
      <c r="CQ182" s="104"/>
      <c r="CR182" s="104"/>
      <c r="CS182" s="104"/>
      <c r="CT182" s="104"/>
      <c r="CU182" s="104"/>
      <c r="CV182" s="104"/>
      <c r="CW182" s="104"/>
      <c r="CX182" s="104"/>
      <c r="CY182" s="104"/>
      <c r="CZ182" s="104"/>
      <c r="DA182" s="104"/>
      <c r="DB182" s="104"/>
      <c r="DC182" s="104"/>
      <c r="DD182" s="104"/>
      <c r="DE182" s="104"/>
      <c r="DF182" s="104"/>
      <c r="DG182" s="104"/>
      <c r="DH182" s="104"/>
      <c r="DI182" s="104"/>
      <c r="DJ182" s="104"/>
      <c r="DK182" s="104"/>
      <c r="DL182" s="104"/>
      <c r="DM182" s="104"/>
      <c r="DN182" s="104"/>
      <c r="DO182" s="104"/>
      <c r="DP182" s="104"/>
      <c r="DQ182" s="104"/>
      <c r="DR182" s="104"/>
      <c r="DS182" s="104"/>
      <c r="DT182" s="104"/>
      <c r="DU182" s="104"/>
      <c r="DV182" s="104"/>
      <c r="DW182" s="104"/>
      <c r="DX182" s="104"/>
      <c r="DY182" s="104"/>
      <c r="DZ182" s="104"/>
      <c r="EA182" s="104"/>
      <c r="EB182" s="104"/>
      <c r="EC182" s="104"/>
      <c r="ED182" s="104"/>
      <c r="EE182" s="104"/>
      <c r="EF182" s="104"/>
      <c r="EG182" s="104"/>
      <c r="EH182" s="104"/>
      <c r="EI182" s="104"/>
      <c r="EJ182" s="104"/>
      <c r="EK182" s="104"/>
      <c r="EL182" s="104"/>
      <c r="EM182" s="104"/>
      <c r="EN182" s="104"/>
      <c r="EO182" s="104"/>
      <c r="EP182" s="104"/>
      <c r="EQ182" s="104"/>
      <c r="ER182" s="104"/>
      <c r="ES182" s="104"/>
      <c r="ET182" s="104"/>
      <c r="EU182" s="104"/>
      <c r="EV182" s="104"/>
      <c r="EW182" s="104"/>
      <c r="EX182" s="104"/>
      <c r="EY182" s="104"/>
      <c r="EZ182" s="104"/>
      <c r="FA182" s="104"/>
      <c r="FB182" s="104"/>
      <c r="FC182" s="104"/>
      <c r="FD182" s="104"/>
      <c r="FE182" s="104"/>
      <c r="FF182" s="104"/>
      <c r="FG182" s="104"/>
      <c r="FH182" s="104"/>
      <c r="FI182" s="104"/>
      <c r="FJ182" s="104"/>
      <c r="FK182" s="104"/>
      <c r="FL182" s="104"/>
      <c r="FM182" s="104"/>
      <c r="FN182" s="104"/>
      <c r="FO182" s="104"/>
      <c r="FP182" s="104"/>
      <c r="FQ182" s="104"/>
      <c r="FR182" s="104"/>
      <c r="FS182" s="104"/>
      <c r="FT182" s="104"/>
      <c r="FU182" s="104"/>
      <c r="FV182" s="104"/>
      <c r="FW182" s="104"/>
      <c r="FX182" s="104"/>
      <c r="FY182" s="104"/>
      <c r="FZ182" s="104"/>
      <c r="GA182" s="104"/>
      <c r="GB182" s="104"/>
      <c r="GC182" s="104"/>
      <c r="GD182" s="104"/>
      <c r="GE182" s="104"/>
      <c r="GF182" s="104"/>
      <c r="GG182" s="104"/>
      <c r="GH182" s="104"/>
      <c r="GI182" s="104"/>
      <c r="GJ182" s="104"/>
      <c r="GK182" s="104"/>
      <c r="GL182" s="104"/>
      <c r="GM182" s="104"/>
      <c r="GN182" s="104"/>
      <c r="GO182" s="104"/>
      <c r="GP182" s="104"/>
      <c r="GQ182" s="104"/>
      <c r="GR182" s="104"/>
      <c r="GS182" s="104"/>
      <c r="GT182" s="104"/>
      <c r="GU182" s="104"/>
      <c r="GV182" s="104"/>
      <c r="GW182" s="104"/>
      <c r="GX182" s="104"/>
      <c r="GY182" s="104"/>
      <c r="GZ182" s="104"/>
      <c r="HA182" s="104"/>
      <c r="HB182" s="104"/>
      <c r="HC182" s="104"/>
      <c r="HD182" s="104"/>
      <c r="HE182" s="104"/>
      <c r="HF182" s="104"/>
      <c r="HG182" s="104"/>
      <c r="HH182" s="104"/>
      <c r="HI182" s="104"/>
      <c r="HJ182" s="104"/>
      <c r="HK182" s="104"/>
      <c r="HL182" s="104"/>
      <c r="HM182" s="104"/>
      <c r="HN182" s="104"/>
      <c r="HO182" s="104"/>
      <c r="HP182" s="104"/>
      <c r="HQ182" s="104"/>
      <c r="HR182" s="104"/>
      <c r="HS182" s="104"/>
      <c r="HT182" s="104"/>
      <c r="HU182" s="104"/>
      <c r="HV182" s="104"/>
      <c r="HW182" s="104"/>
      <c r="HX182" s="104"/>
      <c r="HY182" s="104"/>
      <c r="HZ182" s="104"/>
      <c r="IA182" s="104"/>
      <c r="IB182" s="104"/>
      <c r="IC182" s="104"/>
      <c r="ID182" s="104"/>
      <c r="IE182" s="104"/>
      <c r="IF182" s="104"/>
      <c r="IG182" s="104"/>
      <c r="IH182" s="104"/>
      <c r="II182" s="104"/>
      <c r="IJ182" s="104"/>
      <c r="IK182" s="104"/>
      <c r="IL182" s="104"/>
      <c r="IM182" s="104"/>
      <c r="IN182" s="104"/>
      <c r="IO182" s="104"/>
      <c r="IP182" s="104"/>
      <c r="IQ182" s="104"/>
      <c r="IR182" s="104"/>
      <c r="IS182" s="104"/>
      <c r="IT182" s="104"/>
      <c r="IU182" s="104"/>
      <c r="IV182" s="104"/>
    </row>
    <row r="183" spans="1:256" x14ac:dyDescent="0.2">
      <c r="A183" s="75"/>
      <c r="B183" s="75"/>
      <c r="C183" s="75"/>
      <c r="D183" s="97" t="s">
        <v>212</v>
      </c>
      <c r="E183" s="97"/>
      <c r="F183" s="97"/>
      <c r="G183" s="97"/>
      <c r="H183" s="97"/>
      <c r="I183" s="97"/>
      <c r="J183" s="98">
        <f>J174</f>
        <v>2505.5100000000002</v>
      </c>
      <c r="K183" s="98"/>
      <c r="L183" s="98">
        <f>L174*0.925</f>
        <v>55483.26</v>
      </c>
      <c r="M183" s="103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  <c r="BJ183" s="104"/>
      <c r="BK183" s="104"/>
      <c r="BL183" s="104"/>
      <c r="BM183" s="104"/>
      <c r="BN183" s="104"/>
      <c r="BO183" s="104"/>
      <c r="BP183" s="104"/>
      <c r="BQ183" s="104"/>
      <c r="BR183" s="104"/>
      <c r="BS183" s="104"/>
      <c r="BT183" s="104"/>
      <c r="BU183" s="104"/>
      <c r="BV183" s="104"/>
      <c r="BW183" s="104"/>
      <c r="BX183" s="104"/>
      <c r="BY183" s="104"/>
      <c r="BZ183" s="104"/>
      <c r="CA183" s="104"/>
      <c r="CB183" s="104"/>
      <c r="CC183" s="104"/>
      <c r="CD183" s="104"/>
      <c r="CE183" s="104"/>
      <c r="CF183" s="104"/>
      <c r="CG183" s="104"/>
      <c r="CH183" s="104"/>
      <c r="CI183" s="104"/>
      <c r="CJ183" s="104"/>
      <c r="CK183" s="104"/>
      <c r="CL183" s="104"/>
      <c r="CM183" s="104"/>
      <c r="CN183" s="104"/>
      <c r="CO183" s="104"/>
      <c r="CP183" s="104"/>
      <c r="CQ183" s="104"/>
      <c r="CR183" s="104"/>
      <c r="CS183" s="104"/>
      <c r="CT183" s="104"/>
      <c r="CU183" s="104"/>
      <c r="CV183" s="104"/>
      <c r="CW183" s="104"/>
      <c r="CX183" s="104"/>
      <c r="CY183" s="104"/>
      <c r="CZ183" s="104"/>
      <c r="DA183" s="104"/>
      <c r="DB183" s="104"/>
      <c r="DC183" s="104"/>
      <c r="DD183" s="104"/>
      <c r="DE183" s="104"/>
      <c r="DF183" s="104"/>
      <c r="DG183" s="104"/>
      <c r="DH183" s="104"/>
      <c r="DI183" s="104"/>
      <c r="DJ183" s="104"/>
      <c r="DK183" s="104"/>
      <c r="DL183" s="104"/>
      <c r="DM183" s="104"/>
      <c r="DN183" s="104"/>
      <c r="DO183" s="104"/>
      <c r="DP183" s="104"/>
      <c r="DQ183" s="104"/>
      <c r="DR183" s="104"/>
      <c r="DS183" s="104"/>
      <c r="DT183" s="104"/>
      <c r="DU183" s="104"/>
      <c r="DV183" s="104"/>
      <c r="DW183" s="104"/>
      <c r="DX183" s="104"/>
      <c r="DY183" s="104"/>
      <c r="DZ183" s="104"/>
      <c r="EA183" s="104"/>
      <c r="EB183" s="104"/>
      <c r="EC183" s="104"/>
      <c r="ED183" s="104"/>
      <c r="EE183" s="104"/>
      <c r="EF183" s="104"/>
      <c r="EG183" s="104"/>
      <c r="EH183" s="104"/>
      <c r="EI183" s="104"/>
      <c r="EJ183" s="104"/>
      <c r="EK183" s="104"/>
      <c r="EL183" s="104"/>
      <c r="EM183" s="104"/>
      <c r="EN183" s="104"/>
      <c r="EO183" s="104"/>
      <c r="EP183" s="104"/>
      <c r="EQ183" s="104"/>
      <c r="ER183" s="104"/>
      <c r="ES183" s="104"/>
      <c r="ET183" s="104"/>
      <c r="EU183" s="104"/>
      <c r="EV183" s="104"/>
      <c r="EW183" s="104"/>
      <c r="EX183" s="104"/>
      <c r="EY183" s="104"/>
      <c r="EZ183" s="104"/>
      <c r="FA183" s="104"/>
      <c r="FB183" s="104"/>
      <c r="FC183" s="104"/>
      <c r="FD183" s="104"/>
      <c r="FE183" s="104"/>
      <c r="FF183" s="104"/>
      <c r="FG183" s="104"/>
      <c r="FH183" s="104"/>
      <c r="FI183" s="104"/>
      <c r="FJ183" s="104"/>
      <c r="FK183" s="104"/>
      <c r="FL183" s="104"/>
      <c r="FM183" s="104"/>
      <c r="FN183" s="104"/>
      <c r="FO183" s="104"/>
      <c r="FP183" s="104"/>
      <c r="FQ183" s="104"/>
      <c r="FR183" s="104"/>
      <c r="FS183" s="104"/>
      <c r="FT183" s="104"/>
      <c r="FU183" s="104"/>
      <c r="FV183" s="104"/>
      <c r="FW183" s="104"/>
      <c r="FX183" s="104"/>
      <c r="FY183" s="104"/>
      <c r="FZ183" s="104"/>
      <c r="GA183" s="104"/>
      <c r="GB183" s="104"/>
      <c r="GC183" s="104"/>
      <c r="GD183" s="104"/>
      <c r="GE183" s="104"/>
      <c r="GF183" s="104"/>
      <c r="GG183" s="104"/>
      <c r="GH183" s="104"/>
      <c r="GI183" s="104"/>
      <c r="GJ183" s="104"/>
      <c r="GK183" s="104"/>
      <c r="GL183" s="104"/>
      <c r="GM183" s="104"/>
      <c r="GN183" s="104"/>
      <c r="GO183" s="104"/>
      <c r="GP183" s="104"/>
      <c r="GQ183" s="104"/>
      <c r="GR183" s="104"/>
      <c r="GS183" s="104"/>
      <c r="GT183" s="104"/>
      <c r="GU183" s="104"/>
      <c r="GV183" s="104"/>
      <c r="GW183" s="104"/>
      <c r="GX183" s="104"/>
      <c r="GY183" s="104"/>
      <c r="GZ183" s="104"/>
      <c r="HA183" s="104"/>
      <c r="HB183" s="104"/>
      <c r="HC183" s="104"/>
      <c r="HD183" s="104"/>
      <c r="HE183" s="104"/>
      <c r="HF183" s="104"/>
      <c r="HG183" s="104"/>
      <c r="HH183" s="104"/>
      <c r="HI183" s="104"/>
      <c r="HJ183" s="104"/>
      <c r="HK183" s="104"/>
      <c r="HL183" s="104"/>
      <c r="HM183" s="104"/>
      <c r="HN183" s="104"/>
      <c r="HO183" s="104"/>
      <c r="HP183" s="104"/>
      <c r="HQ183" s="104"/>
      <c r="HR183" s="104"/>
      <c r="HS183" s="104"/>
      <c r="HT183" s="104"/>
      <c r="HU183" s="104"/>
      <c r="HV183" s="104"/>
      <c r="HW183" s="104"/>
      <c r="HX183" s="104"/>
      <c r="HY183" s="104"/>
      <c r="HZ183" s="104"/>
      <c r="IA183" s="104"/>
      <c r="IB183" s="104"/>
      <c r="IC183" s="104"/>
      <c r="ID183" s="104"/>
      <c r="IE183" s="104"/>
      <c r="IF183" s="104"/>
      <c r="IG183" s="104"/>
      <c r="IH183" s="104"/>
      <c r="II183" s="104"/>
      <c r="IJ183" s="104"/>
      <c r="IK183" s="104"/>
      <c r="IL183" s="104"/>
      <c r="IM183" s="104"/>
      <c r="IN183" s="104"/>
      <c r="IO183" s="104"/>
      <c r="IP183" s="104"/>
      <c r="IQ183" s="104"/>
      <c r="IR183" s="104"/>
      <c r="IS183" s="104"/>
      <c r="IT183" s="104"/>
      <c r="IU183" s="104"/>
      <c r="IV183" s="104"/>
    </row>
    <row r="184" spans="1:256" x14ac:dyDescent="0.2">
      <c r="A184" s="75"/>
      <c r="B184" s="75"/>
      <c r="C184" s="75"/>
      <c r="D184" s="97" t="s">
        <v>213</v>
      </c>
      <c r="E184" s="97"/>
      <c r="F184" s="97"/>
      <c r="G184" s="97"/>
      <c r="H184" s="97"/>
      <c r="I184" s="97"/>
      <c r="J184" s="98">
        <f>J175</f>
        <v>34099.199999999997</v>
      </c>
      <c r="K184" s="98"/>
      <c r="L184" s="98">
        <f>L175*0.925</f>
        <v>92246.22</v>
      </c>
      <c r="M184" s="103"/>
    </row>
    <row r="185" spans="1:256" x14ac:dyDescent="0.2">
      <c r="A185" s="75"/>
      <c r="B185" s="75"/>
      <c r="C185" s="75"/>
      <c r="D185" s="105" t="s">
        <v>214</v>
      </c>
      <c r="E185" s="97"/>
      <c r="F185" s="97"/>
      <c r="G185" s="97"/>
      <c r="H185" s="97"/>
      <c r="I185" s="97"/>
      <c r="J185" s="106">
        <v>0</v>
      </c>
      <c r="K185" s="98"/>
      <c r="L185" s="106">
        <v>0</v>
      </c>
      <c r="M185" s="103"/>
    </row>
    <row r="186" spans="1:256" x14ac:dyDescent="0.2">
      <c r="A186" s="75"/>
      <c r="B186" s="75"/>
      <c r="C186" s="75"/>
      <c r="D186" s="97" t="s">
        <v>215</v>
      </c>
      <c r="E186" s="97"/>
      <c r="F186" s="97"/>
      <c r="G186" s="97"/>
      <c r="H186" s="97"/>
      <c r="I186" s="97"/>
      <c r="J186" s="98">
        <f>J183*0.15</f>
        <v>375.83</v>
      </c>
      <c r="K186" s="98"/>
      <c r="L186" s="98">
        <f>L183*0.15</f>
        <v>8322.49</v>
      </c>
      <c r="M186" s="103"/>
    </row>
    <row r="187" spans="1:256" x14ac:dyDescent="0.2">
      <c r="A187" s="75"/>
      <c r="B187" s="75"/>
      <c r="C187" s="75"/>
      <c r="D187" s="99" t="s">
        <v>218</v>
      </c>
      <c r="E187" s="100"/>
      <c r="F187" s="100"/>
      <c r="G187" s="100"/>
      <c r="H187" s="100"/>
      <c r="I187" s="100"/>
      <c r="J187" s="102">
        <f>J186+J181</f>
        <v>42563.81</v>
      </c>
      <c r="K187" s="100"/>
      <c r="L187" s="102">
        <f>L186+L181</f>
        <v>237183.95</v>
      </c>
      <c r="M187" s="103"/>
    </row>
    <row r="188" spans="1:256" x14ac:dyDescent="0.2">
      <c r="A188" s="75"/>
      <c r="B188" s="75"/>
      <c r="C188" s="75"/>
      <c r="D188" s="107"/>
      <c r="E188" s="107"/>
      <c r="F188" s="107"/>
      <c r="G188" s="107"/>
      <c r="H188" s="107"/>
      <c r="I188" s="107"/>
      <c r="J188" s="107"/>
      <c r="K188" s="107"/>
      <c r="L188" s="107"/>
      <c r="M188" s="103"/>
    </row>
    <row r="189" spans="1:256" x14ac:dyDescent="0.2">
      <c r="A189" s="75"/>
      <c r="B189" s="75"/>
      <c r="C189" s="75"/>
      <c r="D189" s="107"/>
      <c r="E189" s="107"/>
      <c r="F189" s="107"/>
      <c r="G189" s="107"/>
      <c r="H189" s="107"/>
      <c r="I189" s="107"/>
      <c r="J189" s="107"/>
      <c r="K189" s="107"/>
      <c r="L189" s="107"/>
      <c r="M189" s="103"/>
    </row>
    <row r="190" spans="1:256" x14ac:dyDescent="0.2">
      <c r="A190" s="75"/>
      <c r="B190" s="75"/>
      <c r="C190" s="75"/>
      <c r="D190" s="108" t="s">
        <v>219</v>
      </c>
      <c r="E190" s="109"/>
      <c r="F190" s="109"/>
      <c r="G190" s="109"/>
      <c r="H190" s="109"/>
      <c r="I190" s="110"/>
      <c r="J190" s="111">
        <f>J187</f>
        <v>42563.81</v>
      </c>
      <c r="K190" s="112"/>
      <c r="L190" s="111">
        <f>L187</f>
        <v>237183.95</v>
      </c>
      <c r="M190" s="103"/>
    </row>
    <row r="191" spans="1:256" x14ac:dyDescent="0.2">
      <c r="A191" s="75"/>
      <c r="B191" s="75"/>
      <c r="C191" s="75"/>
      <c r="D191" s="113" t="s">
        <v>220</v>
      </c>
      <c r="E191" s="114"/>
      <c r="F191" s="114"/>
      <c r="G191" s="114"/>
      <c r="H191" s="114"/>
      <c r="I191" s="115"/>
      <c r="J191" s="116">
        <f>J182</f>
        <v>42187.98</v>
      </c>
      <c r="K191" s="117"/>
      <c r="L191" s="116">
        <f>L182</f>
        <v>228861.46</v>
      </c>
      <c r="M191" s="103"/>
    </row>
    <row r="192" spans="1:256" x14ac:dyDescent="0.2">
      <c r="A192" s="75"/>
      <c r="B192" s="75"/>
      <c r="C192" s="75"/>
      <c r="D192" s="113" t="s">
        <v>221</v>
      </c>
      <c r="E192" s="114"/>
      <c r="F192" s="114"/>
      <c r="G192" s="114"/>
      <c r="H192" s="114"/>
      <c r="I192" s="115"/>
      <c r="J192" s="116">
        <f>J186</f>
        <v>375.83</v>
      </c>
      <c r="K192" s="118"/>
      <c r="L192" s="116">
        <f>L186</f>
        <v>8322.49</v>
      </c>
      <c r="M192" s="103"/>
    </row>
    <row r="193" spans="1:14" x14ac:dyDescent="0.2">
      <c r="A193" s="75"/>
      <c r="B193" s="75"/>
      <c r="C193" s="75"/>
      <c r="D193" s="113" t="s">
        <v>222</v>
      </c>
      <c r="E193" s="114"/>
      <c r="F193" s="114"/>
      <c r="G193" s="114"/>
      <c r="H193" s="114"/>
      <c r="I193" s="115"/>
      <c r="J193" s="116">
        <v>0</v>
      </c>
      <c r="K193" s="116"/>
      <c r="L193" s="116">
        <v>0</v>
      </c>
      <c r="M193" s="103"/>
    </row>
    <row r="194" spans="1:14" x14ac:dyDescent="0.2">
      <c r="A194" s="75"/>
      <c r="B194" s="75"/>
      <c r="C194" s="75"/>
      <c r="D194" s="113" t="s">
        <v>223</v>
      </c>
      <c r="E194" s="114"/>
      <c r="F194" s="114"/>
      <c r="G194" s="114"/>
      <c r="H194" s="114"/>
      <c r="I194" s="115"/>
      <c r="J194" s="119">
        <v>0</v>
      </c>
      <c r="K194" s="119"/>
      <c r="L194" s="119">
        <v>0</v>
      </c>
      <c r="M194" s="103"/>
    </row>
    <row r="198" spans="1:14" x14ac:dyDescent="0.2">
      <c r="A198" s="544" t="s">
        <v>224</v>
      </c>
      <c r="B198" s="544"/>
      <c r="C198" s="544"/>
      <c r="D198" s="544"/>
      <c r="E198" s="544"/>
      <c r="F198" s="544"/>
      <c r="G198" s="544"/>
      <c r="H198" s="544"/>
      <c r="I198" s="544"/>
      <c r="J198" s="120"/>
      <c r="K198" s="545" t="s">
        <v>228</v>
      </c>
      <c r="L198" s="545"/>
      <c r="M198" s="103"/>
      <c r="N198" s="104"/>
    </row>
    <row r="199" spans="1:14" x14ac:dyDescent="0.2">
      <c r="A199" s="107"/>
      <c r="B199" s="107"/>
      <c r="C199" s="107"/>
      <c r="D199" s="546"/>
      <c r="E199" s="546"/>
      <c r="F199" s="107"/>
      <c r="G199" s="107"/>
      <c r="H199" s="547"/>
      <c r="I199" s="547"/>
      <c r="J199" s="547"/>
      <c r="K199" s="547"/>
      <c r="L199" s="547"/>
      <c r="M199" s="103"/>
      <c r="N199" s="104"/>
    </row>
    <row r="200" spans="1:14" x14ac:dyDescent="0.2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2"/>
      <c r="N200" s="123"/>
    </row>
    <row r="201" spans="1:14" x14ac:dyDescent="0.2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2"/>
      <c r="N201" s="123"/>
    </row>
    <row r="202" spans="1:14" x14ac:dyDescent="0.2">
      <c r="A202" s="124" t="s">
        <v>225</v>
      </c>
      <c r="B202" s="124"/>
      <c r="C202" s="124"/>
      <c r="D202" s="124"/>
      <c r="E202" s="124"/>
      <c r="F202" s="124"/>
      <c r="G202" s="124"/>
      <c r="H202" s="124"/>
      <c r="I202" s="124"/>
      <c r="J202" s="545" t="s">
        <v>226</v>
      </c>
      <c r="K202" s="545"/>
      <c r="L202" s="545"/>
      <c r="M202" s="103"/>
      <c r="N202" s="104"/>
    </row>
  </sheetData>
  <mergeCells count="126">
    <mergeCell ref="D168:H168"/>
    <mergeCell ref="D169:H169"/>
    <mergeCell ref="A198:I198"/>
    <mergeCell ref="K198:L198"/>
    <mergeCell ref="D199:E199"/>
    <mergeCell ref="H199:L199"/>
    <mergeCell ref="J202:L202"/>
    <mergeCell ref="A28:L28"/>
    <mergeCell ref="A29:L29"/>
    <mergeCell ref="A45:L45"/>
    <mergeCell ref="A46:L46"/>
    <mergeCell ref="D166:H166"/>
    <mergeCell ref="I166:J166"/>
    <mergeCell ref="K166:L166"/>
    <mergeCell ref="D164:H164"/>
    <mergeCell ref="I164:J164"/>
    <mergeCell ref="K164:L164"/>
    <mergeCell ref="D165:H165"/>
    <mergeCell ref="I165:J165"/>
    <mergeCell ref="K165:L165"/>
    <mergeCell ref="A157:H157"/>
    <mergeCell ref="I157:J157"/>
    <mergeCell ref="K157:L157"/>
    <mergeCell ref="A161:H161"/>
    <mergeCell ref="I1:L1"/>
    <mergeCell ref="J4:L4"/>
    <mergeCell ref="J5:L5"/>
    <mergeCell ref="J6:L7"/>
    <mergeCell ref="A7:B7"/>
    <mergeCell ref="C7:H7"/>
    <mergeCell ref="C8:H8"/>
    <mergeCell ref="A9:B9"/>
    <mergeCell ref="J34:J38"/>
    <mergeCell ref="K34:K38"/>
    <mergeCell ref="L34:L38"/>
    <mergeCell ref="A35:A38"/>
    <mergeCell ref="B35:B38"/>
    <mergeCell ref="A30:L30"/>
    <mergeCell ref="A31:L31"/>
    <mergeCell ref="I24:I25"/>
    <mergeCell ref="J24:J25"/>
    <mergeCell ref="K24:L24"/>
    <mergeCell ref="A27:L27"/>
    <mergeCell ref="J21:L21"/>
    <mergeCell ref="J22:L22"/>
    <mergeCell ref="G20:H20"/>
    <mergeCell ref="J20:L20"/>
    <mergeCell ref="C16:H16"/>
    <mergeCell ref="I161:J161"/>
    <mergeCell ref="K161:L161"/>
    <mergeCell ref="I149:J149"/>
    <mergeCell ref="K149:L149"/>
    <mergeCell ref="I151:J151"/>
    <mergeCell ref="K151:L151"/>
    <mergeCell ref="A153:H153"/>
    <mergeCell ref="I153:J153"/>
    <mergeCell ref="K153:L153"/>
    <mergeCell ref="I131:J131"/>
    <mergeCell ref="K131:L131"/>
    <mergeCell ref="I133:J133"/>
    <mergeCell ref="K133:L133"/>
    <mergeCell ref="I144:J144"/>
    <mergeCell ref="K144:L144"/>
    <mergeCell ref="I113:J113"/>
    <mergeCell ref="K113:L113"/>
    <mergeCell ref="I115:J115"/>
    <mergeCell ref="K115:L115"/>
    <mergeCell ref="I126:J126"/>
    <mergeCell ref="K126:L126"/>
    <mergeCell ref="I95:J95"/>
    <mergeCell ref="K95:L95"/>
    <mergeCell ref="I97:J97"/>
    <mergeCell ref="K97:L97"/>
    <mergeCell ref="I108:J108"/>
    <mergeCell ref="K108:L108"/>
    <mergeCell ref="I77:J77"/>
    <mergeCell ref="K77:L77"/>
    <mergeCell ref="I79:J79"/>
    <mergeCell ref="K79:L79"/>
    <mergeCell ref="I90:J90"/>
    <mergeCell ref="K90:L90"/>
    <mergeCell ref="I59:J59"/>
    <mergeCell ref="K59:L59"/>
    <mergeCell ref="I61:J61"/>
    <mergeCell ref="K61:L61"/>
    <mergeCell ref="I72:J72"/>
    <mergeCell ref="K72:L72"/>
    <mergeCell ref="A51:L51"/>
    <mergeCell ref="I53:J53"/>
    <mergeCell ref="K53:L53"/>
    <mergeCell ref="I55:J55"/>
    <mergeCell ref="K55:L55"/>
    <mergeCell ref="I57:J57"/>
    <mergeCell ref="K57:L57"/>
    <mergeCell ref="A49:L49"/>
    <mergeCell ref="A41:L41"/>
    <mergeCell ref="A42:L42"/>
    <mergeCell ref="A43:L43"/>
    <mergeCell ref="A44:L44"/>
    <mergeCell ref="A33:L33"/>
    <mergeCell ref="A34:B34"/>
    <mergeCell ref="C34:C38"/>
    <mergeCell ref="D34:D38"/>
    <mergeCell ref="E34:E38"/>
    <mergeCell ref="F34:F38"/>
    <mergeCell ref="G34:G38"/>
    <mergeCell ref="H34:H38"/>
    <mergeCell ref="I34:I38"/>
    <mergeCell ref="C18:H18"/>
    <mergeCell ref="G19:I19"/>
    <mergeCell ref="J19:L19"/>
    <mergeCell ref="C9:H9"/>
    <mergeCell ref="C10:H10"/>
    <mergeCell ref="J10:L11"/>
    <mergeCell ref="C11:H11"/>
    <mergeCell ref="C12:H12"/>
    <mergeCell ref="C15:H15"/>
    <mergeCell ref="I2:L2"/>
    <mergeCell ref="I3:L3"/>
    <mergeCell ref="J8:L9"/>
    <mergeCell ref="C13:H13"/>
    <mergeCell ref="C14:H14"/>
    <mergeCell ref="J14:L15"/>
    <mergeCell ref="J12:L13"/>
    <mergeCell ref="J16:L17"/>
    <mergeCell ref="C17:H17"/>
  </mergeCells>
  <pageMargins left="0.39370078740157483" right="0.19685039370078741" top="0.19685039370078741" bottom="0.39370078740157483" header="0.19685039370078741" footer="0.19685039370078741"/>
  <pageSetup paperSize="9" scale="58" fitToHeight="0" orientation="portrait" useFirstPageNumber="1" r:id="rId1"/>
  <headerFooter>
    <oddHeader>&amp;L&amp;8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V185"/>
  <sheetViews>
    <sheetView view="pageBreakPreview" topLeftCell="A136" zoomScale="70" zoomScaleNormal="100" zoomScaleSheetLayoutView="70" workbookViewId="0">
      <selection activeCell="L170" sqref="L170"/>
    </sheetView>
  </sheetViews>
  <sheetFormatPr defaultRowHeight="12.75" x14ac:dyDescent="0.2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9" max="9" width="10.7109375" customWidth="1"/>
    <col min="10" max="12" width="12.7109375" customWidth="1"/>
    <col min="15" max="30" width="0" hidden="1" customWidth="1"/>
    <col min="31" max="31" width="155.7109375" hidden="1" customWidth="1"/>
    <col min="32" max="32" width="109.7109375" hidden="1" customWidth="1"/>
    <col min="33" max="33" width="0" hidden="1" customWidth="1"/>
    <col min="34" max="34" width="88.7109375" hidden="1" customWidth="1"/>
    <col min="35" max="36" width="0" hidden="1" customWidth="1"/>
  </cols>
  <sheetData>
    <row r="1" spans="1:12" s="32" customFormat="1" ht="14.25" customHeight="1" x14ac:dyDescent="0.25">
      <c r="A1" s="533" t="s">
        <v>229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1:12" s="32" customFormat="1" ht="37.5" customHeight="1" x14ac:dyDescent="0.2">
      <c r="A2" s="534" t="s">
        <v>53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25" x14ac:dyDescent="0.2">
      <c r="A4" s="519" t="s">
        <v>6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ht="14.25" x14ac:dyDescent="0.2">
      <c r="A5" s="520" t="s">
        <v>7</v>
      </c>
      <c r="B5" s="520"/>
      <c r="C5" s="520" t="s">
        <v>8</v>
      </c>
      <c r="D5" s="520" t="s">
        <v>9</v>
      </c>
      <c r="E5" s="520" t="s">
        <v>10</v>
      </c>
      <c r="F5" s="520" t="s">
        <v>11</v>
      </c>
      <c r="G5" s="520" t="s">
        <v>12</v>
      </c>
      <c r="H5" s="521" t="s">
        <v>13</v>
      </c>
      <c r="I5" s="521" t="s">
        <v>14</v>
      </c>
      <c r="J5" s="520" t="s">
        <v>15</v>
      </c>
      <c r="K5" s="520" t="s">
        <v>16</v>
      </c>
      <c r="L5" s="520" t="s">
        <v>17</v>
      </c>
    </row>
    <row r="6" spans="1:12" x14ac:dyDescent="0.2">
      <c r="A6" s="521" t="s">
        <v>18</v>
      </c>
      <c r="B6" s="521" t="s">
        <v>19</v>
      </c>
      <c r="C6" s="520"/>
      <c r="D6" s="520"/>
      <c r="E6" s="520"/>
      <c r="F6" s="520"/>
      <c r="G6" s="520"/>
      <c r="H6" s="522"/>
      <c r="I6" s="522"/>
      <c r="J6" s="520"/>
      <c r="K6" s="520"/>
      <c r="L6" s="520"/>
    </row>
    <row r="7" spans="1:12" x14ac:dyDescent="0.2">
      <c r="A7" s="522"/>
      <c r="B7" s="522"/>
      <c r="C7" s="520"/>
      <c r="D7" s="520"/>
      <c r="E7" s="520"/>
      <c r="F7" s="520"/>
      <c r="G7" s="520"/>
      <c r="H7" s="522"/>
      <c r="I7" s="522"/>
      <c r="J7" s="520"/>
      <c r="K7" s="520"/>
      <c r="L7" s="520"/>
    </row>
    <row r="8" spans="1:12" ht="20.100000000000001" customHeight="1" x14ac:dyDescent="0.2">
      <c r="A8" s="522"/>
      <c r="B8" s="522"/>
      <c r="C8" s="520"/>
      <c r="D8" s="520"/>
      <c r="E8" s="520"/>
      <c r="F8" s="520"/>
      <c r="G8" s="520"/>
      <c r="H8" s="522"/>
      <c r="I8" s="522"/>
      <c r="J8" s="520"/>
      <c r="K8" s="520"/>
      <c r="L8" s="520"/>
    </row>
    <row r="9" spans="1:12" ht="20.100000000000001" customHeight="1" x14ac:dyDescent="0.2">
      <c r="A9" s="523"/>
      <c r="B9" s="523"/>
      <c r="C9" s="520"/>
      <c r="D9" s="520"/>
      <c r="E9" s="520"/>
      <c r="F9" s="520"/>
      <c r="G9" s="520"/>
      <c r="H9" s="523"/>
      <c r="I9" s="523"/>
      <c r="J9" s="520"/>
      <c r="K9" s="520"/>
      <c r="L9" s="520"/>
    </row>
    <row r="10" spans="1:12" ht="14.25" x14ac:dyDescent="0.2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  <c r="H10" s="3">
        <v>8</v>
      </c>
      <c r="I10" s="3">
        <v>9</v>
      </c>
      <c r="J10" s="3">
        <v>10</v>
      </c>
      <c r="K10" s="3">
        <v>11</v>
      </c>
      <c r="L10" s="3">
        <v>12</v>
      </c>
    </row>
    <row r="12" spans="1:12" s="32" customFormat="1" ht="15.75" x14ac:dyDescent="0.25">
      <c r="A12" s="515" t="s">
        <v>57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1:12" s="32" customFormat="1" ht="15.75" x14ac:dyDescent="0.25">
      <c r="A13" s="515" t="s">
        <v>58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1:12" s="32" customFormat="1" ht="15.75" x14ac:dyDescent="0.25">
      <c r="A14" s="515" t="s">
        <v>59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1:12" s="32" customFormat="1" ht="15.75" hidden="1" x14ac:dyDescent="0.25">
      <c r="A15" s="516" t="s">
        <v>60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</row>
    <row r="16" spans="1:12" s="32" customFormat="1" ht="15.75" hidden="1" x14ac:dyDescent="0.2">
      <c r="A16" s="549" t="s">
        <v>61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49"/>
      <c r="L16" s="549"/>
    </row>
    <row r="17" spans="1:22" s="32" customFormat="1" ht="15.75" hidden="1" x14ac:dyDescent="0.2">
      <c r="A17" s="549" t="s">
        <v>62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</row>
    <row r="18" spans="1:22" s="32" customFormat="1" ht="14.25" x14ac:dyDescent="0.2">
      <c r="A18" s="33" t="s">
        <v>63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2">
        <v>779</v>
      </c>
    </row>
    <row r="19" spans="1:22" ht="57" x14ac:dyDescent="0.2">
      <c r="A19" s="4">
        <v>1</v>
      </c>
      <c r="B19" s="4" t="str">
        <f>[80]Source!E30</f>
        <v>2</v>
      </c>
      <c r="C19" s="5" t="str">
        <f>[80]Source!F30</f>
        <v>4.8-83-8</v>
      </c>
      <c r="D19" s="5" t="s">
        <v>33</v>
      </c>
      <c r="E19" s="6" t="str">
        <f>[80]Source!H30</f>
        <v>100 шт.</v>
      </c>
      <c r="F19" s="2">
        <f>[80]Source!I30</f>
        <v>1.65</v>
      </c>
      <c r="G19" s="7"/>
      <c r="H19" s="8"/>
      <c r="I19" s="2"/>
      <c r="J19" s="9"/>
      <c r="K19" s="2"/>
      <c r="L19" s="9"/>
      <c r="Q19">
        <f>[80]Source!X30</f>
        <v>85.21</v>
      </c>
      <c r="R19">
        <f>[80]Source!X31</f>
        <v>1639.22</v>
      </c>
      <c r="S19">
        <f>[80]Source!Y30</f>
        <v>53.26</v>
      </c>
      <c r="T19">
        <f>[80]Source!Y31</f>
        <v>783.18</v>
      </c>
      <c r="U19">
        <f>ROUND((175/100)*ROUND([80]Source!R30, 2), 2)</f>
        <v>27.83</v>
      </c>
      <c r="V19">
        <f>ROUND((157/100)*ROUND([80]Source!R31, 2), 2)</f>
        <v>597.62</v>
      </c>
    </row>
    <row r="20" spans="1:22" ht="14.25" x14ac:dyDescent="0.2">
      <c r="A20" s="4"/>
      <c r="B20" s="4"/>
      <c r="C20" s="5"/>
      <c r="D20" s="5" t="s">
        <v>20</v>
      </c>
      <c r="E20" s="6"/>
      <c r="F20" s="2"/>
      <c r="G20" s="7">
        <f>[80]Source!AO30</f>
        <v>25.4</v>
      </c>
      <c r="H20" s="8" t="str">
        <f>[80]Source!DG30</f>
        <v>)*1,67</v>
      </c>
      <c r="I20" s="2">
        <f>[80]Source!AV31</f>
        <v>1.087</v>
      </c>
      <c r="J20" s="9">
        <f>[80]Source!S30</f>
        <v>76.08</v>
      </c>
      <c r="K20" s="2">
        <f>IF([80]Source!BA31&lt;&gt; 0, [80]Source!BA31, 1)</f>
        <v>23.94</v>
      </c>
      <c r="L20" s="9">
        <f>[80]Source!S31</f>
        <v>1821.36</v>
      </c>
    </row>
    <row r="21" spans="1:22" ht="14.25" x14ac:dyDescent="0.2">
      <c r="A21" s="4"/>
      <c r="B21" s="4"/>
      <c r="C21" s="5"/>
      <c r="D21" s="5" t="s">
        <v>21</v>
      </c>
      <c r="E21" s="6"/>
      <c r="F21" s="2"/>
      <c r="G21" s="7">
        <f>[80]Source!AM30</f>
        <v>22.86</v>
      </c>
      <c r="H21" s="8" t="str">
        <f>[80]Source!DE30</f>
        <v/>
      </c>
      <c r="I21" s="2">
        <f>[80]Source!AV31</f>
        <v>1.087</v>
      </c>
      <c r="J21" s="9">
        <f>[80]Source!Q30-J30</f>
        <v>41</v>
      </c>
      <c r="K21" s="2">
        <f>IF([80]Source!BB31&lt;&gt; 0, [80]Source!BB31, 1)</f>
        <v>9.67</v>
      </c>
      <c r="L21" s="9">
        <f>[80]Source!Q31-L30</f>
        <v>396.45</v>
      </c>
    </row>
    <row r="22" spans="1:22" ht="14.25" x14ac:dyDescent="0.2">
      <c r="A22" s="4"/>
      <c r="B22" s="4"/>
      <c r="C22" s="5"/>
      <c r="D22" s="5" t="s">
        <v>22</v>
      </c>
      <c r="E22" s="6"/>
      <c r="F22" s="2"/>
      <c r="G22" s="7">
        <f>[80]Source!AN30</f>
        <v>5.31</v>
      </c>
      <c r="H22" s="8" t="str">
        <f>[80]Source!DE30</f>
        <v/>
      </c>
      <c r="I22" s="2">
        <f>[80]Source!AV31</f>
        <v>1.087</v>
      </c>
      <c r="J22" s="10">
        <f>[80]Source!R30-J31</f>
        <v>9.52</v>
      </c>
      <c r="K22" s="2">
        <f>IF([80]Source!BS31&lt;&gt; 0, [80]Source!BS31, 1)</f>
        <v>23.94</v>
      </c>
      <c r="L22" s="10">
        <f>[80]Source!R31-L31</f>
        <v>227.89</v>
      </c>
    </row>
    <row r="23" spans="1:22" ht="14.25" x14ac:dyDescent="0.2">
      <c r="A23" s="4"/>
      <c r="B23" s="4"/>
      <c r="C23" s="5"/>
      <c r="D23" s="5" t="s">
        <v>23</v>
      </c>
      <c r="E23" s="6"/>
      <c r="F23" s="2"/>
      <c r="G23" s="7">
        <f>[80]Source!AL30</f>
        <v>2.38</v>
      </c>
      <c r="H23" s="8" t="str">
        <f>[80]Source!DD30</f>
        <v/>
      </c>
      <c r="I23" s="2">
        <f>[80]Source!AW31</f>
        <v>1</v>
      </c>
      <c r="J23" s="9">
        <f>[80]Source!P30</f>
        <v>3.93</v>
      </c>
      <c r="K23" s="2">
        <f>IF([80]Source!BC31&lt;&gt; 0, [80]Source!BC31, 1)</f>
        <v>5.56</v>
      </c>
      <c r="L23" s="9">
        <f>[80]Source!P31</f>
        <v>21.85</v>
      </c>
    </row>
    <row r="24" spans="1:22" ht="14.25" x14ac:dyDescent="0.2">
      <c r="A24" s="4"/>
      <c r="B24" s="4"/>
      <c r="C24" s="5"/>
      <c r="D24" s="5" t="s">
        <v>24</v>
      </c>
      <c r="E24" s="6" t="s">
        <v>25</v>
      </c>
      <c r="F24" s="2">
        <f>[80]Source!DN31</f>
        <v>112</v>
      </c>
      <c r="G24" s="7"/>
      <c r="H24" s="8"/>
      <c r="I24" s="2"/>
      <c r="J24" s="9">
        <f>SUM(Q19:Q23)</f>
        <v>85.21</v>
      </c>
      <c r="K24" s="2">
        <f>[80]Source!BZ31</f>
        <v>90</v>
      </c>
      <c r="L24" s="9">
        <f>SUM(R19:R23)</f>
        <v>1639.22</v>
      </c>
    </row>
    <row r="25" spans="1:22" ht="14.25" x14ac:dyDescent="0.2">
      <c r="A25" s="4"/>
      <c r="B25" s="4"/>
      <c r="C25" s="5"/>
      <c r="D25" s="5" t="s">
        <v>26</v>
      </c>
      <c r="E25" s="6" t="s">
        <v>25</v>
      </c>
      <c r="F25" s="2">
        <f>[80]Source!DO31</f>
        <v>70</v>
      </c>
      <c r="G25" s="7"/>
      <c r="H25" s="8"/>
      <c r="I25" s="2"/>
      <c r="J25" s="9">
        <f>SUM(S19:S24)</f>
        <v>53.26</v>
      </c>
      <c r="K25" s="2">
        <f>[80]Source!CA31</f>
        <v>43</v>
      </c>
      <c r="L25" s="9">
        <f>SUM(T19:T24)</f>
        <v>783.18</v>
      </c>
    </row>
    <row r="26" spans="1:22" ht="14.25" x14ac:dyDescent="0.2">
      <c r="A26" s="4"/>
      <c r="B26" s="4"/>
      <c r="C26" s="5"/>
      <c r="D26" s="5" t="s">
        <v>27</v>
      </c>
      <c r="E26" s="6" t="s">
        <v>25</v>
      </c>
      <c r="F26" s="2">
        <f>175</f>
        <v>175</v>
      </c>
      <c r="G26" s="7"/>
      <c r="H26" s="8"/>
      <c r="I26" s="2"/>
      <c r="J26" s="9">
        <f>SUM(U19:U25)-J32</f>
        <v>16.66</v>
      </c>
      <c r="K26" s="2">
        <f>157</f>
        <v>157</v>
      </c>
      <c r="L26" s="9">
        <f>SUM(V19:V25)-L32</f>
        <v>357.79</v>
      </c>
    </row>
    <row r="27" spans="1:22" ht="14.25" x14ac:dyDescent="0.2">
      <c r="A27" s="4"/>
      <c r="B27" s="4"/>
      <c r="C27" s="5"/>
      <c r="D27" s="5" t="s">
        <v>28</v>
      </c>
      <c r="E27" s="6" t="s">
        <v>29</v>
      </c>
      <c r="F27" s="2">
        <f>[80]Source!AQ30</f>
        <v>2.06</v>
      </c>
      <c r="G27" s="7"/>
      <c r="H27" s="8" t="str">
        <f>[80]Source!DI30</f>
        <v/>
      </c>
      <c r="I27" s="2">
        <f>[80]Source!AV31</f>
        <v>1.087</v>
      </c>
      <c r="J27" s="9">
        <f>[80]Source!U30</f>
        <v>3.69</v>
      </c>
      <c r="K27" s="2"/>
      <c r="L27" s="9"/>
    </row>
    <row r="28" spans="1:22" ht="15" x14ac:dyDescent="0.25">
      <c r="I28" s="552">
        <f>J20+J21+J23+J24+J25+J26</f>
        <v>276.14</v>
      </c>
      <c r="J28" s="552"/>
      <c r="K28" s="552">
        <f>L20+L21+L23+L24+L25+L26</f>
        <v>5019.8500000000004</v>
      </c>
      <c r="L28" s="552"/>
      <c r="O28" s="11">
        <f>J20+J21+J23+J24+J25+J26</f>
        <v>276.14</v>
      </c>
      <c r="P28" s="11">
        <f>L20+L21+L23+L24+L25+L26</f>
        <v>5019.8500000000004</v>
      </c>
    </row>
    <row r="29" spans="1:22" ht="28.5" x14ac:dyDescent="0.2">
      <c r="A29" s="12"/>
      <c r="B29" s="12"/>
      <c r="C29" s="13"/>
      <c r="D29" s="13" t="s">
        <v>30</v>
      </c>
      <c r="E29" s="6"/>
      <c r="F29" s="14"/>
      <c r="G29" s="15"/>
      <c r="H29" s="6"/>
      <c r="I29" s="14"/>
      <c r="J29" s="10"/>
      <c r="K29" s="14"/>
      <c r="L29" s="10"/>
    </row>
    <row r="30" spans="1:22" ht="14.25" x14ac:dyDescent="0.2">
      <c r="A30" s="12"/>
      <c r="B30" s="12"/>
      <c r="C30" s="13"/>
      <c r="D30" s="13" t="s">
        <v>21</v>
      </c>
      <c r="E30" s="6"/>
      <c r="F30" s="14"/>
      <c r="G30" s="15">
        <f t="shared" ref="G30:L30" si="0">G31</f>
        <v>5.31</v>
      </c>
      <c r="H30" s="16" t="str">
        <f t="shared" si="0"/>
        <v>)*(1.67-1)</v>
      </c>
      <c r="I30" s="14">
        <f t="shared" si="0"/>
        <v>1.087</v>
      </c>
      <c r="J30" s="10">
        <f t="shared" si="0"/>
        <v>6.38</v>
      </c>
      <c r="K30" s="14">
        <f t="shared" si="0"/>
        <v>23.94</v>
      </c>
      <c r="L30" s="10">
        <f t="shared" si="0"/>
        <v>152.76</v>
      </c>
    </row>
    <row r="31" spans="1:22" ht="14.25" x14ac:dyDescent="0.2">
      <c r="A31" s="12"/>
      <c r="B31" s="12"/>
      <c r="C31" s="13"/>
      <c r="D31" s="13" t="s">
        <v>22</v>
      </c>
      <c r="E31" s="6"/>
      <c r="F31" s="14"/>
      <c r="G31" s="15">
        <f>[80]Source!AN30</f>
        <v>5.31</v>
      </c>
      <c r="H31" s="16" t="s">
        <v>31</v>
      </c>
      <c r="I31" s="14">
        <f>[80]Source!AV31</f>
        <v>1.087</v>
      </c>
      <c r="J31" s="10">
        <f>ROUND(F19*G31*I31*(1.67-1), 2)</f>
        <v>6.38</v>
      </c>
      <c r="K31" s="14">
        <f>IF([80]Source!BS31&lt;&gt; 0, [80]Source!BS31, 1)</f>
        <v>23.94</v>
      </c>
      <c r="L31" s="10">
        <f>ROUND(F19*G31*I31*(1.67-1)*K31, 2)</f>
        <v>152.76</v>
      </c>
    </row>
    <row r="32" spans="1:22" ht="14.25" x14ac:dyDescent="0.2">
      <c r="A32" s="12"/>
      <c r="B32" s="12"/>
      <c r="C32" s="13"/>
      <c r="D32" s="13" t="s">
        <v>27</v>
      </c>
      <c r="E32" s="6" t="s">
        <v>25</v>
      </c>
      <c r="F32" s="14">
        <f>175</f>
        <v>175</v>
      </c>
      <c r="G32" s="15"/>
      <c r="H32" s="6"/>
      <c r="I32" s="14"/>
      <c r="J32" s="10">
        <f>ROUND(J31*(F32/100), 2)</f>
        <v>11.17</v>
      </c>
      <c r="K32" s="14">
        <f>157</f>
        <v>157</v>
      </c>
      <c r="L32" s="10">
        <f>ROUND(L31*(K32/100), 2)</f>
        <v>239.83</v>
      </c>
    </row>
    <row r="33" spans="1:22" ht="15" x14ac:dyDescent="0.25">
      <c r="I33" s="552">
        <f>J32+J31</f>
        <v>17.55</v>
      </c>
      <c r="J33" s="552"/>
      <c r="K33" s="552">
        <f>L32+L31</f>
        <v>392.59</v>
      </c>
      <c r="L33" s="552"/>
      <c r="O33" s="11">
        <f>I33</f>
        <v>17.55</v>
      </c>
      <c r="P33" s="11">
        <f>K33</f>
        <v>392.59</v>
      </c>
    </row>
    <row r="35" spans="1:22" ht="15" x14ac:dyDescent="0.25">
      <c r="A35" s="17"/>
      <c r="B35" s="17"/>
      <c r="C35" s="18"/>
      <c r="D35" s="18" t="s">
        <v>32</v>
      </c>
      <c r="E35" s="19"/>
      <c r="F35" s="20"/>
      <c r="G35" s="21"/>
      <c r="H35" s="22"/>
      <c r="I35" s="525">
        <f>I28+I33</f>
        <v>293.69</v>
      </c>
      <c r="J35" s="525"/>
      <c r="K35" s="525">
        <f>K28+K33</f>
        <v>5412.44</v>
      </c>
      <c r="L35" s="525"/>
    </row>
    <row r="36" spans="1:22" ht="57" x14ac:dyDescent="0.2">
      <c r="A36" s="4">
        <v>2</v>
      </c>
      <c r="B36" s="4" t="str">
        <f>[80]Source!E32</f>
        <v>3</v>
      </c>
      <c r="C36" s="5" t="str">
        <f>[80]Source!F32</f>
        <v>4.8-83-7</v>
      </c>
      <c r="D36" s="5" t="s">
        <v>34</v>
      </c>
      <c r="E36" s="6" t="str">
        <f>[80]Source!H32</f>
        <v>100 шт.</v>
      </c>
      <c r="F36" s="2">
        <f>[80]Source!I32</f>
        <v>6.28</v>
      </c>
      <c r="G36" s="7"/>
      <c r="H36" s="8"/>
      <c r="I36" s="2"/>
      <c r="J36" s="9"/>
      <c r="K36" s="2"/>
      <c r="L36" s="9"/>
      <c r="Q36">
        <f>[80]Source!X32</f>
        <v>324.31</v>
      </c>
      <c r="R36">
        <f>[80]Source!X33</f>
        <v>6238.86</v>
      </c>
      <c r="S36">
        <f>[80]Source!Y32</f>
        <v>202.69</v>
      </c>
      <c r="T36">
        <f>[80]Source!Y33</f>
        <v>2980.79</v>
      </c>
      <c r="U36">
        <f>ROUND((175/100)*ROUND([80]Source!R32, 2), 2)</f>
        <v>39.31</v>
      </c>
      <c r="V36">
        <f>ROUND((157/100)*ROUND([80]Source!R33, 2), 2)</f>
        <v>844.17</v>
      </c>
    </row>
    <row r="37" spans="1:22" ht="14.25" x14ac:dyDescent="0.2">
      <c r="A37" s="4"/>
      <c r="B37" s="4"/>
      <c r="C37" s="5"/>
      <c r="D37" s="5" t="s">
        <v>20</v>
      </c>
      <c r="E37" s="6"/>
      <c r="F37" s="2"/>
      <c r="G37" s="7">
        <f>[80]Source!AO32</f>
        <v>25.4</v>
      </c>
      <c r="H37" s="8" t="str">
        <f>[80]Source!DG32</f>
        <v>)*1,67</v>
      </c>
      <c r="I37" s="2">
        <f>[80]Source!AV33</f>
        <v>1.087</v>
      </c>
      <c r="J37" s="9">
        <f>[80]Source!S32</f>
        <v>289.56</v>
      </c>
      <c r="K37" s="2">
        <f>IF([80]Source!BA33&lt;&gt; 0, [80]Source!BA33, 1)</f>
        <v>23.94</v>
      </c>
      <c r="L37" s="9">
        <f>[80]Source!S33</f>
        <v>6932.07</v>
      </c>
    </row>
    <row r="38" spans="1:22" ht="14.25" x14ac:dyDescent="0.2">
      <c r="A38" s="4"/>
      <c r="B38" s="4"/>
      <c r="C38" s="5"/>
      <c r="D38" s="5" t="s">
        <v>21</v>
      </c>
      <c r="E38" s="6"/>
      <c r="F38" s="2"/>
      <c r="G38" s="7">
        <f>[80]Source!AM32</f>
        <v>8.4700000000000006</v>
      </c>
      <c r="H38" s="8" t="str">
        <f>[80]Source!DE32</f>
        <v/>
      </c>
      <c r="I38" s="2">
        <f>[80]Source!AV33</f>
        <v>1.087</v>
      </c>
      <c r="J38" s="9">
        <f>[80]Source!Q32-J47</f>
        <v>57.82</v>
      </c>
      <c r="K38" s="2">
        <f>IF([80]Source!BB33&lt;&gt; 0, [80]Source!BB33, 1)</f>
        <v>9.67</v>
      </c>
      <c r="L38" s="9">
        <f>[80]Source!Q33-L47</f>
        <v>559.12</v>
      </c>
    </row>
    <row r="39" spans="1:22" ht="14.25" x14ac:dyDescent="0.2">
      <c r="A39" s="4"/>
      <c r="B39" s="4"/>
      <c r="C39" s="5"/>
      <c r="D39" s="5" t="s">
        <v>22</v>
      </c>
      <c r="E39" s="6"/>
      <c r="F39" s="2"/>
      <c r="G39" s="7">
        <f>[80]Source!AN32</f>
        <v>1.97</v>
      </c>
      <c r="H39" s="8" t="str">
        <f>[80]Source!DE32</f>
        <v/>
      </c>
      <c r="I39" s="2">
        <f>[80]Source!AV33</f>
        <v>1.087</v>
      </c>
      <c r="J39" s="10">
        <f>[80]Source!R32-J48</f>
        <v>13.45</v>
      </c>
      <c r="K39" s="2">
        <f>IF([80]Source!BS33&lt;&gt; 0, [80]Source!BS33, 1)</f>
        <v>23.94</v>
      </c>
      <c r="L39" s="10">
        <f>[80]Source!R33-L48</f>
        <v>321.99</v>
      </c>
    </row>
    <row r="40" spans="1:22" ht="14.25" x14ac:dyDescent="0.2">
      <c r="A40" s="4"/>
      <c r="B40" s="4"/>
      <c r="C40" s="5"/>
      <c r="D40" s="5" t="s">
        <v>23</v>
      </c>
      <c r="E40" s="6"/>
      <c r="F40" s="2"/>
      <c r="G40" s="7">
        <f>[80]Source!AL32</f>
        <v>1.19</v>
      </c>
      <c r="H40" s="8" t="str">
        <f>[80]Source!DD32</f>
        <v/>
      </c>
      <c r="I40" s="2">
        <f>[80]Source!AW33</f>
        <v>1</v>
      </c>
      <c r="J40" s="9">
        <f>[80]Source!P32</f>
        <v>7.47</v>
      </c>
      <c r="K40" s="2">
        <f>IF([80]Source!BC33&lt;&gt; 0, [80]Source!BC33, 1)</f>
        <v>5.56</v>
      </c>
      <c r="L40" s="9">
        <f>[80]Source!P33</f>
        <v>41.53</v>
      </c>
    </row>
    <row r="41" spans="1:22" ht="14.25" x14ac:dyDescent="0.2">
      <c r="A41" s="4"/>
      <c r="B41" s="4"/>
      <c r="C41" s="5"/>
      <c r="D41" s="5" t="s">
        <v>24</v>
      </c>
      <c r="E41" s="6" t="s">
        <v>25</v>
      </c>
      <c r="F41" s="2">
        <f>[80]Source!DN33</f>
        <v>112</v>
      </c>
      <c r="G41" s="7"/>
      <c r="H41" s="8"/>
      <c r="I41" s="2"/>
      <c r="J41" s="9">
        <f>SUM(Q36:Q40)</f>
        <v>324.31</v>
      </c>
      <c r="K41" s="2">
        <f>[80]Source!BZ33</f>
        <v>90</v>
      </c>
      <c r="L41" s="9">
        <f>SUM(R36:R40)</f>
        <v>6238.86</v>
      </c>
    </row>
    <row r="42" spans="1:22" ht="14.25" x14ac:dyDescent="0.2">
      <c r="A42" s="4"/>
      <c r="B42" s="4"/>
      <c r="C42" s="5"/>
      <c r="D42" s="5" t="s">
        <v>26</v>
      </c>
      <c r="E42" s="6" t="s">
        <v>25</v>
      </c>
      <c r="F42" s="2">
        <f>[80]Source!DO33</f>
        <v>70</v>
      </c>
      <c r="G42" s="7"/>
      <c r="H42" s="8"/>
      <c r="I42" s="2"/>
      <c r="J42" s="9">
        <f>SUM(S36:S41)</f>
        <v>202.69</v>
      </c>
      <c r="K42" s="2">
        <f>[80]Source!CA33</f>
        <v>43</v>
      </c>
      <c r="L42" s="9">
        <f>SUM(T36:T41)</f>
        <v>2980.79</v>
      </c>
    </row>
    <row r="43" spans="1:22" ht="14.25" x14ac:dyDescent="0.2">
      <c r="A43" s="4"/>
      <c r="B43" s="4"/>
      <c r="C43" s="5"/>
      <c r="D43" s="5" t="s">
        <v>27</v>
      </c>
      <c r="E43" s="6" t="s">
        <v>25</v>
      </c>
      <c r="F43" s="2">
        <f>175</f>
        <v>175</v>
      </c>
      <c r="G43" s="7"/>
      <c r="H43" s="8"/>
      <c r="I43" s="2"/>
      <c r="J43" s="9">
        <f>SUM(U36:U42)-J49</f>
        <v>23.54</v>
      </c>
      <c r="K43" s="2">
        <f>157</f>
        <v>157</v>
      </c>
      <c r="L43" s="9">
        <f>SUM(V36:V42)-L49</f>
        <v>505.52</v>
      </c>
    </row>
    <row r="44" spans="1:22" ht="14.25" x14ac:dyDescent="0.2">
      <c r="A44" s="4"/>
      <c r="B44" s="4"/>
      <c r="C44" s="5"/>
      <c r="D44" s="5" t="s">
        <v>28</v>
      </c>
      <c r="E44" s="6" t="s">
        <v>29</v>
      </c>
      <c r="F44" s="2">
        <f>[80]Source!AQ32</f>
        <v>2.06</v>
      </c>
      <c r="G44" s="7"/>
      <c r="H44" s="8" t="str">
        <f>[80]Source!DI32</f>
        <v/>
      </c>
      <c r="I44" s="2">
        <f>[80]Source!AV33</f>
        <v>1.087</v>
      </c>
      <c r="J44" s="9">
        <f>[80]Source!U32</f>
        <v>14.06</v>
      </c>
      <c r="K44" s="2"/>
      <c r="L44" s="9"/>
    </row>
    <row r="45" spans="1:22" ht="15" x14ac:dyDescent="0.25">
      <c r="I45" s="552">
        <f>J37+J38+J40+J41+J42+J43</f>
        <v>905.39</v>
      </c>
      <c r="J45" s="552"/>
      <c r="K45" s="552">
        <f>L37+L38+L40+L41+L42+L43</f>
        <v>17257.89</v>
      </c>
      <c r="L45" s="552"/>
      <c r="O45" s="11">
        <f>J37+J38+J40+J41+J42+J43</f>
        <v>905.39</v>
      </c>
      <c r="P45" s="11">
        <f>L37+L38+L40+L41+L42+L43</f>
        <v>17257.89</v>
      </c>
    </row>
    <row r="46" spans="1:22" ht="28.5" x14ac:dyDescent="0.2">
      <c r="A46" s="12"/>
      <c r="B46" s="12"/>
      <c r="C46" s="13"/>
      <c r="D46" s="13" t="s">
        <v>30</v>
      </c>
      <c r="E46" s="6"/>
      <c r="F46" s="14"/>
      <c r="G46" s="15"/>
      <c r="H46" s="6"/>
      <c r="I46" s="14"/>
      <c r="J46" s="10"/>
      <c r="K46" s="14"/>
      <c r="L46" s="10"/>
    </row>
    <row r="47" spans="1:22" ht="14.25" x14ac:dyDescent="0.2">
      <c r="A47" s="12"/>
      <c r="B47" s="12"/>
      <c r="C47" s="13"/>
      <c r="D47" s="13" t="s">
        <v>21</v>
      </c>
      <c r="E47" s="6"/>
      <c r="F47" s="14"/>
      <c r="G47" s="15">
        <f t="shared" ref="G47:L47" si="1">G48</f>
        <v>1.97</v>
      </c>
      <c r="H47" s="16" t="str">
        <f t="shared" si="1"/>
        <v>)*(1.67-1)</v>
      </c>
      <c r="I47" s="14">
        <f t="shared" si="1"/>
        <v>1.087</v>
      </c>
      <c r="J47" s="10">
        <f t="shared" si="1"/>
        <v>9.01</v>
      </c>
      <c r="K47" s="14">
        <f t="shared" si="1"/>
        <v>23.94</v>
      </c>
      <c r="L47" s="10">
        <f t="shared" si="1"/>
        <v>215.7</v>
      </c>
    </row>
    <row r="48" spans="1:22" ht="14.25" x14ac:dyDescent="0.2">
      <c r="A48" s="12"/>
      <c r="B48" s="12"/>
      <c r="C48" s="13"/>
      <c r="D48" s="13" t="s">
        <v>22</v>
      </c>
      <c r="E48" s="6"/>
      <c r="F48" s="14"/>
      <c r="G48" s="15">
        <f>[80]Source!AN32</f>
        <v>1.97</v>
      </c>
      <c r="H48" s="16" t="s">
        <v>31</v>
      </c>
      <c r="I48" s="14">
        <f>[80]Source!AV33</f>
        <v>1.087</v>
      </c>
      <c r="J48" s="10">
        <f>ROUND(F36*G48*I48*(1.67-1), 2)</f>
        <v>9.01</v>
      </c>
      <c r="K48" s="14">
        <f>IF([80]Source!BS33&lt;&gt; 0, [80]Source!BS33, 1)</f>
        <v>23.94</v>
      </c>
      <c r="L48" s="10">
        <f>ROUND(F36*G48*I48*(1.67-1)*K48, 2)</f>
        <v>215.7</v>
      </c>
    </row>
    <row r="49" spans="1:22" ht="14.25" x14ac:dyDescent="0.2">
      <c r="A49" s="12"/>
      <c r="B49" s="12"/>
      <c r="C49" s="13"/>
      <c r="D49" s="13" t="s">
        <v>27</v>
      </c>
      <c r="E49" s="6" t="s">
        <v>25</v>
      </c>
      <c r="F49" s="14">
        <f>175</f>
        <v>175</v>
      </c>
      <c r="G49" s="15"/>
      <c r="H49" s="6"/>
      <c r="I49" s="14"/>
      <c r="J49" s="10">
        <f>ROUND(J48*(F49/100), 2)</f>
        <v>15.77</v>
      </c>
      <c r="K49" s="14">
        <f>157</f>
        <v>157</v>
      </c>
      <c r="L49" s="10">
        <f>ROUND(L48*(K49/100), 2)</f>
        <v>338.65</v>
      </c>
    </row>
    <row r="50" spans="1:22" ht="15" x14ac:dyDescent="0.25">
      <c r="I50" s="552">
        <f>J49+J48</f>
        <v>24.78</v>
      </c>
      <c r="J50" s="552"/>
      <c r="K50" s="552">
        <f>L49+L48</f>
        <v>554.35</v>
      </c>
      <c r="L50" s="552"/>
      <c r="O50" s="11">
        <f>I50</f>
        <v>24.78</v>
      </c>
      <c r="P50" s="11">
        <f>K50</f>
        <v>554.35</v>
      </c>
    </row>
    <row r="52" spans="1:22" ht="15" x14ac:dyDescent="0.25">
      <c r="A52" s="17"/>
      <c r="B52" s="17"/>
      <c r="C52" s="18"/>
      <c r="D52" s="18" t="s">
        <v>32</v>
      </c>
      <c r="E52" s="19"/>
      <c r="F52" s="20"/>
      <c r="G52" s="21"/>
      <c r="H52" s="22"/>
      <c r="I52" s="525">
        <f>I45+I50</f>
        <v>930.17</v>
      </c>
      <c r="J52" s="525"/>
      <c r="K52" s="525">
        <f>K45+K50</f>
        <v>17812.240000000002</v>
      </c>
      <c r="L52" s="525"/>
    </row>
    <row r="53" spans="1:22" ht="57" x14ac:dyDescent="0.2">
      <c r="A53" s="4">
        <v>4</v>
      </c>
      <c r="B53" s="4" t="str">
        <f>[80]Source!E34</f>
        <v>4</v>
      </c>
      <c r="C53" s="5" t="str">
        <f>[80]Source!F34</f>
        <v>4.8-83-4</v>
      </c>
      <c r="D53" s="5" t="s">
        <v>35</v>
      </c>
      <c r="E53" s="6" t="str">
        <f>[80]Source!H34</f>
        <v>100 шт.</v>
      </c>
      <c r="F53" s="2">
        <f>[80]Source!I34</f>
        <v>2.0499999999999998</v>
      </c>
      <c r="G53" s="7"/>
      <c r="H53" s="8"/>
      <c r="I53" s="2"/>
      <c r="J53" s="9"/>
      <c r="K53" s="2"/>
      <c r="L53" s="9"/>
      <c r="Q53">
        <f>[80]Source!X34</f>
        <v>1269.3399999999999</v>
      </c>
      <c r="R53">
        <f>[80]Source!X35</f>
        <v>24418.94</v>
      </c>
      <c r="S53">
        <f>[80]Source!Y34</f>
        <v>793.34</v>
      </c>
      <c r="T53">
        <f>[80]Source!Y35</f>
        <v>11666.83</v>
      </c>
      <c r="U53">
        <f>ROUND((175/100)*ROUND([80]Source!R34, 2), 2)</f>
        <v>378.96</v>
      </c>
      <c r="V53">
        <f>ROUND((157/100)*ROUND([80]Source!R35, 2), 2)</f>
        <v>8139.21</v>
      </c>
    </row>
    <row r="54" spans="1:22" ht="14.25" x14ac:dyDescent="0.2">
      <c r="A54" s="4"/>
      <c r="B54" s="4"/>
      <c r="C54" s="5"/>
      <c r="D54" s="5" t="s">
        <v>20</v>
      </c>
      <c r="E54" s="6"/>
      <c r="F54" s="2"/>
      <c r="G54" s="7">
        <f>[80]Source!AO34</f>
        <v>304.55</v>
      </c>
      <c r="H54" s="8" t="str">
        <f>[80]Source!DG34</f>
        <v>)*1,67</v>
      </c>
      <c r="I54" s="2">
        <f>[80]Source!AV35</f>
        <v>1.087</v>
      </c>
      <c r="J54" s="9">
        <f>[80]Source!S34</f>
        <v>1133.3399999999999</v>
      </c>
      <c r="K54" s="2">
        <f>IF([80]Source!BA35&lt;&gt; 0, [80]Source!BA35, 1)</f>
        <v>23.94</v>
      </c>
      <c r="L54" s="9">
        <f>[80]Source!S35</f>
        <v>27132.16</v>
      </c>
    </row>
    <row r="55" spans="1:22" ht="14.25" x14ac:dyDescent="0.2">
      <c r="A55" s="4"/>
      <c r="B55" s="4"/>
      <c r="C55" s="5"/>
      <c r="D55" s="5" t="s">
        <v>21</v>
      </c>
      <c r="E55" s="6"/>
      <c r="F55" s="2"/>
      <c r="G55" s="7">
        <f>[80]Source!AM34</f>
        <v>855.92</v>
      </c>
      <c r="H55" s="8" t="str">
        <f>[80]Source!DE34</f>
        <v/>
      </c>
      <c r="I55" s="2">
        <f>[80]Source!AV35</f>
        <v>1.087</v>
      </c>
      <c r="J55" s="9">
        <f>[80]Source!Q34-J64</f>
        <v>1907.29</v>
      </c>
      <c r="K55" s="2">
        <f>IF([80]Source!BB35&lt;&gt; 0, [80]Source!BB35, 1)</f>
        <v>6.61</v>
      </c>
      <c r="L55" s="9">
        <f>[80]Source!Q35-L64</f>
        <v>12607.26</v>
      </c>
    </row>
    <row r="56" spans="1:22" ht="14.25" x14ac:dyDescent="0.2">
      <c r="A56" s="4"/>
      <c r="B56" s="4"/>
      <c r="C56" s="5"/>
      <c r="D56" s="5" t="s">
        <v>22</v>
      </c>
      <c r="E56" s="6"/>
      <c r="F56" s="2"/>
      <c r="G56" s="7">
        <f>[80]Source!AN34</f>
        <v>58.19</v>
      </c>
      <c r="H56" s="8" t="str">
        <f>[80]Source!DE34</f>
        <v/>
      </c>
      <c r="I56" s="2">
        <f>[80]Source!AV35</f>
        <v>1.087</v>
      </c>
      <c r="J56" s="10">
        <f>[80]Source!R34-J65</f>
        <v>129.66999999999999</v>
      </c>
      <c r="K56" s="2">
        <f>IF([80]Source!BS35&lt;&gt; 0, [80]Source!BS35, 1)</f>
        <v>23.94</v>
      </c>
      <c r="L56" s="10">
        <f>[80]Source!R35-L65</f>
        <v>3104.37</v>
      </c>
    </row>
    <row r="57" spans="1:22" ht="14.25" x14ac:dyDescent="0.2">
      <c r="A57" s="4"/>
      <c r="B57" s="4"/>
      <c r="C57" s="5"/>
      <c r="D57" s="5" t="s">
        <v>23</v>
      </c>
      <c r="E57" s="6"/>
      <c r="F57" s="2"/>
      <c r="G57" s="7">
        <f>[80]Source!AL34</f>
        <v>130.9</v>
      </c>
      <c r="H57" s="8" t="str">
        <f>[80]Source!DD34</f>
        <v/>
      </c>
      <c r="I57" s="2">
        <f>[80]Source!AW35</f>
        <v>1</v>
      </c>
      <c r="J57" s="9">
        <f>[80]Source!P34</f>
        <v>268.35000000000002</v>
      </c>
      <c r="K57" s="2">
        <f>IF([80]Source!BC35&lt;&gt; 0, [80]Source!BC35, 1)</f>
        <v>5.56</v>
      </c>
      <c r="L57" s="9">
        <f>[80]Source!P35</f>
        <v>1492.03</v>
      </c>
    </row>
    <row r="58" spans="1:22" ht="14.25" x14ac:dyDescent="0.2">
      <c r="A58" s="4"/>
      <c r="B58" s="4"/>
      <c r="C58" s="5"/>
      <c r="D58" s="5" t="s">
        <v>24</v>
      </c>
      <c r="E58" s="6" t="s">
        <v>25</v>
      </c>
      <c r="F58" s="2">
        <f>[80]Source!DN35</f>
        <v>112</v>
      </c>
      <c r="G58" s="7"/>
      <c r="H58" s="8"/>
      <c r="I58" s="2"/>
      <c r="J58" s="9">
        <f>SUM(Q53:Q57)</f>
        <v>1269.3399999999999</v>
      </c>
      <c r="K58" s="2">
        <f>[80]Source!BZ35</f>
        <v>90</v>
      </c>
      <c r="L58" s="9">
        <f>SUM(R53:R57)</f>
        <v>24418.94</v>
      </c>
    </row>
    <row r="59" spans="1:22" ht="14.25" x14ac:dyDescent="0.2">
      <c r="A59" s="4"/>
      <c r="B59" s="4"/>
      <c r="C59" s="5"/>
      <c r="D59" s="5" t="s">
        <v>26</v>
      </c>
      <c r="E59" s="6" t="s">
        <v>25</v>
      </c>
      <c r="F59" s="2">
        <f>[80]Source!DO35</f>
        <v>70</v>
      </c>
      <c r="G59" s="7"/>
      <c r="H59" s="8"/>
      <c r="I59" s="2"/>
      <c r="J59" s="9">
        <f>SUM(S53:S58)</f>
        <v>793.34</v>
      </c>
      <c r="K59" s="2">
        <f>[80]Source!CA35</f>
        <v>43</v>
      </c>
      <c r="L59" s="9">
        <f>SUM(T53:T58)</f>
        <v>11666.83</v>
      </c>
    </row>
    <row r="60" spans="1:22" ht="14.25" x14ac:dyDescent="0.2">
      <c r="A60" s="4"/>
      <c r="B60" s="4"/>
      <c r="C60" s="5"/>
      <c r="D60" s="5" t="s">
        <v>27</v>
      </c>
      <c r="E60" s="6" t="s">
        <v>25</v>
      </c>
      <c r="F60" s="2">
        <f>175</f>
        <v>175</v>
      </c>
      <c r="G60" s="7"/>
      <c r="H60" s="8"/>
      <c r="I60" s="2"/>
      <c r="J60" s="9">
        <f>SUM(U53:U59)-J66</f>
        <v>226.92</v>
      </c>
      <c r="K60" s="2">
        <f>157</f>
        <v>157</v>
      </c>
      <c r="L60" s="9">
        <f>SUM(V53:V59)-L66</f>
        <v>4873.8599999999997</v>
      </c>
    </row>
    <row r="61" spans="1:22" ht="14.25" x14ac:dyDescent="0.2">
      <c r="A61" s="4"/>
      <c r="B61" s="4"/>
      <c r="C61" s="5"/>
      <c r="D61" s="5" t="s">
        <v>28</v>
      </c>
      <c r="E61" s="6" t="s">
        <v>29</v>
      </c>
      <c r="F61" s="2">
        <f>[80]Source!AQ34</f>
        <v>24.7</v>
      </c>
      <c r="G61" s="7"/>
      <c r="H61" s="8" t="str">
        <f>[80]Source!DI34</f>
        <v/>
      </c>
      <c r="I61" s="2">
        <f>[80]Source!AV35</f>
        <v>1.087</v>
      </c>
      <c r="J61" s="9">
        <f>[80]Source!U34</f>
        <v>55.04</v>
      </c>
      <c r="K61" s="2"/>
      <c r="L61" s="9"/>
    </row>
    <row r="62" spans="1:22" ht="15" x14ac:dyDescent="0.25">
      <c r="I62" s="552">
        <f>J54+J55+J57+J58+J59+J60</f>
        <v>5598.58</v>
      </c>
      <c r="J62" s="552"/>
      <c r="K62" s="552">
        <f>L54+L55+L57+L58+L59+L60</f>
        <v>82191.08</v>
      </c>
      <c r="L62" s="552"/>
      <c r="O62" s="11">
        <f>J54+J55+J57+J58+J59+J60</f>
        <v>5598.58</v>
      </c>
      <c r="P62" s="11">
        <f>L54+L55+L57+L58+L59+L60</f>
        <v>82191.08</v>
      </c>
    </row>
    <row r="63" spans="1:22" ht="28.5" x14ac:dyDescent="0.2">
      <c r="A63" s="12"/>
      <c r="B63" s="12"/>
      <c r="C63" s="13"/>
      <c r="D63" s="13" t="s">
        <v>30</v>
      </c>
      <c r="E63" s="6"/>
      <c r="F63" s="14"/>
      <c r="G63" s="15"/>
      <c r="H63" s="6"/>
      <c r="I63" s="14"/>
      <c r="J63" s="10"/>
      <c r="K63" s="14"/>
      <c r="L63" s="10"/>
    </row>
    <row r="64" spans="1:22" ht="14.25" x14ac:dyDescent="0.2">
      <c r="A64" s="12"/>
      <c r="B64" s="12"/>
      <c r="C64" s="13"/>
      <c r="D64" s="13" t="s">
        <v>21</v>
      </c>
      <c r="E64" s="6"/>
      <c r="F64" s="14"/>
      <c r="G64" s="15">
        <f t="shared" ref="G64:L64" si="2">G65</f>
        <v>58.19</v>
      </c>
      <c r="H64" s="16" t="str">
        <f t="shared" si="2"/>
        <v>)*(1.67-1)</v>
      </c>
      <c r="I64" s="14">
        <f t="shared" si="2"/>
        <v>1.087</v>
      </c>
      <c r="J64" s="10">
        <f t="shared" si="2"/>
        <v>86.88</v>
      </c>
      <c r="K64" s="14">
        <f t="shared" si="2"/>
        <v>23.94</v>
      </c>
      <c r="L64" s="10">
        <f t="shared" si="2"/>
        <v>2079.84</v>
      </c>
    </row>
    <row r="65" spans="1:22" ht="14.25" x14ac:dyDescent="0.2">
      <c r="A65" s="12"/>
      <c r="B65" s="12"/>
      <c r="C65" s="13"/>
      <c r="D65" s="13" t="s">
        <v>22</v>
      </c>
      <c r="E65" s="6"/>
      <c r="F65" s="14"/>
      <c r="G65" s="15">
        <f>[80]Source!AN34</f>
        <v>58.19</v>
      </c>
      <c r="H65" s="16" t="s">
        <v>31</v>
      </c>
      <c r="I65" s="14">
        <f>[80]Source!AV35</f>
        <v>1.087</v>
      </c>
      <c r="J65" s="10">
        <f>ROUND(F53*G65*I65*(1.67-1), 2)</f>
        <v>86.88</v>
      </c>
      <c r="K65" s="14">
        <f>IF([80]Source!BS35&lt;&gt; 0, [80]Source!BS35, 1)</f>
        <v>23.94</v>
      </c>
      <c r="L65" s="10">
        <f>ROUND(F53*G65*I65*(1.67-1)*K65, 2)</f>
        <v>2079.84</v>
      </c>
    </row>
    <row r="66" spans="1:22" ht="14.25" x14ac:dyDescent="0.2">
      <c r="A66" s="12"/>
      <c r="B66" s="12"/>
      <c r="C66" s="13"/>
      <c r="D66" s="13" t="s">
        <v>27</v>
      </c>
      <c r="E66" s="6" t="s">
        <v>25</v>
      </c>
      <c r="F66" s="14">
        <f>175</f>
        <v>175</v>
      </c>
      <c r="G66" s="15"/>
      <c r="H66" s="6"/>
      <c r="I66" s="14"/>
      <c r="J66" s="10">
        <f>ROUND(J65*(F66/100), 2)</f>
        <v>152.04</v>
      </c>
      <c r="K66" s="14">
        <f>157</f>
        <v>157</v>
      </c>
      <c r="L66" s="10">
        <f>ROUND(L65*(K66/100), 2)</f>
        <v>3265.35</v>
      </c>
    </row>
    <row r="67" spans="1:22" ht="15" x14ac:dyDescent="0.25">
      <c r="I67" s="552">
        <f>J66+J65</f>
        <v>238.92</v>
      </c>
      <c r="J67" s="552"/>
      <c r="K67" s="552">
        <f>L66+L65</f>
        <v>5345.19</v>
      </c>
      <c r="L67" s="552"/>
      <c r="O67" s="11">
        <f>I67</f>
        <v>238.92</v>
      </c>
      <c r="P67" s="11">
        <f>K67</f>
        <v>5345.19</v>
      </c>
    </row>
    <row r="69" spans="1:22" ht="15" x14ac:dyDescent="0.25">
      <c r="A69" s="17"/>
      <c r="B69" s="17"/>
      <c r="C69" s="18"/>
      <c r="D69" s="18" t="s">
        <v>32</v>
      </c>
      <c r="E69" s="19"/>
      <c r="F69" s="20"/>
      <c r="G69" s="21"/>
      <c r="H69" s="22"/>
      <c r="I69" s="525">
        <f>I62+I67</f>
        <v>5837.5</v>
      </c>
      <c r="J69" s="525"/>
      <c r="K69" s="525">
        <f>K62+K67</f>
        <v>87536.27</v>
      </c>
      <c r="L69" s="525"/>
    </row>
    <row r="70" spans="1:22" ht="99.75" x14ac:dyDescent="0.2">
      <c r="A70" s="4">
        <v>5</v>
      </c>
      <c r="B70" s="4">
        <v>7</v>
      </c>
      <c r="C70" s="5" t="str">
        <f>[80]Source!F42</f>
        <v>1.7-5-154</v>
      </c>
      <c r="D70" s="5" t="s">
        <v>36</v>
      </c>
      <c r="E70" s="6" t="str">
        <f>[80]Source!H42</f>
        <v>шт.</v>
      </c>
      <c r="F70" s="2">
        <f>[80]Source!I42</f>
        <v>1640</v>
      </c>
      <c r="G70" s="7">
        <f>[80]Source!AL42</f>
        <v>23.45</v>
      </c>
      <c r="H70" s="8" t="str">
        <f>[80]Source!DD42</f>
        <v/>
      </c>
      <c r="I70" s="2">
        <f>[80]Source!AW43</f>
        <v>1</v>
      </c>
      <c r="J70" s="9">
        <f>[80]Source!P42</f>
        <v>38458</v>
      </c>
      <c r="K70" s="2">
        <f>IF([80]Source!BC43&lt;&gt; 0, [80]Source!BC43, 1)</f>
        <v>5.82</v>
      </c>
      <c r="L70" s="9">
        <f>[80]Source!P43</f>
        <v>223825.56</v>
      </c>
      <c r="Q70">
        <f>[80]Source!X42</f>
        <v>0</v>
      </c>
      <c r="R70">
        <f>[80]Source!X43</f>
        <v>0</v>
      </c>
      <c r="S70">
        <f>[80]Source!Y42</f>
        <v>0</v>
      </c>
      <c r="T70">
        <f>[80]Source!Y43</f>
        <v>0</v>
      </c>
      <c r="U70">
        <f>ROUND((175/100)*ROUND([80]Source!R42, 2), 2)</f>
        <v>0</v>
      </c>
      <c r="V70">
        <f>ROUND((157/100)*ROUND([80]Source!R43, 2), 2)</f>
        <v>0</v>
      </c>
    </row>
    <row r="71" spans="1:22" ht="15" x14ac:dyDescent="0.25">
      <c r="A71" s="23"/>
      <c r="B71" s="23"/>
      <c r="C71" s="23"/>
      <c r="D71" s="23"/>
      <c r="E71" s="23"/>
      <c r="F71" s="23"/>
      <c r="G71" s="23"/>
      <c r="H71" s="23"/>
      <c r="I71" s="525">
        <f>J70</f>
        <v>38458</v>
      </c>
      <c r="J71" s="525"/>
      <c r="K71" s="525">
        <f>L70</f>
        <v>223825.56</v>
      </c>
      <c r="L71" s="525"/>
      <c r="O71" s="11">
        <f>J70</f>
        <v>38458</v>
      </c>
      <c r="P71" s="11">
        <f>L70</f>
        <v>223825.56</v>
      </c>
    </row>
    <row r="72" spans="1:22" ht="42.75" x14ac:dyDescent="0.2">
      <c r="A72" s="4">
        <v>6</v>
      </c>
      <c r="B72" s="4">
        <v>8</v>
      </c>
      <c r="C72" s="5" t="str">
        <f>[80]Source!F44</f>
        <v>4.8-160-1</v>
      </c>
      <c r="D72" s="5" t="s">
        <v>37</v>
      </c>
      <c r="E72" s="6" t="str">
        <f>[80]Source!H44</f>
        <v>100 шт.</v>
      </c>
      <c r="F72" s="2">
        <f>[80]Source!I44</f>
        <v>0.03</v>
      </c>
      <c r="G72" s="7"/>
      <c r="H72" s="8"/>
      <c r="I72" s="2"/>
      <c r="J72" s="9"/>
      <c r="K72" s="2"/>
      <c r="L72" s="9"/>
      <c r="Q72">
        <f>[80]Source!X44</f>
        <v>6.72</v>
      </c>
      <c r="R72">
        <f>[80]Source!X45</f>
        <v>129.28</v>
      </c>
      <c r="S72">
        <f>[80]Source!Y44</f>
        <v>4.2</v>
      </c>
      <c r="T72">
        <f>[80]Source!Y45</f>
        <v>61.77</v>
      </c>
      <c r="U72">
        <f>ROUND((175/100)*ROUND([80]Source!R44, 2), 2)</f>
        <v>7.96</v>
      </c>
      <c r="V72">
        <f>ROUND((157/100)*ROUND([80]Source!R45, 2), 2)</f>
        <v>171.02</v>
      </c>
    </row>
    <row r="73" spans="1:22" ht="14.25" x14ac:dyDescent="0.2">
      <c r="A73" s="4"/>
      <c r="B73" s="4"/>
      <c r="C73" s="5"/>
      <c r="D73" s="5" t="s">
        <v>20</v>
      </c>
      <c r="E73" s="6"/>
      <c r="F73" s="2"/>
      <c r="G73" s="7">
        <f>[80]Source!AO44</f>
        <v>114.3</v>
      </c>
      <c r="H73" s="8" t="str">
        <f>[80]Source!DG44</f>
        <v>)*1,67</v>
      </c>
      <c r="I73" s="2">
        <f>[80]Source!AV45</f>
        <v>1.0469999999999999</v>
      </c>
      <c r="J73" s="9">
        <f>[80]Source!S44</f>
        <v>6</v>
      </c>
      <c r="K73" s="2">
        <f>IF([80]Source!BA45&lt;&gt; 0, [80]Source!BA45, 1)</f>
        <v>23.94</v>
      </c>
      <c r="L73" s="9">
        <f>[80]Source!S45</f>
        <v>143.63999999999999</v>
      </c>
    </row>
    <row r="74" spans="1:22" ht="14.25" x14ac:dyDescent="0.2">
      <c r="A74" s="4"/>
      <c r="B74" s="4"/>
      <c r="C74" s="5"/>
      <c r="D74" s="5" t="s">
        <v>21</v>
      </c>
      <c r="E74" s="6"/>
      <c r="F74" s="2"/>
      <c r="G74" s="7">
        <f>[80]Source!AM44</f>
        <v>483.15</v>
      </c>
      <c r="H74" s="8" t="str">
        <f>[80]Source!DE44</f>
        <v/>
      </c>
      <c r="I74" s="2">
        <f>[80]Source!AV45</f>
        <v>1.0469999999999999</v>
      </c>
      <c r="J74" s="9">
        <f>[80]Source!Q44-J83</f>
        <v>15.18</v>
      </c>
      <c r="K74" s="2">
        <f>IF([80]Source!BB45&lt;&gt; 0, [80]Source!BB45, 1)</f>
        <v>8.69</v>
      </c>
      <c r="L74" s="9">
        <f>[80]Source!Q45-L83</f>
        <v>131.99</v>
      </c>
    </row>
    <row r="75" spans="1:22" ht="14.25" x14ac:dyDescent="0.2">
      <c r="A75" s="4"/>
      <c r="B75" s="4"/>
      <c r="C75" s="5"/>
      <c r="D75" s="5" t="s">
        <v>22</v>
      </c>
      <c r="E75" s="6"/>
      <c r="F75" s="2"/>
      <c r="G75" s="7">
        <f>[80]Source!AN44</f>
        <v>86.8</v>
      </c>
      <c r="H75" s="8" t="str">
        <f>[80]Source!DE44</f>
        <v/>
      </c>
      <c r="I75" s="2">
        <f>[80]Source!AV45</f>
        <v>1.0469999999999999</v>
      </c>
      <c r="J75" s="10">
        <f>[80]Source!R44-J84</f>
        <v>2.72</v>
      </c>
      <c r="K75" s="2">
        <f>IF([80]Source!BS45&lt;&gt; 0, [80]Source!BS45, 1)</f>
        <v>23.94</v>
      </c>
      <c r="L75" s="10">
        <f>[80]Source!R45-L84</f>
        <v>65.2</v>
      </c>
    </row>
    <row r="76" spans="1:22" ht="14.25" x14ac:dyDescent="0.2">
      <c r="A76" s="4"/>
      <c r="B76" s="4"/>
      <c r="C76" s="5"/>
      <c r="D76" s="5" t="s">
        <v>23</v>
      </c>
      <c r="E76" s="6"/>
      <c r="F76" s="2"/>
      <c r="G76" s="7">
        <f>[80]Source!AL44</f>
        <v>826</v>
      </c>
      <c r="H76" s="8" t="str">
        <f>[80]Source!DD44</f>
        <v/>
      </c>
      <c r="I76" s="2">
        <f>[80]Source!AW45</f>
        <v>1</v>
      </c>
      <c r="J76" s="9">
        <f>[80]Source!P44</f>
        <v>24.78</v>
      </c>
      <c r="K76" s="2">
        <f>IF([80]Source!BC45&lt;&gt; 0, [80]Source!BC45, 1)</f>
        <v>5.56</v>
      </c>
      <c r="L76" s="9">
        <f>[80]Source!P45</f>
        <v>137.78</v>
      </c>
    </row>
    <row r="77" spans="1:22" ht="14.25" x14ac:dyDescent="0.2">
      <c r="A77" s="4"/>
      <c r="B77" s="4"/>
      <c r="C77" s="5"/>
      <c r="D77" s="5" t="s">
        <v>24</v>
      </c>
      <c r="E77" s="6" t="s">
        <v>25</v>
      </c>
      <c r="F77" s="2">
        <f>[80]Source!DN45</f>
        <v>112</v>
      </c>
      <c r="G77" s="7"/>
      <c r="H77" s="8"/>
      <c r="I77" s="2"/>
      <c r="J77" s="9">
        <f>SUM(Q72:Q76)</f>
        <v>6.72</v>
      </c>
      <c r="K77" s="2">
        <f>[80]Source!BZ45</f>
        <v>90</v>
      </c>
      <c r="L77" s="9">
        <f>SUM(R72:R76)</f>
        <v>129.28</v>
      </c>
    </row>
    <row r="78" spans="1:22" ht="14.25" x14ac:dyDescent="0.2">
      <c r="A78" s="4"/>
      <c r="B78" s="4"/>
      <c r="C78" s="5"/>
      <c r="D78" s="5" t="s">
        <v>26</v>
      </c>
      <c r="E78" s="6" t="s">
        <v>25</v>
      </c>
      <c r="F78" s="2">
        <f>[80]Source!DO45</f>
        <v>70</v>
      </c>
      <c r="G78" s="7"/>
      <c r="H78" s="8"/>
      <c r="I78" s="2"/>
      <c r="J78" s="9">
        <f>SUM(S72:S77)</f>
        <v>4.2</v>
      </c>
      <c r="K78" s="2">
        <f>[80]Source!CA45</f>
        <v>43</v>
      </c>
      <c r="L78" s="9">
        <f>SUM(T72:T77)</f>
        <v>61.77</v>
      </c>
    </row>
    <row r="79" spans="1:22" ht="14.25" x14ac:dyDescent="0.2">
      <c r="A79" s="4"/>
      <c r="B79" s="4"/>
      <c r="C79" s="5"/>
      <c r="D79" s="5" t="s">
        <v>27</v>
      </c>
      <c r="E79" s="6" t="s">
        <v>25</v>
      </c>
      <c r="F79" s="2">
        <f>175</f>
        <v>175</v>
      </c>
      <c r="G79" s="7"/>
      <c r="H79" s="8"/>
      <c r="I79" s="2"/>
      <c r="J79" s="9">
        <f>SUM(U72:U78)-J85</f>
        <v>4.76</v>
      </c>
      <c r="K79" s="2">
        <f>157</f>
        <v>157</v>
      </c>
      <c r="L79" s="9">
        <f>SUM(V72:V78)-L85</f>
        <v>102.36</v>
      </c>
    </row>
    <row r="80" spans="1:22" ht="14.25" x14ac:dyDescent="0.2">
      <c r="A80" s="4"/>
      <c r="B80" s="4"/>
      <c r="C80" s="5"/>
      <c r="D80" s="5" t="s">
        <v>28</v>
      </c>
      <c r="E80" s="6" t="s">
        <v>29</v>
      </c>
      <c r="F80" s="2">
        <f>[80]Source!AQ44</f>
        <v>9.27</v>
      </c>
      <c r="G80" s="7"/>
      <c r="H80" s="8" t="str">
        <f>[80]Source!DI44</f>
        <v/>
      </c>
      <c r="I80" s="2">
        <f>[80]Source!AV45</f>
        <v>1.0469999999999999</v>
      </c>
      <c r="J80" s="9">
        <f>[80]Source!U44</f>
        <v>0.28999999999999998</v>
      </c>
      <c r="K80" s="2"/>
      <c r="L80" s="9"/>
    </row>
    <row r="81" spans="1:22" ht="15" x14ac:dyDescent="0.25">
      <c r="I81" s="552">
        <f>J73+J74+J76+J77+J78+J79</f>
        <v>61.64</v>
      </c>
      <c r="J81" s="552"/>
      <c r="K81" s="552">
        <f>L73+L74+L76+L77+L78+L79</f>
        <v>706.82</v>
      </c>
      <c r="L81" s="552"/>
      <c r="O81" s="11">
        <f>J73+J74+J76+J77+J78+J79</f>
        <v>61.64</v>
      </c>
      <c r="P81" s="11">
        <f>L73+L74+L76+L77+L78+L79</f>
        <v>706.82</v>
      </c>
    </row>
    <row r="82" spans="1:22" ht="28.5" x14ac:dyDescent="0.2">
      <c r="A82" s="12"/>
      <c r="B82" s="12"/>
      <c r="C82" s="13"/>
      <c r="D82" s="13" t="s">
        <v>30</v>
      </c>
      <c r="E82" s="6"/>
      <c r="F82" s="14"/>
      <c r="G82" s="15"/>
      <c r="H82" s="6"/>
      <c r="I82" s="14"/>
      <c r="J82" s="10"/>
      <c r="K82" s="14"/>
      <c r="L82" s="10"/>
    </row>
    <row r="83" spans="1:22" ht="14.25" x14ac:dyDescent="0.2">
      <c r="A83" s="12"/>
      <c r="B83" s="12"/>
      <c r="C83" s="13"/>
      <c r="D83" s="13" t="s">
        <v>21</v>
      </c>
      <c r="E83" s="6"/>
      <c r="F83" s="14"/>
      <c r="G83" s="15">
        <f t="shared" ref="G83:L83" si="3">G84</f>
        <v>86.8</v>
      </c>
      <c r="H83" s="16" t="str">
        <f t="shared" si="3"/>
        <v>)*(1.67-1)</v>
      </c>
      <c r="I83" s="14">
        <f t="shared" si="3"/>
        <v>1.0469999999999999</v>
      </c>
      <c r="J83" s="10">
        <f t="shared" si="3"/>
        <v>1.83</v>
      </c>
      <c r="K83" s="14">
        <f t="shared" si="3"/>
        <v>23.94</v>
      </c>
      <c r="L83" s="10">
        <f t="shared" si="3"/>
        <v>43.73</v>
      </c>
    </row>
    <row r="84" spans="1:22" ht="14.25" x14ac:dyDescent="0.2">
      <c r="A84" s="12"/>
      <c r="B84" s="12"/>
      <c r="C84" s="13"/>
      <c r="D84" s="13" t="s">
        <v>22</v>
      </c>
      <c r="E84" s="6"/>
      <c r="F84" s="14"/>
      <c r="G84" s="15">
        <f>[80]Source!AN44</f>
        <v>86.8</v>
      </c>
      <c r="H84" s="16" t="s">
        <v>31</v>
      </c>
      <c r="I84" s="14">
        <f>[80]Source!AV45</f>
        <v>1.0469999999999999</v>
      </c>
      <c r="J84" s="10">
        <f>ROUND(F72*G84*I84*(1.67-1), 2)</f>
        <v>1.83</v>
      </c>
      <c r="K84" s="14">
        <f>IF([80]Source!BS45&lt;&gt; 0, [80]Source!BS45, 1)</f>
        <v>23.94</v>
      </c>
      <c r="L84" s="10">
        <f>ROUND(F72*G84*I84*(1.67-1)*K84, 2)</f>
        <v>43.73</v>
      </c>
    </row>
    <row r="85" spans="1:22" ht="14.25" x14ac:dyDescent="0.2">
      <c r="A85" s="12"/>
      <c r="B85" s="12"/>
      <c r="C85" s="13"/>
      <c r="D85" s="13" t="s">
        <v>27</v>
      </c>
      <c r="E85" s="6" t="s">
        <v>25</v>
      </c>
      <c r="F85" s="14">
        <f>175</f>
        <v>175</v>
      </c>
      <c r="G85" s="15"/>
      <c r="H85" s="6"/>
      <c r="I85" s="14"/>
      <c r="J85" s="10">
        <f>ROUND(J84*(F85/100), 2)</f>
        <v>3.2</v>
      </c>
      <c r="K85" s="14">
        <f>157</f>
        <v>157</v>
      </c>
      <c r="L85" s="10">
        <f>ROUND(L84*(K85/100), 2)</f>
        <v>68.66</v>
      </c>
    </row>
    <row r="86" spans="1:22" ht="15" x14ac:dyDescent="0.25">
      <c r="I86" s="552">
        <f>J85+J84</f>
        <v>5.03</v>
      </c>
      <c r="J86" s="552"/>
      <c r="K86" s="552">
        <f>L85+L84</f>
        <v>112.39</v>
      </c>
      <c r="L86" s="552"/>
      <c r="O86" s="11">
        <f>I86</f>
        <v>5.03</v>
      </c>
      <c r="P86" s="11">
        <f>K86</f>
        <v>112.39</v>
      </c>
    </row>
    <row r="88" spans="1:22" ht="15" x14ac:dyDescent="0.25">
      <c r="A88" s="17"/>
      <c r="B88" s="17"/>
      <c r="C88" s="18"/>
      <c r="D88" s="18" t="s">
        <v>32</v>
      </c>
      <c r="E88" s="19"/>
      <c r="F88" s="20"/>
      <c r="G88" s="21"/>
      <c r="H88" s="22"/>
      <c r="I88" s="525">
        <f>I81+I86</f>
        <v>66.67</v>
      </c>
      <c r="J88" s="525"/>
      <c r="K88" s="525">
        <f>K81+K86</f>
        <v>819.21</v>
      </c>
      <c r="L88" s="525"/>
    </row>
    <row r="89" spans="1:22" ht="42.75" x14ac:dyDescent="0.2">
      <c r="A89" s="4">
        <v>7</v>
      </c>
      <c r="B89" s="4">
        <v>11</v>
      </c>
      <c r="C89" s="5" t="str">
        <f>[80]Source!F50</f>
        <v>4.8-187-7</v>
      </c>
      <c r="D89" s="5" t="s">
        <v>38</v>
      </c>
      <c r="E89" s="6" t="str">
        <f>[80]Source!H50</f>
        <v>100 м</v>
      </c>
      <c r="F89" s="2">
        <f>[80]Source!I50</f>
        <v>3.27</v>
      </c>
      <c r="G89" s="7"/>
      <c r="H89" s="8"/>
      <c r="I89" s="2"/>
      <c r="J89" s="9"/>
      <c r="K89" s="2"/>
      <c r="L89" s="9"/>
      <c r="Q89">
        <f>[80]Source!X50</f>
        <v>1488.58</v>
      </c>
      <c r="R89">
        <f>[80]Source!X51</f>
        <v>28636.57</v>
      </c>
      <c r="S89">
        <f>[80]Source!Y50</f>
        <v>930.36</v>
      </c>
      <c r="T89">
        <f>[80]Source!Y51</f>
        <v>13681.92</v>
      </c>
      <c r="U89">
        <f>ROUND((175/100)*ROUND([80]Source!R50, 2), 2)</f>
        <v>125.32</v>
      </c>
      <c r="V89">
        <f>ROUND((157/100)*ROUND([80]Source!R51, 2), 2)</f>
        <v>2691.51</v>
      </c>
    </row>
    <row r="90" spans="1:22" ht="14.25" x14ac:dyDescent="0.2">
      <c r="A90" s="4"/>
      <c r="B90" s="4"/>
      <c r="C90" s="5"/>
      <c r="D90" s="5" t="s">
        <v>20</v>
      </c>
      <c r="E90" s="6"/>
      <c r="F90" s="2"/>
      <c r="G90" s="7">
        <f>[80]Source!AO50</f>
        <v>228.1</v>
      </c>
      <c r="H90" s="8" t="str">
        <f>[80]Source!DG50</f>
        <v>)*1,67</v>
      </c>
      <c r="I90" s="2">
        <f>[80]Source!AV51</f>
        <v>1.0669999999999999</v>
      </c>
      <c r="J90" s="9">
        <f>[80]Source!S50</f>
        <v>1329.09</v>
      </c>
      <c r="K90" s="2">
        <f>IF([80]Source!BA51&lt;&gt; 0, [80]Source!BA51, 1)</f>
        <v>23.94</v>
      </c>
      <c r="L90" s="9">
        <f>[80]Source!S51</f>
        <v>31818.41</v>
      </c>
    </row>
    <row r="91" spans="1:22" ht="14.25" x14ac:dyDescent="0.2">
      <c r="A91" s="4"/>
      <c r="B91" s="4"/>
      <c r="C91" s="5"/>
      <c r="D91" s="5" t="s">
        <v>21</v>
      </c>
      <c r="E91" s="6"/>
      <c r="F91" s="2"/>
      <c r="G91" s="7">
        <f>[80]Source!AM50</f>
        <v>145.33000000000001</v>
      </c>
      <c r="H91" s="8" t="str">
        <f>[80]Source!DE50</f>
        <v/>
      </c>
      <c r="I91" s="2">
        <f>[80]Source!AV51</f>
        <v>1.0669999999999999</v>
      </c>
      <c r="J91" s="9">
        <f>[80]Source!Q50-J100</f>
        <v>507.07</v>
      </c>
      <c r="K91" s="2">
        <f>IF([80]Source!BB51&lt;&gt; 0, [80]Source!BB51, 1)</f>
        <v>6.92</v>
      </c>
      <c r="L91" s="9">
        <f>[80]Source!Q51-L100</f>
        <v>3508.92</v>
      </c>
    </row>
    <row r="92" spans="1:22" ht="14.25" x14ac:dyDescent="0.2">
      <c r="A92" s="4"/>
      <c r="B92" s="4"/>
      <c r="C92" s="5"/>
      <c r="D92" s="5" t="s">
        <v>22</v>
      </c>
      <c r="E92" s="6"/>
      <c r="F92" s="2"/>
      <c r="G92" s="7">
        <f>[80]Source!AN50</f>
        <v>12.29</v>
      </c>
      <c r="H92" s="8" t="str">
        <f>[80]Source!DE50</f>
        <v/>
      </c>
      <c r="I92" s="2">
        <f>[80]Source!AV51</f>
        <v>1.0669999999999999</v>
      </c>
      <c r="J92" s="10">
        <f>[80]Source!R50-J101</f>
        <v>42.88</v>
      </c>
      <c r="K92" s="2">
        <f>IF([80]Source!BS51&lt;&gt; 0, [80]Source!BS51, 1)</f>
        <v>23.94</v>
      </c>
      <c r="L92" s="10">
        <f>[80]Source!R51-L101</f>
        <v>1026.54</v>
      </c>
    </row>
    <row r="93" spans="1:22" ht="14.25" x14ac:dyDescent="0.2">
      <c r="A93" s="4"/>
      <c r="B93" s="4"/>
      <c r="C93" s="5"/>
      <c r="D93" s="5" t="s">
        <v>23</v>
      </c>
      <c r="E93" s="6"/>
      <c r="F93" s="2"/>
      <c r="G93" s="7">
        <f>[80]Source!AL50</f>
        <v>422.8</v>
      </c>
      <c r="H93" s="8" t="str">
        <f>[80]Source!DD50</f>
        <v/>
      </c>
      <c r="I93" s="2">
        <f>[80]Source!AW51</f>
        <v>1.081</v>
      </c>
      <c r="J93" s="9">
        <f>[80]Source!P50</f>
        <v>1494.54</v>
      </c>
      <c r="K93" s="2">
        <f>IF([80]Source!BC51&lt;&gt; 0, [80]Source!BC51, 1)</f>
        <v>5.56</v>
      </c>
      <c r="L93" s="9">
        <f>[80]Source!P51</f>
        <v>8309.64</v>
      </c>
    </row>
    <row r="94" spans="1:22" ht="14.25" x14ac:dyDescent="0.2">
      <c r="A94" s="4"/>
      <c r="B94" s="4"/>
      <c r="C94" s="5"/>
      <c r="D94" s="5" t="s">
        <v>24</v>
      </c>
      <c r="E94" s="6" t="s">
        <v>25</v>
      </c>
      <c r="F94" s="2">
        <f>[80]Source!DN51</f>
        <v>112</v>
      </c>
      <c r="G94" s="7"/>
      <c r="H94" s="8"/>
      <c r="I94" s="2"/>
      <c r="J94" s="9">
        <f>SUM(Q89:Q93)</f>
        <v>1488.58</v>
      </c>
      <c r="K94" s="2">
        <f>[80]Source!BZ51</f>
        <v>90</v>
      </c>
      <c r="L94" s="9">
        <f>SUM(R89:R93)</f>
        <v>28636.57</v>
      </c>
    </row>
    <row r="95" spans="1:22" ht="14.25" x14ac:dyDescent="0.2">
      <c r="A95" s="4"/>
      <c r="B95" s="4"/>
      <c r="C95" s="5"/>
      <c r="D95" s="5" t="s">
        <v>26</v>
      </c>
      <c r="E95" s="6" t="s">
        <v>25</v>
      </c>
      <c r="F95" s="2">
        <f>[80]Source!DO51</f>
        <v>70</v>
      </c>
      <c r="G95" s="7"/>
      <c r="H95" s="8"/>
      <c r="I95" s="2"/>
      <c r="J95" s="9">
        <f>SUM(S89:S94)</f>
        <v>930.36</v>
      </c>
      <c r="K95" s="2">
        <f>[80]Source!CA51</f>
        <v>43</v>
      </c>
      <c r="L95" s="9">
        <f>SUM(T89:T94)</f>
        <v>13681.92</v>
      </c>
    </row>
    <row r="96" spans="1:22" ht="14.25" x14ac:dyDescent="0.2">
      <c r="A96" s="4"/>
      <c r="B96" s="4"/>
      <c r="C96" s="5"/>
      <c r="D96" s="5" t="s">
        <v>27</v>
      </c>
      <c r="E96" s="6" t="s">
        <v>25</v>
      </c>
      <c r="F96" s="2">
        <f>175</f>
        <v>175</v>
      </c>
      <c r="G96" s="7"/>
      <c r="H96" s="8"/>
      <c r="I96" s="2"/>
      <c r="J96" s="9">
        <f>SUM(U89:U95)-J102</f>
        <v>75.040000000000006</v>
      </c>
      <c r="K96" s="2">
        <f>157</f>
        <v>157</v>
      </c>
      <c r="L96" s="9">
        <f>SUM(V89:V95)-L102</f>
        <v>1611.66</v>
      </c>
    </row>
    <row r="97" spans="1:22" ht="14.25" x14ac:dyDescent="0.2">
      <c r="A97" s="4"/>
      <c r="B97" s="4"/>
      <c r="C97" s="5"/>
      <c r="D97" s="5" t="s">
        <v>28</v>
      </c>
      <c r="E97" s="6" t="s">
        <v>29</v>
      </c>
      <c r="F97" s="2">
        <f>[80]Source!AQ50</f>
        <v>18.5</v>
      </c>
      <c r="G97" s="7"/>
      <c r="H97" s="8" t="str">
        <f>[80]Source!DI50</f>
        <v/>
      </c>
      <c r="I97" s="2">
        <f>[80]Source!AV51</f>
        <v>1.0669999999999999</v>
      </c>
      <c r="J97" s="9">
        <f>[80]Source!U50</f>
        <v>64.55</v>
      </c>
      <c r="K97" s="2"/>
      <c r="L97" s="9"/>
    </row>
    <row r="98" spans="1:22" ht="15" x14ac:dyDescent="0.25">
      <c r="I98" s="552">
        <f>J90+J91+J93+J94+J95+J96</f>
        <v>5824.68</v>
      </c>
      <c r="J98" s="552"/>
      <c r="K98" s="552">
        <f>L90+L91+L93+L94+L95+L96</f>
        <v>87567.12</v>
      </c>
      <c r="L98" s="552"/>
      <c r="O98" s="11">
        <f>J90+J91+J93+J94+J95+J96</f>
        <v>5824.68</v>
      </c>
      <c r="P98" s="11">
        <f>L90+L91+L93+L94+L95+L96</f>
        <v>87567.12</v>
      </c>
    </row>
    <row r="99" spans="1:22" ht="28.5" x14ac:dyDescent="0.2">
      <c r="A99" s="12"/>
      <c r="B99" s="12"/>
      <c r="C99" s="13"/>
      <c r="D99" s="13" t="s">
        <v>30</v>
      </c>
      <c r="E99" s="6"/>
      <c r="F99" s="14"/>
      <c r="G99" s="15"/>
      <c r="H99" s="6"/>
      <c r="I99" s="14"/>
      <c r="J99" s="10"/>
      <c r="K99" s="14"/>
      <c r="L99" s="10"/>
    </row>
    <row r="100" spans="1:22" ht="14.25" x14ac:dyDescent="0.2">
      <c r="A100" s="12"/>
      <c r="B100" s="12"/>
      <c r="C100" s="13"/>
      <c r="D100" s="13" t="s">
        <v>21</v>
      </c>
      <c r="E100" s="6"/>
      <c r="F100" s="14"/>
      <c r="G100" s="15">
        <f t="shared" ref="G100:L100" si="4">G101</f>
        <v>12.29</v>
      </c>
      <c r="H100" s="16" t="str">
        <f t="shared" si="4"/>
        <v>)*(1.67-1)</v>
      </c>
      <c r="I100" s="14">
        <f t="shared" si="4"/>
        <v>1.0669999999999999</v>
      </c>
      <c r="J100" s="10">
        <f t="shared" si="4"/>
        <v>28.73</v>
      </c>
      <c r="K100" s="14">
        <f t="shared" si="4"/>
        <v>23.94</v>
      </c>
      <c r="L100" s="10">
        <f t="shared" si="4"/>
        <v>687.8</v>
      </c>
    </row>
    <row r="101" spans="1:22" ht="14.25" x14ac:dyDescent="0.2">
      <c r="A101" s="12"/>
      <c r="B101" s="12"/>
      <c r="C101" s="13"/>
      <c r="D101" s="13" t="s">
        <v>22</v>
      </c>
      <c r="E101" s="6"/>
      <c r="F101" s="14"/>
      <c r="G101" s="15">
        <f>[80]Source!AN50</f>
        <v>12.29</v>
      </c>
      <c r="H101" s="16" t="s">
        <v>31</v>
      </c>
      <c r="I101" s="14">
        <f>[80]Source!AV51</f>
        <v>1.0669999999999999</v>
      </c>
      <c r="J101" s="10">
        <f>ROUND(F89*G101*I101*(1.67-1), 2)</f>
        <v>28.73</v>
      </c>
      <c r="K101" s="14">
        <f>IF([80]Source!BS51&lt;&gt; 0, [80]Source!BS51, 1)</f>
        <v>23.94</v>
      </c>
      <c r="L101" s="10">
        <f>ROUND(F89*G101*I101*(1.67-1)*K101, 2)</f>
        <v>687.8</v>
      </c>
    </row>
    <row r="102" spans="1:22" ht="14.25" x14ac:dyDescent="0.2">
      <c r="A102" s="12"/>
      <c r="B102" s="12"/>
      <c r="C102" s="13"/>
      <c r="D102" s="13" t="s">
        <v>27</v>
      </c>
      <c r="E102" s="6" t="s">
        <v>25</v>
      </c>
      <c r="F102" s="14">
        <f>175</f>
        <v>175</v>
      </c>
      <c r="G102" s="15"/>
      <c r="H102" s="6"/>
      <c r="I102" s="14"/>
      <c r="J102" s="10">
        <f>ROUND(J101*(F102/100), 2)</f>
        <v>50.28</v>
      </c>
      <c r="K102" s="14">
        <f>157</f>
        <v>157</v>
      </c>
      <c r="L102" s="10">
        <f>ROUND(L101*(K102/100), 2)</f>
        <v>1079.8499999999999</v>
      </c>
    </row>
    <row r="103" spans="1:22" ht="15" x14ac:dyDescent="0.25">
      <c r="I103" s="552">
        <f>J102+J101</f>
        <v>79.010000000000005</v>
      </c>
      <c r="J103" s="552"/>
      <c r="K103" s="552">
        <f>L102+L101</f>
        <v>1767.65</v>
      </c>
      <c r="L103" s="552"/>
      <c r="O103" s="11">
        <f>I103</f>
        <v>79.010000000000005</v>
      </c>
      <c r="P103" s="11">
        <f>K103</f>
        <v>1767.65</v>
      </c>
    </row>
    <row r="105" spans="1:22" ht="15" x14ac:dyDescent="0.25">
      <c r="A105" s="17"/>
      <c r="B105" s="17"/>
      <c r="C105" s="18"/>
      <c r="D105" s="18" t="s">
        <v>32</v>
      </c>
      <c r="E105" s="19"/>
      <c r="F105" s="20"/>
      <c r="G105" s="21"/>
      <c r="H105" s="22"/>
      <c r="I105" s="525">
        <f>I98+I103</f>
        <v>5903.69</v>
      </c>
      <c r="J105" s="525"/>
      <c r="K105" s="525">
        <f>K98+K103</f>
        <v>89334.77</v>
      </c>
      <c r="L105" s="525"/>
    </row>
    <row r="106" spans="1:22" ht="57" x14ac:dyDescent="0.2">
      <c r="A106" s="4">
        <v>8</v>
      </c>
      <c r="B106" s="4">
        <v>13</v>
      </c>
      <c r="C106" s="5" t="str">
        <f>[80]Source!F54</f>
        <v>4.8-170-3</v>
      </c>
      <c r="D106" s="5" t="s">
        <v>39</v>
      </c>
      <c r="E106" s="6" t="str">
        <f>[80]Source!H54</f>
        <v>100 м</v>
      </c>
      <c r="F106" s="2">
        <f>[80]Source!I54</f>
        <v>0.05</v>
      </c>
      <c r="G106" s="7"/>
      <c r="H106" s="8"/>
      <c r="I106" s="2"/>
      <c r="J106" s="9"/>
      <c r="K106" s="2"/>
      <c r="L106" s="9"/>
      <c r="Q106">
        <f>[80]Source!X54</f>
        <v>49.74</v>
      </c>
      <c r="R106">
        <f>[80]Source!X55</f>
        <v>956.86</v>
      </c>
      <c r="S106">
        <f>[80]Source!Y54</f>
        <v>31.09</v>
      </c>
      <c r="T106">
        <f>[80]Source!Y55</f>
        <v>457.17</v>
      </c>
      <c r="U106">
        <f>ROUND((175/100)*ROUND([80]Source!R54, 2), 2)</f>
        <v>4.76</v>
      </c>
      <c r="V106">
        <f>ROUND((157/100)*ROUND([80]Source!R55, 2), 2)</f>
        <v>102.24</v>
      </c>
    </row>
    <row r="107" spans="1:22" ht="14.25" x14ac:dyDescent="0.2">
      <c r="A107" s="4"/>
      <c r="B107" s="4"/>
      <c r="C107" s="5"/>
      <c r="D107" s="5" t="s">
        <v>20</v>
      </c>
      <c r="E107" s="6"/>
      <c r="F107" s="2"/>
      <c r="G107" s="7">
        <f>[80]Source!AO54</f>
        <v>508</v>
      </c>
      <c r="H107" s="8" t="str">
        <f>[80]Source!DG54</f>
        <v>)*1,67</v>
      </c>
      <c r="I107" s="2">
        <f>[80]Source!AV55</f>
        <v>1.0469999999999999</v>
      </c>
      <c r="J107" s="9">
        <f>[80]Source!S54</f>
        <v>44.41</v>
      </c>
      <c r="K107" s="2">
        <f>IF([80]Source!BA55&lt;&gt; 0, [80]Source!BA55, 1)</f>
        <v>23.94</v>
      </c>
      <c r="L107" s="9">
        <f>[80]Source!S55</f>
        <v>1063.18</v>
      </c>
    </row>
    <row r="108" spans="1:22" ht="14.25" x14ac:dyDescent="0.2">
      <c r="A108" s="4"/>
      <c r="B108" s="4"/>
      <c r="C108" s="5"/>
      <c r="D108" s="5" t="s">
        <v>21</v>
      </c>
      <c r="E108" s="6"/>
      <c r="F108" s="2"/>
      <c r="G108" s="7">
        <f>[80]Source!AM54</f>
        <v>310.27</v>
      </c>
      <c r="H108" s="8" t="str">
        <f>[80]Source!DE54</f>
        <v/>
      </c>
      <c r="I108" s="2">
        <f>[80]Source!AV55</f>
        <v>1.0469999999999999</v>
      </c>
      <c r="J108" s="9">
        <f>[80]Source!Q54-J117</f>
        <v>16.239999999999998</v>
      </c>
      <c r="K108" s="2">
        <f>IF([80]Source!BB55&lt;&gt; 0, [80]Source!BB55, 1)</f>
        <v>7.22</v>
      </c>
      <c r="L108" s="9">
        <f>[80]Source!Q55-L117</f>
        <v>117.19</v>
      </c>
    </row>
    <row r="109" spans="1:22" ht="14.25" x14ac:dyDescent="0.2">
      <c r="A109" s="4"/>
      <c r="B109" s="4"/>
      <c r="C109" s="5"/>
      <c r="D109" s="5" t="s">
        <v>22</v>
      </c>
      <c r="E109" s="6"/>
      <c r="F109" s="2"/>
      <c r="G109" s="7">
        <f>[80]Source!AN54</f>
        <v>31.14</v>
      </c>
      <c r="H109" s="8" t="str">
        <f>[80]Source!DE54</f>
        <v/>
      </c>
      <c r="I109" s="2">
        <f>[80]Source!AV55</f>
        <v>1.0469999999999999</v>
      </c>
      <c r="J109" s="10">
        <f>[80]Source!R54-J118</f>
        <v>1.63</v>
      </c>
      <c r="K109" s="2">
        <f>IF([80]Source!BS55&lt;&gt; 0, [80]Source!BS55, 1)</f>
        <v>23.94</v>
      </c>
      <c r="L109" s="10">
        <f>[80]Source!R55-L118</f>
        <v>38.97</v>
      </c>
    </row>
    <row r="110" spans="1:22" ht="14.25" x14ac:dyDescent="0.2">
      <c r="A110" s="4"/>
      <c r="B110" s="4"/>
      <c r="C110" s="5"/>
      <c r="D110" s="5" t="s">
        <v>23</v>
      </c>
      <c r="E110" s="6"/>
      <c r="F110" s="2"/>
      <c r="G110" s="7">
        <f>[80]Source!AL54</f>
        <v>165.9</v>
      </c>
      <c r="H110" s="8" t="str">
        <f>[80]Source!DD54</f>
        <v/>
      </c>
      <c r="I110" s="2">
        <f>[80]Source!AW55</f>
        <v>1</v>
      </c>
      <c r="J110" s="9">
        <f>[80]Source!P54</f>
        <v>8.3000000000000007</v>
      </c>
      <c r="K110" s="2">
        <f>IF([80]Source!BC55&lt;&gt; 0, [80]Source!BC55, 1)</f>
        <v>5.56</v>
      </c>
      <c r="L110" s="9">
        <f>[80]Source!P55</f>
        <v>46.15</v>
      </c>
    </row>
    <row r="111" spans="1:22" ht="14.25" x14ac:dyDescent="0.2">
      <c r="A111" s="4"/>
      <c r="B111" s="4"/>
      <c r="C111" s="5"/>
      <c r="D111" s="5" t="s">
        <v>24</v>
      </c>
      <c r="E111" s="6" t="s">
        <v>25</v>
      </c>
      <c r="F111" s="2">
        <f>[80]Source!DN55</f>
        <v>112</v>
      </c>
      <c r="G111" s="7"/>
      <c r="H111" s="8"/>
      <c r="I111" s="2"/>
      <c r="J111" s="9">
        <f>SUM(Q106:Q110)</f>
        <v>49.74</v>
      </c>
      <c r="K111" s="2">
        <f>[80]Source!BZ55</f>
        <v>90</v>
      </c>
      <c r="L111" s="9">
        <f>SUM(R106:R110)</f>
        <v>956.86</v>
      </c>
    </row>
    <row r="112" spans="1:22" ht="14.25" x14ac:dyDescent="0.2">
      <c r="A112" s="4"/>
      <c r="B112" s="4"/>
      <c r="C112" s="5"/>
      <c r="D112" s="5" t="s">
        <v>26</v>
      </c>
      <c r="E112" s="6" t="s">
        <v>25</v>
      </c>
      <c r="F112" s="2">
        <f>[80]Source!DO55</f>
        <v>70</v>
      </c>
      <c r="G112" s="7"/>
      <c r="H112" s="8"/>
      <c r="I112" s="2"/>
      <c r="J112" s="9">
        <f>SUM(S106:S111)</f>
        <v>31.09</v>
      </c>
      <c r="K112" s="2">
        <f>[80]Source!CA55</f>
        <v>43</v>
      </c>
      <c r="L112" s="9">
        <f>SUM(T106:T111)</f>
        <v>457.17</v>
      </c>
    </row>
    <row r="113" spans="1:22" ht="14.25" x14ac:dyDescent="0.2">
      <c r="A113" s="4"/>
      <c r="B113" s="4"/>
      <c r="C113" s="5"/>
      <c r="D113" s="5" t="s">
        <v>27</v>
      </c>
      <c r="E113" s="6" t="s">
        <v>25</v>
      </c>
      <c r="F113" s="2">
        <f>175</f>
        <v>175</v>
      </c>
      <c r="G113" s="7"/>
      <c r="H113" s="8"/>
      <c r="I113" s="2"/>
      <c r="J113" s="9">
        <f>SUM(U106:U112)-J119</f>
        <v>2.85</v>
      </c>
      <c r="K113" s="2">
        <f>157</f>
        <v>157</v>
      </c>
      <c r="L113" s="9">
        <f>SUM(V106:V112)-L119</f>
        <v>61.18</v>
      </c>
    </row>
    <row r="114" spans="1:22" ht="14.25" x14ac:dyDescent="0.2">
      <c r="A114" s="4"/>
      <c r="B114" s="4"/>
      <c r="C114" s="5"/>
      <c r="D114" s="5" t="s">
        <v>28</v>
      </c>
      <c r="E114" s="6" t="s">
        <v>29</v>
      </c>
      <c r="F114" s="2">
        <f>[80]Source!AQ54</f>
        <v>41.2</v>
      </c>
      <c r="G114" s="7"/>
      <c r="H114" s="8" t="str">
        <f>[80]Source!DI54</f>
        <v/>
      </c>
      <c r="I114" s="2">
        <f>[80]Source!AV55</f>
        <v>1.0469999999999999</v>
      </c>
      <c r="J114" s="9">
        <f>[80]Source!U54</f>
        <v>2.16</v>
      </c>
      <c r="K114" s="2"/>
      <c r="L114" s="9"/>
    </row>
    <row r="115" spans="1:22" ht="15" x14ac:dyDescent="0.25">
      <c r="I115" s="552">
        <f>J107+J108+J110+J111+J112+J113</f>
        <v>152.63</v>
      </c>
      <c r="J115" s="552"/>
      <c r="K115" s="552">
        <f>L107+L108+L110+L111+L112+L113</f>
        <v>2701.73</v>
      </c>
      <c r="L115" s="552"/>
      <c r="O115" s="11">
        <f>J107+J108+J110+J111+J112+J113</f>
        <v>152.63</v>
      </c>
      <c r="P115" s="11">
        <f>L107+L108+L110+L111+L112+L113</f>
        <v>2701.73</v>
      </c>
    </row>
    <row r="116" spans="1:22" ht="28.5" x14ac:dyDescent="0.2">
      <c r="A116" s="12"/>
      <c r="B116" s="12"/>
      <c r="C116" s="13"/>
      <c r="D116" s="13" t="s">
        <v>30</v>
      </c>
      <c r="E116" s="6"/>
      <c r="F116" s="14"/>
      <c r="G116" s="15"/>
      <c r="H116" s="6"/>
      <c r="I116" s="14"/>
      <c r="J116" s="10"/>
      <c r="K116" s="14"/>
      <c r="L116" s="10"/>
    </row>
    <row r="117" spans="1:22" ht="14.25" x14ac:dyDescent="0.2">
      <c r="A117" s="12"/>
      <c r="B117" s="12"/>
      <c r="C117" s="13"/>
      <c r="D117" s="13" t="s">
        <v>21</v>
      </c>
      <c r="E117" s="6"/>
      <c r="F117" s="14"/>
      <c r="G117" s="15">
        <f t="shared" ref="G117:L117" si="5">G118</f>
        <v>31.14</v>
      </c>
      <c r="H117" s="16" t="str">
        <f t="shared" si="5"/>
        <v>)*(1.67-1)</v>
      </c>
      <c r="I117" s="14">
        <f t="shared" si="5"/>
        <v>1.0469999999999999</v>
      </c>
      <c r="J117" s="10">
        <f t="shared" si="5"/>
        <v>1.0900000000000001</v>
      </c>
      <c r="K117" s="14">
        <f t="shared" si="5"/>
        <v>23.94</v>
      </c>
      <c r="L117" s="10">
        <f t="shared" si="5"/>
        <v>26.15</v>
      </c>
    </row>
    <row r="118" spans="1:22" ht="14.25" x14ac:dyDescent="0.2">
      <c r="A118" s="12"/>
      <c r="B118" s="12"/>
      <c r="C118" s="13"/>
      <c r="D118" s="13" t="s">
        <v>22</v>
      </c>
      <c r="E118" s="6"/>
      <c r="F118" s="14"/>
      <c r="G118" s="15">
        <f>[80]Source!AN54</f>
        <v>31.14</v>
      </c>
      <c r="H118" s="16" t="s">
        <v>31</v>
      </c>
      <c r="I118" s="14">
        <f>[80]Source!AV55</f>
        <v>1.0469999999999999</v>
      </c>
      <c r="J118" s="10">
        <f>ROUND(F106*G118*I118*(1.67-1), 2)</f>
        <v>1.0900000000000001</v>
      </c>
      <c r="K118" s="14">
        <f>IF([80]Source!BS55&lt;&gt; 0, [80]Source!BS55, 1)</f>
        <v>23.94</v>
      </c>
      <c r="L118" s="10">
        <f>ROUND(F106*G118*I118*(1.67-1)*K118, 2)</f>
        <v>26.15</v>
      </c>
    </row>
    <row r="119" spans="1:22" ht="14.25" x14ac:dyDescent="0.2">
      <c r="A119" s="12"/>
      <c r="B119" s="12"/>
      <c r="C119" s="13"/>
      <c r="D119" s="13" t="s">
        <v>27</v>
      </c>
      <c r="E119" s="6" t="s">
        <v>25</v>
      </c>
      <c r="F119" s="14">
        <f>175</f>
        <v>175</v>
      </c>
      <c r="G119" s="15"/>
      <c r="H119" s="6"/>
      <c r="I119" s="14"/>
      <c r="J119" s="10">
        <f>ROUND(J118*(F119/100), 2)</f>
        <v>1.91</v>
      </c>
      <c r="K119" s="14">
        <f>157</f>
        <v>157</v>
      </c>
      <c r="L119" s="10">
        <f>ROUND(L118*(K119/100), 2)</f>
        <v>41.06</v>
      </c>
    </row>
    <row r="120" spans="1:22" ht="15" x14ac:dyDescent="0.25">
      <c r="I120" s="552">
        <f>J119+J118</f>
        <v>3</v>
      </c>
      <c r="J120" s="552"/>
      <c r="K120" s="552">
        <f>L119+L118</f>
        <v>67.209999999999994</v>
      </c>
      <c r="L120" s="552"/>
      <c r="O120" s="11">
        <f>I120</f>
        <v>3</v>
      </c>
      <c r="P120" s="11">
        <f>K120</f>
        <v>67.209999999999994</v>
      </c>
    </row>
    <row r="122" spans="1:22" ht="15" x14ac:dyDescent="0.25">
      <c r="A122" s="17"/>
      <c r="B122" s="17"/>
      <c r="C122" s="18"/>
      <c r="D122" s="18" t="s">
        <v>32</v>
      </c>
      <c r="E122" s="19"/>
      <c r="F122" s="20"/>
      <c r="G122" s="21"/>
      <c r="H122" s="22"/>
      <c r="I122" s="525">
        <f>I115+I120</f>
        <v>155.63</v>
      </c>
      <c r="J122" s="525"/>
      <c r="K122" s="525">
        <f>K115+K120</f>
        <v>2768.94</v>
      </c>
      <c r="L122" s="525"/>
    </row>
    <row r="124" spans="1:22" ht="16.5" x14ac:dyDescent="0.25">
      <c r="A124" s="514" t="str">
        <f>CONCATENATE("Раздел: ",IF([80]Source!G67&lt;&gt;"Новый раздел", [80]Source!G67, ""))</f>
        <v>Раздел: Материалы, не учтенные в цене монтажа</v>
      </c>
      <c r="B124" s="514"/>
      <c r="C124" s="514"/>
      <c r="D124" s="514"/>
      <c r="E124" s="514"/>
      <c r="F124" s="514"/>
      <c r="G124" s="514"/>
      <c r="H124" s="514"/>
      <c r="I124" s="514"/>
      <c r="J124" s="514"/>
      <c r="K124" s="514"/>
      <c r="L124" s="514"/>
    </row>
    <row r="125" spans="1:22" ht="71.25" x14ac:dyDescent="0.2">
      <c r="A125" s="4">
        <v>9</v>
      </c>
      <c r="B125" s="4">
        <v>22</v>
      </c>
      <c r="C125" s="5" t="str">
        <f>[80]Source!F81</f>
        <v>МКЭ-33-883/8-3 от 16.07.2018</v>
      </c>
      <c r="D125" s="5" t="s">
        <v>40</v>
      </c>
      <c r="E125" s="6" t="str">
        <f>[80]Source!H81</f>
        <v>шт.</v>
      </c>
      <c r="F125" s="2">
        <f>[80]Source!I81</f>
        <v>797</v>
      </c>
      <c r="G125" s="9">
        <f>[80]Source!AL81</f>
        <v>1.46</v>
      </c>
      <c r="H125" s="8" t="str">
        <f>[80]Source!DD81</f>
        <v>*1,02</v>
      </c>
      <c r="I125" s="2">
        <f>[80]Source!AW82</f>
        <v>1</v>
      </c>
      <c r="J125" s="9">
        <f>L125/K125</f>
        <v>1183.81</v>
      </c>
      <c r="K125" s="2">
        <f>IF([80]Source!BC82&lt;&gt; 0, [80]Source!BC82, 1)</f>
        <v>5.48</v>
      </c>
      <c r="L125" s="9">
        <f>7.98*F125*1.02</f>
        <v>6487.26</v>
      </c>
      <c r="Q125">
        <f>[80]Source!X81</f>
        <v>0</v>
      </c>
      <c r="R125">
        <f>[80]Source!X82</f>
        <v>0</v>
      </c>
      <c r="S125">
        <f>[80]Source!Y81</f>
        <v>0</v>
      </c>
      <c r="T125">
        <f>[80]Source!Y82</f>
        <v>0</v>
      </c>
      <c r="U125">
        <f>ROUND((175/100)*ROUND([80]Source!R81, 2), 2)</f>
        <v>0</v>
      </c>
      <c r="V125">
        <f>ROUND((157/100)*ROUND([80]Source!R82, 2), 2)</f>
        <v>0</v>
      </c>
    </row>
    <row r="126" spans="1:22" ht="15" x14ac:dyDescent="0.25">
      <c r="A126" s="23"/>
      <c r="B126" s="23"/>
      <c r="C126" s="23"/>
      <c r="D126" s="23">
        <v>46</v>
      </c>
      <c r="E126" s="23"/>
      <c r="F126" s="23"/>
      <c r="G126" s="23"/>
      <c r="H126" s="23"/>
      <c r="I126" s="525">
        <f>J125</f>
        <v>1183.81</v>
      </c>
      <c r="J126" s="525"/>
      <c r="K126" s="525">
        <f>L125</f>
        <v>6487.26</v>
      </c>
      <c r="L126" s="525"/>
      <c r="O126" s="11">
        <f>J125</f>
        <v>1183.81</v>
      </c>
      <c r="P126" s="11">
        <f>L125</f>
        <v>6487.26</v>
      </c>
    </row>
    <row r="127" spans="1:22" ht="28.5" x14ac:dyDescent="0.2">
      <c r="A127" s="4">
        <v>10</v>
      </c>
      <c r="B127" s="4">
        <v>23</v>
      </c>
      <c r="C127" s="5" t="str">
        <f>[80]Source!F83</f>
        <v>1.21-5-141</v>
      </c>
      <c r="D127" s="5" t="s">
        <v>41</v>
      </c>
      <c r="E127" s="6" t="str">
        <f>[80]Source!H83</f>
        <v>1000 шт.</v>
      </c>
      <c r="F127" s="2">
        <f>[80]Source!I83</f>
        <v>0.16500000000000001</v>
      </c>
      <c r="G127" s="7">
        <f>[80]Source!AL83</f>
        <v>27538.87</v>
      </c>
      <c r="H127" s="8" t="str">
        <f>[80]Source!DD83</f>
        <v/>
      </c>
      <c r="I127" s="2">
        <f>[80]Source!AW84</f>
        <v>1</v>
      </c>
      <c r="J127" s="9">
        <f>[80]Source!P83</f>
        <v>4543.91</v>
      </c>
      <c r="K127" s="2">
        <f>IF([80]Source!BC84&lt;&gt; 0, [80]Source!BC84, 1)</f>
        <v>2.1</v>
      </c>
      <c r="L127" s="9">
        <f>[80]Source!P84</f>
        <v>9542.2099999999991</v>
      </c>
      <c r="Q127">
        <f>[80]Source!X83</f>
        <v>0</v>
      </c>
      <c r="R127">
        <f>[80]Source!X84</f>
        <v>0</v>
      </c>
      <c r="S127">
        <f>[80]Source!Y83</f>
        <v>0</v>
      </c>
      <c r="T127">
        <f>[80]Source!Y84</f>
        <v>0</v>
      </c>
      <c r="U127">
        <f>ROUND((175/100)*ROUND([80]Source!R83, 2), 2)</f>
        <v>0</v>
      </c>
      <c r="V127">
        <f>ROUND((157/100)*ROUND([80]Source!R84, 2), 2)</f>
        <v>0</v>
      </c>
    </row>
    <row r="128" spans="1:22" ht="15" x14ac:dyDescent="0.25">
      <c r="A128" s="23"/>
      <c r="B128" s="23"/>
      <c r="C128" s="23"/>
      <c r="D128" s="23"/>
      <c r="E128" s="23"/>
      <c r="F128" s="23"/>
      <c r="G128" s="23"/>
      <c r="H128" s="23"/>
      <c r="I128" s="525">
        <f>J127</f>
        <v>4543.91</v>
      </c>
      <c r="J128" s="525"/>
      <c r="K128" s="525">
        <f>L127</f>
        <v>9542.2099999999991</v>
      </c>
      <c r="L128" s="525"/>
      <c r="O128" s="11">
        <f>J127</f>
        <v>4543.91</v>
      </c>
      <c r="P128" s="11">
        <f>L127</f>
        <v>9542.2099999999991</v>
      </c>
    </row>
    <row r="129" spans="1:22" ht="28.5" x14ac:dyDescent="0.2">
      <c r="A129" s="4">
        <v>11</v>
      </c>
      <c r="B129" s="4">
        <v>24</v>
      </c>
      <c r="C129" s="5" t="str">
        <f>[80]Source!F85</f>
        <v>1.21-5-139</v>
      </c>
      <c r="D129" s="5" t="s">
        <v>42</v>
      </c>
      <c r="E129" s="6" t="str">
        <f>[80]Source!H85</f>
        <v>1000 шт.</v>
      </c>
      <c r="F129" s="2">
        <f>[80]Source!I85</f>
        <v>0.218</v>
      </c>
      <c r="G129" s="7">
        <f>[80]Source!AL85</f>
        <v>14436.05</v>
      </c>
      <c r="H129" s="8" t="str">
        <f>[80]Source!DD85</f>
        <v/>
      </c>
      <c r="I129" s="2">
        <f>[80]Source!AW86</f>
        <v>1</v>
      </c>
      <c r="J129" s="9">
        <f>[80]Source!P85</f>
        <v>3147.06</v>
      </c>
      <c r="K129" s="2">
        <f>IF([80]Source!BC86&lt;&gt; 0, [80]Source!BC86, 1)</f>
        <v>2.0299999999999998</v>
      </c>
      <c r="L129" s="9">
        <f>[80]Source!P86</f>
        <v>6388.53</v>
      </c>
      <c r="Q129">
        <f>[80]Source!X85</f>
        <v>0</v>
      </c>
      <c r="R129">
        <f>[80]Source!X86</f>
        <v>0</v>
      </c>
      <c r="S129">
        <f>[80]Source!Y85</f>
        <v>0</v>
      </c>
      <c r="T129">
        <f>[80]Source!Y86</f>
        <v>0</v>
      </c>
      <c r="U129">
        <f>ROUND((175/100)*ROUND([80]Source!R85, 2), 2)</f>
        <v>0</v>
      </c>
      <c r="V129">
        <f>ROUND((157/100)*ROUND([80]Source!R86, 2), 2)</f>
        <v>0</v>
      </c>
    </row>
    <row r="130" spans="1:22" ht="15" x14ac:dyDescent="0.25">
      <c r="A130" s="23"/>
      <c r="B130" s="23"/>
      <c r="C130" s="23"/>
      <c r="D130" s="23"/>
      <c r="E130" s="23"/>
      <c r="F130" s="23"/>
      <c r="G130" s="23"/>
      <c r="H130" s="23"/>
      <c r="I130" s="525">
        <f>J129</f>
        <v>3147.06</v>
      </c>
      <c r="J130" s="525"/>
      <c r="K130" s="525">
        <f>L129</f>
        <v>6388.53</v>
      </c>
      <c r="L130" s="525"/>
      <c r="O130" s="11">
        <f>J129</f>
        <v>3147.06</v>
      </c>
      <c r="P130" s="11">
        <f>L129</f>
        <v>6388.53</v>
      </c>
    </row>
    <row r="131" spans="1:22" ht="28.5" x14ac:dyDescent="0.2">
      <c r="A131" s="4">
        <v>12</v>
      </c>
      <c r="B131" s="4">
        <v>25</v>
      </c>
      <c r="C131" s="5" t="str">
        <f>[80]Source!F87</f>
        <v>1.21-5-142</v>
      </c>
      <c r="D131" s="5" t="s">
        <v>43</v>
      </c>
      <c r="E131" s="6" t="str">
        <f>[80]Source!H87</f>
        <v>1000 шт.</v>
      </c>
      <c r="F131" s="2">
        <f>[80]Source!I87</f>
        <v>0.20499999999999999</v>
      </c>
      <c r="G131" s="7">
        <f>[80]Source!AL87</f>
        <v>9988.57</v>
      </c>
      <c r="H131" s="8" t="str">
        <f>[80]Source!DD87</f>
        <v/>
      </c>
      <c r="I131" s="2">
        <f>[80]Source!AW88</f>
        <v>1</v>
      </c>
      <c r="J131" s="9">
        <f>[80]Source!P87</f>
        <v>2047.66</v>
      </c>
      <c r="K131" s="2">
        <f>IF([80]Source!BC88&lt;&gt; 0, [80]Source!BC88, 1)</f>
        <v>4.9000000000000004</v>
      </c>
      <c r="L131" s="9">
        <f>[80]Source!P88</f>
        <v>10033.530000000001</v>
      </c>
      <c r="Q131">
        <f>[80]Source!X87</f>
        <v>0</v>
      </c>
      <c r="R131">
        <f>[80]Source!X88</f>
        <v>0</v>
      </c>
      <c r="S131">
        <f>[80]Source!Y87</f>
        <v>0</v>
      </c>
      <c r="T131">
        <f>[80]Source!Y88</f>
        <v>0</v>
      </c>
      <c r="U131">
        <f>ROUND((175/100)*ROUND([80]Source!R87, 2), 2)</f>
        <v>0</v>
      </c>
      <c r="V131">
        <f>ROUND((157/100)*ROUND([80]Source!R88, 2), 2)</f>
        <v>0</v>
      </c>
    </row>
    <row r="132" spans="1:22" ht="15" x14ac:dyDescent="0.25">
      <c r="A132" s="23"/>
      <c r="B132" s="23"/>
      <c r="C132" s="23"/>
      <c r="D132" s="23"/>
      <c r="E132" s="23"/>
      <c r="F132" s="23"/>
      <c r="G132" s="23"/>
      <c r="H132" s="23"/>
      <c r="I132" s="525">
        <f>J131</f>
        <v>2047.66</v>
      </c>
      <c r="J132" s="525"/>
      <c r="K132" s="525">
        <f>L131</f>
        <v>10033.530000000001</v>
      </c>
      <c r="L132" s="525"/>
      <c r="O132" s="11">
        <f>J131</f>
        <v>2047.66</v>
      </c>
      <c r="P132" s="11">
        <f>L131</f>
        <v>10033.530000000001</v>
      </c>
    </row>
    <row r="133" spans="1:22" ht="28.5" x14ac:dyDescent="0.2">
      <c r="A133" s="4">
        <v>13</v>
      </c>
      <c r="B133" s="4">
        <v>26</v>
      </c>
      <c r="C133" s="5" t="str">
        <f>[80]Source!F91</f>
        <v>1.21-5-1369</v>
      </c>
      <c r="D133" s="5" t="s">
        <v>44</v>
      </c>
      <c r="E133" s="6" t="str">
        <f>[80]Source!H91</f>
        <v>шт.</v>
      </c>
      <c r="F133" s="2">
        <f>[80]Source!I91</f>
        <v>410</v>
      </c>
      <c r="G133" s="7">
        <f>[80]Source!AL91</f>
        <v>2.0699999999999998</v>
      </c>
      <c r="H133" s="8" t="str">
        <f>[80]Source!DD91</f>
        <v/>
      </c>
      <c r="I133" s="2">
        <f>[80]Source!AW92</f>
        <v>1</v>
      </c>
      <c r="J133" s="9">
        <f>[80]Source!P91</f>
        <v>848.7</v>
      </c>
      <c r="K133" s="2">
        <f>IF([80]Source!BC92&lt;&gt; 0, [80]Source!BC92, 1)</f>
        <v>5.78</v>
      </c>
      <c r="L133" s="9">
        <f>[80]Source!P92</f>
        <v>4905.49</v>
      </c>
      <c r="Q133">
        <f>[80]Source!X91</f>
        <v>0</v>
      </c>
      <c r="R133">
        <f>[80]Source!X92</f>
        <v>0</v>
      </c>
      <c r="S133">
        <f>[80]Source!Y91</f>
        <v>0</v>
      </c>
      <c r="T133">
        <f>[80]Source!Y92</f>
        <v>0</v>
      </c>
      <c r="U133">
        <f>ROUND((175/100)*ROUND([80]Source!R91, 2), 2)</f>
        <v>0</v>
      </c>
      <c r="V133">
        <f>ROUND((157/100)*ROUND([80]Source!R92, 2), 2)</f>
        <v>0</v>
      </c>
    </row>
    <row r="134" spans="1:22" ht="15" x14ac:dyDescent="0.25">
      <c r="A134" s="23"/>
      <c r="B134" s="23"/>
      <c r="C134" s="23"/>
      <c r="D134" s="23"/>
      <c r="E134" s="23"/>
      <c r="F134" s="23"/>
      <c r="G134" s="23"/>
      <c r="H134" s="23"/>
      <c r="I134" s="525">
        <f>J133</f>
        <v>848.7</v>
      </c>
      <c r="J134" s="525"/>
      <c r="K134" s="525">
        <f>L133</f>
        <v>4905.49</v>
      </c>
      <c r="L134" s="525"/>
      <c r="O134" s="11">
        <f>J133</f>
        <v>848.7</v>
      </c>
      <c r="P134" s="11">
        <f>L133</f>
        <v>4905.49</v>
      </c>
    </row>
    <row r="135" spans="1:22" ht="57" x14ac:dyDescent="0.2">
      <c r="A135" s="4">
        <v>14</v>
      </c>
      <c r="B135" s="4">
        <v>29</v>
      </c>
      <c r="C135" s="5" t="str">
        <f>[80]Source!F105</f>
        <v>МКЭ-33-1761/7-1 от 21.09.2017</v>
      </c>
      <c r="D135" s="5" t="s">
        <v>45</v>
      </c>
      <c r="E135" s="6" t="str">
        <f>[80]Source!H105</f>
        <v>ШТ</v>
      </c>
      <c r="F135" s="2">
        <f>[80]Source!I105</f>
        <v>3</v>
      </c>
      <c r="G135" s="9">
        <f>[80]Source!AL105</f>
        <v>84.05</v>
      </c>
      <c r="H135" s="8" t="str">
        <f>[80]Source!DD105</f>
        <v>*1,02</v>
      </c>
      <c r="I135" s="2">
        <f>[80]Source!AW106</f>
        <v>1</v>
      </c>
      <c r="J135" s="9">
        <f>L135/K135</f>
        <v>257.20999999999998</v>
      </c>
      <c r="K135" s="2">
        <f>IF([80]Source!BC106&lt;&gt; 0, [80]Source!BC106, 1)</f>
        <v>5.48</v>
      </c>
      <c r="L135" s="9">
        <f>460.62*F135*1.02</f>
        <v>1409.5</v>
      </c>
      <c r="Q135">
        <f>[80]Source!X105</f>
        <v>0</v>
      </c>
      <c r="R135">
        <f>[80]Source!X106</f>
        <v>0</v>
      </c>
      <c r="S135">
        <f>[80]Source!Y105</f>
        <v>0</v>
      </c>
      <c r="T135">
        <f>[80]Source!Y106</f>
        <v>0</v>
      </c>
      <c r="U135">
        <f>ROUND((175/100)*ROUND([80]Source!R105, 2), 2)</f>
        <v>0</v>
      </c>
      <c r="V135">
        <f>ROUND((157/100)*ROUND([80]Source!R106, 2), 2)</f>
        <v>0</v>
      </c>
    </row>
    <row r="136" spans="1:22" ht="15" x14ac:dyDescent="0.25">
      <c r="A136" s="23"/>
      <c r="B136" s="23"/>
      <c r="C136" s="23"/>
      <c r="D136" s="23"/>
      <c r="E136" s="23"/>
      <c r="F136" s="23"/>
      <c r="G136" s="23"/>
      <c r="H136" s="23"/>
      <c r="I136" s="525">
        <f>J135</f>
        <v>257.20999999999998</v>
      </c>
      <c r="J136" s="525"/>
      <c r="K136" s="525">
        <f>L135</f>
        <v>1409.5</v>
      </c>
      <c r="L136" s="525"/>
      <c r="O136" s="11">
        <f>J135</f>
        <v>257.20999999999998</v>
      </c>
      <c r="P136" s="11">
        <f>L135</f>
        <v>1409.5</v>
      </c>
    </row>
    <row r="137" spans="1:22" ht="71.25" x14ac:dyDescent="0.2">
      <c r="A137" s="4">
        <v>15</v>
      </c>
      <c r="B137" s="4">
        <v>31</v>
      </c>
      <c r="C137" s="5" t="str">
        <f>[80]Source!F109</f>
        <v>1.12-6-112</v>
      </c>
      <c r="D137" s="5" t="s">
        <v>46</v>
      </c>
      <c r="E137" s="6" t="str">
        <f>[80]Source!H109</f>
        <v>м</v>
      </c>
      <c r="F137" s="2">
        <f>[80]Source!I109</f>
        <v>5</v>
      </c>
      <c r="G137" s="7">
        <f>[80]Source!AL109</f>
        <v>37.869999999999997</v>
      </c>
      <c r="H137" s="8" t="str">
        <f>[80]Source!DD109</f>
        <v/>
      </c>
      <c r="I137" s="2">
        <f>[80]Source!AW110</f>
        <v>1</v>
      </c>
      <c r="J137" s="9">
        <f>[80]Source!P109</f>
        <v>189.35</v>
      </c>
      <c r="K137" s="2">
        <f>IF([80]Source!BC110&lt;&gt; 0, [80]Source!BC110, 1)</f>
        <v>8.43</v>
      </c>
      <c r="L137" s="9">
        <f>[80]Source!P110</f>
        <v>1596.22</v>
      </c>
      <c r="Q137">
        <f>[80]Source!X109</f>
        <v>0</v>
      </c>
      <c r="R137">
        <f>[80]Source!X110</f>
        <v>0</v>
      </c>
      <c r="S137">
        <f>[80]Source!Y109</f>
        <v>0</v>
      </c>
      <c r="T137">
        <f>[80]Source!Y110</f>
        <v>0</v>
      </c>
      <c r="U137">
        <f>ROUND((175/100)*ROUND([80]Source!R109, 2), 2)</f>
        <v>0</v>
      </c>
      <c r="V137">
        <f>ROUND((157/100)*ROUND([80]Source!R110, 2), 2)</f>
        <v>0</v>
      </c>
    </row>
    <row r="138" spans="1:22" ht="15" x14ac:dyDescent="0.25">
      <c r="A138" s="23"/>
      <c r="B138" s="23"/>
      <c r="C138" s="23"/>
      <c r="D138" s="23"/>
      <c r="E138" s="23"/>
      <c r="F138" s="23"/>
      <c r="G138" s="23"/>
      <c r="H138" s="23"/>
      <c r="I138" s="525">
        <f>J137</f>
        <v>189.35</v>
      </c>
      <c r="J138" s="525"/>
      <c r="K138" s="525">
        <f>L137</f>
        <v>1596.22</v>
      </c>
      <c r="L138" s="525"/>
      <c r="O138" s="11">
        <f>J137</f>
        <v>189.35</v>
      </c>
      <c r="P138" s="11">
        <f>L137</f>
        <v>1596.22</v>
      </c>
    </row>
    <row r="139" spans="1:22" ht="57" x14ac:dyDescent="0.2">
      <c r="A139" s="4">
        <v>16</v>
      </c>
      <c r="B139" s="4">
        <v>33</v>
      </c>
      <c r="C139" s="5" t="str">
        <f>[80]Source!F115</f>
        <v>1.7-5-272</v>
      </c>
      <c r="D139" s="5" t="s">
        <v>47</v>
      </c>
      <c r="E139" s="6" t="str">
        <f>[80]Source!H115</f>
        <v>100 шт.</v>
      </c>
      <c r="F139" s="2">
        <f>[80]Source!I115</f>
        <v>7.25</v>
      </c>
      <c r="G139" s="7">
        <f>[80]Source!AL115</f>
        <v>494.07</v>
      </c>
      <c r="H139" s="8" t="str">
        <f>[80]Source!DD115</f>
        <v/>
      </c>
      <c r="I139" s="2">
        <f>[80]Source!AW116</f>
        <v>1</v>
      </c>
      <c r="J139" s="9">
        <f>[80]Source!P115</f>
        <v>3582.01</v>
      </c>
      <c r="K139" s="2">
        <f>IF([80]Source!BC116&lt;&gt; 0, [80]Source!BC116, 1)</f>
        <v>5.26</v>
      </c>
      <c r="L139" s="9">
        <f>[80]Source!P116</f>
        <v>18841.37</v>
      </c>
      <c r="Q139">
        <f>[80]Source!X115</f>
        <v>0</v>
      </c>
      <c r="R139">
        <f>[80]Source!X116</f>
        <v>0</v>
      </c>
      <c r="S139">
        <f>[80]Source!Y115</f>
        <v>0</v>
      </c>
      <c r="T139">
        <f>[80]Source!Y116</f>
        <v>0</v>
      </c>
      <c r="U139">
        <f>ROUND((175/100)*ROUND([80]Source!R115, 2), 2)</f>
        <v>0</v>
      </c>
      <c r="V139">
        <f>ROUND((157/100)*ROUND([80]Source!R116, 2), 2)</f>
        <v>0</v>
      </c>
    </row>
    <row r="140" spans="1:22" ht="15" x14ac:dyDescent="0.25">
      <c r="A140" s="23"/>
      <c r="B140" s="23"/>
      <c r="C140" s="23"/>
      <c r="D140" s="23"/>
      <c r="E140" s="23"/>
      <c r="F140" s="23"/>
      <c r="G140" s="23"/>
      <c r="H140" s="23"/>
      <c r="I140" s="525">
        <f>J139</f>
        <v>3582.01</v>
      </c>
      <c r="J140" s="525"/>
      <c r="K140" s="525">
        <f>L139</f>
        <v>18841.37</v>
      </c>
      <c r="L140" s="525"/>
      <c r="O140" s="11">
        <f>J139</f>
        <v>3582.01</v>
      </c>
      <c r="P140" s="11">
        <f>L139</f>
        <v>18841.37</v>
      </c>
    </row>
    <row r="142" spans="1:22" ht="15" x14ac:dyDescent="0.25">
      <c r="A142" s="528" t="str">
        <f>CONCATENATE("Итого по разделу: ",IF([80]Source!G132&lt;&gt;"Новый раздел", [80]Source!G132, ""))</f>
        <v>Итого по разделу: Материалы, не учтенные в цене монтажа</v>
      </c>
      <c r="B142" s="528"/>
      <c r="C142" s="528"/>
      <c r="D142" s="528"/>
      <c r="E142" s="528"/>
      <c r="F142" s="528"/>
      <c r="G142" s="528"/>
      <c r="H142" s="528"/>
      <c r="I142" s="526">
        <f>SUM(O124:O141)</f>
        <v>15799.71</v>
      </c>
      <c r="J142" s="527"/>
      <c r="K142" s="526">
        <f>SUM(P124:P141)</f>
        <v>59204.11</v>
      </c>
      <c r="L142" s="527"/>
    </row>
    <row r="143" spans="1:22" hidden="1" x14ac:dyDescent="0.2">
      <c r="A143" t="s">
        <v>48</v>
      </c>
      <c r="J143">
        <f>SUM(W124:W142)</f>
        <v>0</v>
      </c>
      <c r="K143">
        <f>SUM(X124:X142)</f>
        <v>0</v>
      </c>
    </row>
    <row r="144" spans="1:22" hidden="1" x14ac:dyDescent="0.2">
      <c r="A144" t="s">
        <v>49</v>
      </c>
      <c r="J144">
        <f>SUM(Y124:Y143)</f>
        <v>0</v>
      </c>
      <c r="K144">
        <f>SUM(Z124:Z143)</f>
        <v>0</v>
      </c>
    </row>
    <row r="146" spans="1:256" ht="45" x14ac:dyDescent="0.25">
      <c r="A146" s="528" t="str">
        <f>CONCATENATE("Итого по локальной смете: ",IF([80]Source!G161&lt;&gt;"Новая локальная смета", [80]Source!G161, ""))</f>
        <v>Итого по локальной смете: Станционный комплекс  "Аминьевское шоссе". Вестибюль №2, камера съездов, ТПП. Внутренние инженерные системы (не включая ТПП). Электрооборудование. Кабельные конструкции</v>
      </c>
      <c r="B146" s="528"/>
      <c r="C146" s="528"/>
      <c r="D146" s="528"/>
      <c r="E146" s="528"/>
      <c r="F146" s="528"/>
      <c r="G146" s="528"/>
      <c r="H146" s="528"/>
      <c r="I146" s="526">
        <f>SUM(O19:O145)</f>
        <v>67445.06</v>
      </c>
      <c r="J146" s="527"/>
      <c r="K146" s="526">
        <f>SUM(P19:P145)</f>
        <v>486713.54</v>
      </c>
      <c r="L146" s="527"/>
      <c r="AF146" s="24" t="str">
        <f>CONCATENATE("Итого по локальной смете: ",IF([80]Source!G161&lt;&gt;"Новая локальная смета", [80]Source!G161, ""))</f>
        <v>Итого по локальной смете: Станционный комплекс  "Аминьевское шоссе". Вестибюль №2, камера съездов, ТПП. Внутренние инженерные системы (не включая ТПП). Электрооборудование. Кабельные конструкции</v>
      </c>
    </row>
    <row r="147" spans="1:256" ht="14.25" x14ac:dyDescent="0.2">
      <c r="D147" s="550" t="s">
        <v>54</v>
      </c>
      <c r="E147" s="550"/>
      <c r="F147" s="550"/>
      <c r="G147" s="550"/>
      <c r="H147" s="550"/>
      <c r="I147" s="551">
        <f>I142+J110+J93+J76+J70+J57+J40+J23</f>
        <v>56065.08</v>
      </c>
      <c r="J147" s="551"/>
      <c r="K147" s="551">
        <f>K142+L110+L93+L76+L70+L57+L40+L23</f>
        <v>293078.65000000002</v>
      </c>
      <c r="L147" s="551"/>
    </row>
    <row r="148" spans="1:256" ht="14.25" x14ac:dyDescent="0.2">
      <c r="D148" s="550" t="s">
        <v>55</v>
      </c>
      <c r="E148" s="550"/>
      <c r="F148" s="550"/>
      <c r="G148" s="550"/>
      <c r="H148" s="550"/>
      <c r="I148" s="551">
        <f>J118+J109+J101+J92+J84+J75+J65+J56+J48+J39+J31+J22</f>
        <v>333.79</v>
      </c>
      <c r="J148" s="551"/>
      <c r="K148" s="551">
        <f>L118+L109+L101+L92+L84+L75+L65+L56+L48+L39+L31+L22</f>
        <v>7990.94</v>
      </c>
      <c r="L148" s="551"/>
    </row>
    <row r="149" spans="1:256" ht="14.25" x14ac:dyDescent="0.2">
      <c r="D149" s="550" t="s">
        <v>56</v>
      </c>
      <c r="E149" s="550"/>
      <c r="F149" s="550"/>
      <c r="G149" s="550"/>
      <c r="H149" s="550"/>
      <c r="I149" s="551">
        <f>J107+J90+J73+J54+J37+J20</f>
        <v>2878.48</v>
      </c>
      <c r="J149" s="551"/>
      <c r="K149" s="551">
        <f>L107+L90+L73+L54+L37+L20</f>
        <v>68910.820000000007</v>
      </c>
      <c r="L149" s="551"/>
    </row>
    <row r="151" spans="1:256" x14ac:dyDescent="0.2">
      <c r="A151" s="74"/>
      <c r="B151" s="74"/>
      <c r="C151" s="74"/>
      <c r="D151" s="543" t="s">
        <v>207</v>
      </c>
      <c r="E151" s="543"/>
      <c r="F151" s="543"/>
      <c r="G151" s="543"/>
      <c r="H151" s="543"/>
      <c r="I151" s="75"/>
      <c r="J151" s="76">
        <v>0</v>
      </c>
      <c r="K151" s="76"/>
      <c r="L151" s="76">
        <v>0</v>
      </c>
      <c r="M151" s="77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  <c r="DR151" s="74"/>
      <c r="DS151" s="74"/>
      <c r="DT151" s="74"/>
      <c r="DU151" s="74"/>
      <c r="DV151" s="74"/>
      <c r="DW151" s="74"/>
      <c r="DX151" s="74"/>
      <c r="DY151" s="74"/>
      <c r="DZ151" s="74"/>
      <c r="EA151" s="74"/>
      <c r="EB151" s="74"/>
      <c r="EC151" s="74"/>
      <c r="ED151" s="74"/>
      <c r="EE151" s="74"/>
      <c r="EF151" s="74"/>
      <c r="EG151" s="74"/>
      <c r="EH151" s="74"/>
      <c r="EI151" s="74"/>
      <c r="EJ151" s="74"/>
      <c r="EK151" s="74"/>
      <c r="EL151" s="74"/>
      <c r="EM151" s="74"/>
      <c r="EN151" s="74"/>
      <c r="EO151" s="74"/>
      <c r="EP151" s="74"/>
      <c r="EQ151" s="74"/>
      <c r="ER151" s="74"/>
      <c r="ES151" s="74"/>
      <c r="ET151" s="74"/>
      <c r="EU151" s="74"/>
      <c r="EV151" s="74"/>
      <c r="EW151" s="74"/>
      <c r="EX151" s="74"/>
      <c r="EY151" s="74"/>
      <c r="EZ151" s="74"/>
      <c r="FA151" s="74"/>
      <c r="FB151" s="74"/>
      <c r="FC151" s="74"/>
      <c r="FD151" s="74"/>
      <c r="FE151" s="74"/>
      <c r="FF151" s="74"/>
      <c r="FG151" s="74"/>
      <c r="FH151" s="74"/>
      <c r="FI151" s="74"/>
      <c r="FJ151" s="74"/>
      <c r="FK151" s="74"/>
      <c r="FL151" s="74"/>
      <c r="FM151" s="74"/>
      <c r="FN151" s="74"/>
      <c r="FO151" s="74"/>
      <c r="FP151" s="74"/>
      <c r="FQ151" s="74"/>
      <c r="FR151" s="74"/>
      <c r="FS151" s="74"/>
      <c r="FT151" s="74"/>
      <c r="FU151" s="74"/>
      <c r="FV151" s="74"/>
      <c r="FW151" s="74"/>
      <c r="FX151" s="74"/>
      <c r="FY151" s="74"/>
      <c r="FZ151" s="74"/>
      <c r="GA151" s="74"/>
      <c r="GB151" s="74"/>
      <c r="GC151" s="74"/>
      <c r="GD151" s="74"/>
      <c r="GE151" s="74"/>
      <c r="GF151" s="74"/>
      <c r="GG151" s="74"/>
      <c r="GH151" s="74"/>
      <c r="GI151" s="74"/>
      <c r="GJ151" s="74"/>
      <c r="GK151" s="74"/>
      <c r="GL151" s="74"/>
      <c r="GM151" s="74"/>
      <c r="GN151" s="74"/>
      <c r="GO151" s="74"/>
      <c r="GP151" s="74"/>
      <c r="GQ151" s="74"/>
      <c r="GR151" s="74"/>
      <c r="GS151" s="74"/>
      <c r="GT151" s="74"/>
      <c r="GU151" s="74"/>
      <c r="GV151" s="74"/>
      <c r="GW151" s="74"/>
      <c r="GX151" s="74"/>
      <c r="GY151" s="74"/>
      <c r="GZ151" s="74"/>
      <c r="HA151" s="74"/>
      <c r="HB151" s="74"/>
      <c r="HC151" s="74"/>
      <c r="HD151" s="74"/>
      <c r="HE151" s="74"/>
      <c r="HF151" s="74"/>
      <c r="HG151" s="74"/>
      <c r="HH151" s="74"/>
      <c r="HI151" s="74"/>
      <c r="HJ151" s="74"/>
      <c r="HK151" s="74"/>
      <c r="HL151" s="74"/>
      <c r="HM151" s="74"/>
      <c r="HN151" s="74"/>
      <c r="HO151" s="74"/>
      <c r="HP151" s="74"/>
      <c r="HQ151" s="74"/>
      <c r="HR151" s="74"/>
      <c r="HS151" s="74"/>
      <c r="HT151" s="74"/>
      <c r="HU151" s="74"/>
      <c r="HV151" s="74"/>
      <c r="HW151" s="74"/>
      <c r="HX151" s="74"/>
      <c r="HY151" s="74"/>
      <c r="HZ151" s="74"/>
      <c r="IA151" s="74"/>
      <c r="IB151" s="74"/>
      <c r="IC151" s="74"/>
      <c r="ID151" s="74"/>
      <c r="IE151" s="74"/>
      <c r="IF151" s="74"/>
      <c r="IG151" s="74"/>
      <c r="IH151" s="74"/>
      <c r="II151" s="74"/>
      <c r="IJ151" s="74"/>
      <c r="IK151" s="74"/>
      <c r="IL151" s="74"/>
      <c r="IM151" s="74"/>
      <c r="IN151" s="74"/>
      <c r="IO151" s="74"/>
      <c r="IP151" s="74"/>
      <c r="IQ151" s="74"/>
      <c r="IR151" s="74"/>
      <c r="IS151" s="74"/>
      <c r="IT151" s="74"/>
      <c r="IU151" s="74"/>
      <c r="IV151" s="74"/>
    </row>
    <row r="152" spans="1:256" x14ac:dyDescent="0.2">
      <c r="A152" s="78"/>
      <c r="B152" s="78"/>
      <c r="C152" s="78"/>
      <c r="D152" s="543" t="s">
        <v>208</v>
      </c>
      <c r="E152" s="543"/>
      <c r="F152" s="543"/>
      <c r="G152" s="543"/>
      <c r="H152" s="543"/>
      <c r="I152" s="75"/>
      <c r="J152" s="76">
        <f>I145</f>
        <v>0</v>
      </c>
      <c r="K152" s="79"/>
      <c r="L152" s="76">
        <f>K145</f>
        <v>0</v>
      </c>
      <c r="M152" s="77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  <c r="CT152" s="80"/>
      <c r="CU152" s="80"/>
      <c r="CV152" s="80"/>
      <c r="CW152" s="80"/>
      <c r="CX152" s="80"/>
      <c r="CY152" s="80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  <c r="DR152" s="80"/>
      <c r="DS152" s="80"/>
      <c r="DT152" s="80"/>
      <c r="DU152" s="80"/>
      <c r="DV152" s="80"/>
      <c r="DW152" s="80"/>
      <c r="DX152" s="80"/>
      <c r="DY152" s="80"/>
      <c r="DZ152" s="80"/>
      <c r="EA152" s="80"/>
      <c r="EB152" s="80"/>
      <c r="EC152" s="80"/>
      <c r="ED152" s="80"/>
      <c r="EE152" s="80"/>
      <c r="EF152" s="80"/>
      <c r="EG152" s="80"/>
      <c r="EH152" s="80"/>
      <c r="EI152" s="80"/>
      <c r="EJ152" s="80"/>
      <c r="EK152" s="80"/>
      <c r="EL152" s="80"/>
      <c r="EM152" s="80"/>
      <c r="EN152" s="80"/>
      <c r="EO152" s="80"/>
      <c r="EP152" s="80"/>
      <c r="EQ152" s="80"/>
      <c r="ER152" s="80"/>
      <c r="ES152" s="80"/>
      <c r="ET152" s="80"/>
      <c r="EU152" s="80"/>
      <c r="EV152" s="80"/>
      <c r="EW152" s="80"/>
      <c r="EX152" s="80"/>
      <c r="EY152" s="80"/>
      <c r="EZ152" s="80"/>
      <c r="FA152" s="80"/>
      <c r="FB152" s="80"/>
      <c r="FC152" s="80"/>
      <c r="FD152" s="80"/>
      <c r="FE152" s="80"/>
      <c r="FF152" s="80"/>
      <c r="FG152" s="80"/>
      <c r="FH152" s="80"/>
      <c r="FI152" s="80"/>
      <c r="FJ152" s="80"/>
      <c r="FK152" s="80"/>
      <c r="FL152" s="80"/>
      <c r="FM152" s="80"/>
      <c r="FN152" s="80"/>
      <c r="FO152" s="80"/>
      <c r="FP152" s="80"/>
      <c r="FQ152" s="80"/>
      <c r="FR152" s="80"/>
      <c r="FS152" s="80"/>
      <c r="FT152" s="80"/>
      <c r="FU152" s="80"/>
      <c r="FV152" s="80"/>
      <c r="FW152" s="80"/>
      <c r="FX152" s="80"/>
      <c r="FY152" s="80"/>
      <c r="FZ152" s="80"/>
      <c r="GA152" s="80"/>
      <c r="GB152" s="80"/>
      <c r="GC152" s="80"/>
      <c r="GD152" s="80"/>
      <c r="GE152" s="80"/>
      <c r="GF152" s="80"/>
      <c r="GG152" s="80"/>
      <c r="GH152" s="80"/>
      <c r="GI152" s="80"/>
      <c r="GJ152" s="80"/>
      <c r="GK152" s="80"/>
      <c r="GL152" s="80"/>
      <c r="GM152" s="80"/>
      <c r="GN152" s="80"/>
      <c r="GO152" s="80"/>
      <c r="GP152" s="80"/>
      <c r="GQ152" s="80"/>
      <c r="GR152" s="80"/>
      <c r="GS152" s="80"/>
      <c r="GT152" s="80"/>
      <c r="GU152" s="80"/>
      <c r="GV152" s="80"/>
      <c r="GW152" s="80"/>
      <c r="GX152" s="80"/>
      <c r="GY152" s="80"/>
      <c r="GZ152" s="80"/>
      <c r="HA152" s="80"/>
      <c r="HB152" s="80"/>
      <c r="HC152" s="80"/>
      <c r="HD152" s="80"/>
      <c r="HE152" s="80"/>
      <c r="HF152" s="80"/>
      <c r="HG152" s="80"/>
      <c r="HH152" s="80"/>
      <c r="HI152" s="80"/>
      <c r="HJ152" s="80"/>
      <c r="HK152" s="80"/>
      <c r="HL152" s="80"/>
      <c r="HM152" s="80"/>
      <c r="HN152" s="80"/>
      <c r="HO152" s="80"/>
      <c r="HP152" s="80"/>
      <c r="HQ152" s="80"/>
      <c r="HR152" s="80"/>
      <c r="HS152" s="80"/>
      <c r="HT152" s="80"/>
      <c r="HU152" s="80"/>
      <c r="HV152" s="80"/>
      <c r="HW152" s="80"/>
      <c r="HX152" s="80"/>
      <c r="HY152" s="80"/>
      <c r="HZ152" s="80"/>
      <c r="IA152" s="80"/>
      <c r="IB152" s="80"/>
      <c r="IC152" s="80"/>
      <c r="ID152" s="80"/>
      <c r="IE152" s="80"/>
      <c r="IF152" s="80"/>
      <c r="IG152" s="80"/>
      <c r="IH152" s="80"/>
      <c r="II152" s="80"/>
      <c r="IJ152" s="80"/>
      <c r="IK152" s="80"/>
      <c r="IL152" s="80"/>
      <c r="IM152" s="80"/>
      <c r="IN152" s="80"/>
      <c r="IO152" s="80"/>
      <c r="IP152" s="80"/>
      <c r="IQ152" s="80"/>
      <c r="IR152" s="80"/>
      <c r="IS152" s="80"/>
      <c r="IT152" s="80"/>
      <c r="IU152" s="80"/>
      <c r="IV152" s="80"/>
    </row>
    <row r="153" spans="1:256" x14ac:dyDescent="0.2">
      <c r="A153" s="78"/>
      <c r="B153" s="78"/>
      <c r="C153" s="78"/>
      <c r="D153" s="79" t="s">
        <v>209</v>
      </c>
      <c r="E153" s="79"/>
      <c r="F153" s="79"/>
      <c r="G153" s="79"/>
      <c r="H153" s="79"/>
      <c r="I153" s="79"/>
      <c r="J153" s="76">
        <f>SUM(J151:J152)</f>
        <v>0</v>
      </c>
      <c r="K153" s="79"/>
      <c r="L153" s="76">
        <f>SUM(L151:L152)</f>
        <v>0</v>
      </c>
      <c r="M153" s="77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  <c r="DS153" s="80"/>
      <c r="DT153" s="80"/>
      <c r="DU153" s="80"/>
      <c r="DV153" s="80"/>
      <c r="DW153" s="80"/>
      <c r="DX153" s="80"/>
      <c r="DY153" s="80"/>
      <c r="DZ153" s="80"/>
      <c r="EA153" s="80"/>
      <c r="EB153" s="80"/>
      <c r="EC153" s="80"/>
      <c r="ED153" s="80"/>
      <c r="EE153" s="80"/>
      <c r="EF153" s="80"/>
      <c r="EG153" s="80"/>
      <c r="EH153" s="80"/>
      <c r="EI153" s="80"/>
      <c r="EJ153" s="80"/>
      <c r="EK153" s="80"/>
      <c r="EL153" s="80"/>
      <c r="EM153" s="80"/>
      <c r="EN153" s="80"/>
      <c r="EO153" s="80"/>
      <c r="EP153" s="80"/>
      <c r="EQ153" s="80"/>
      <c r="ER153" s="80"/>
      <c r="ES153" s="80"/>
      <c r="ET153" s="80"/>
      <c r="EU153" s="80"/>
      <c r="EV153" s="80"/>
      <c r="EW153" s="80"/>
      <c r="EX153" s="80"/>
      <c r="EY153" s="80"/>
      <c r="EZ153" s="80"/>
      <c r="FA153" s="80"/>
      <c r="FB153" s="80"/>
      <c r="FC153" s="80"/>
      <c r="FD153" s="80"/>
      <c r="FE153" s="80"/>
      <c r="FF153" s="80"/>
      <c r="FG153" s="80"/>
      <c r="FH153" s="80"/>
      <c r="FI153" s="80"/>
      <c r="FJ153" s="80"/>
      <c r="FK153" s="80"/>
      <c r="FL153" s="80"/>
      <c r="FM153" s="80"/>
      <c r="FN153" s="80"/>
      <c r="FO153" s="80"/>
      <c r="FP153" s="80"/>
      <c r="FQ153" s="80"/>
      <c r="FR153" s="80"/>
      <c r="FS153" s="80"/>
      <c r="FT153" s="80"/>
      <c r="FU153" s="80"/>
      <c r="FV153" s="80"/>
      <c r="FW153" s="80"/>
      <c r="FX153" s="80"/>
      <c r="FY153" s="80"/>
      <c r="FZ153" s="80"/>
      <c r="GA153" s="80"/>
      <c r="GB153" s="80"/>
      <c r="GC153" s="80"/>
      <c r="GD153" s="80"/>
      <c r="GE153" s="80"/>
      <c r="GF153" s="80"/>
      <c r="GG153" s="80"/>
      <c r="GH153" s="80"/>
      <c r="GI153" s="80"/>
      <c r="GJ153" s="80"/>
      <c r="GK153" s="80"/>
      <c r="GL153" s="80"/>
      <c r="GM153" s="80"/>
      <c r="GN153" s="80"/>
      <c r="GO153" s="80"/>
      <c r="GP153" s="80"/>
      <c r="GQ153" s="80"/>
      <c r="GR153" s="80"/>
      <c r="GS153" s="80"/>
      <c r="GT153" s="80"/>
      <c r="GU153" s="80"/>
      <c r="GV153" s="80"/>
      <c r="GW153" s="80"/>
      <c r="GX153" s="80"/>
      <c r="GY153" s="80"/>
      <c r="GZ153" s="80"/>
      <c r="HA153" s="80"/>
      <c r="HB153" s="80"/>
      <c r="HC153" s="80"/>
      <c r="HD153" s="80"/>
      <c r="HE153" s="80"/>
      <c r="HF153" s="80"/>
      <c r="HG153" s="80"/>
      <c r="HH153" s="80"/>
      <c r="HI153" s="80"/>
      <c r="HJ153" s="80"/>
      <c r="HK153" s="80"/>
      <c r="HL153" s="80"/>
      <c r="HM153" s="80"/>
      <c r="HN153" s="80"/>
      <c r="HO153" s="80"/>
      <c r="HP153" s="80"/>
      <c r="HQ153" s="80"/>
      <c r="HR153" s="80"/>
      <c r="HS153" s="80"/>
      <c r="HT153" s="80"/>
      <c r="HU153" s="80"/>
      <c r="HV153" s="80"/>
      <c r="HW153" s="80"/>
      <c r="HX153" s="80"/>
      <c r="HY153" s="80"/>
      <c r="HZ153" s="80"/>
      <c r="IA153" s="80"/>
      <c r="IB153" s="80"/>
      <c r="IC153" s="80"/>
      <c r="ID153" s="80"/>
      <c r="IE153" s="80"/>
      <c r="IF153" s="80"/>
      <c r="IG153" s="80"/>
      <c r="IH153" s="80"/>
      <c r="II153" s="80"/>
      <c r="IJ153" s="80"/>
      <c r="IK153" s="80"/>
      <c r="IL153" s="80"/>
      <c r="IM153" s="80"/>
      <c r="IN153" s="80"/>
      <c r="IO153" s="80"/>
      <c r="IP153" s="80"/>
      <c r="IQ153" s="80"/>
      <c r="IR153" s="80"/>
      <c r="IS153" s="80"/>
      <c r="IT153" s="80"/>
      <c r="IU153" s="80"/>
      <c r="IV153" s="80"/>
    </row>
    <row r="154" spans="1:256" x14ac:dyDescent="0.2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2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1"/>
      <c r="CX154" s="81"/>
      <c r="CY154" s="81"/>
      <c r="CZ154" s="81"/>
      <c r="DA154" s="81"/>
      <c r="DB154" s="81"/>
      <c r="DC154" s="81"/>
      <c r="DD154" s="81"/>
      <c r="DE154" s="81"/>
      <c r="DF154" s="81"/>
      <c r="DG154" s="81"/>
      <c r="DH154" s="81"/>
      <c r="DI154" s="81"/>
      <c r="DJ154" s="81"/>
      <c r="DK154" s="81"/>
      <c r="DL154" s="81"/>
      <c r="DM154" s="81"/>
      <c r="DN154" s="81"/>
      <c r="DO154" s="81"/>
      <c r="DP154" s="81"/>
      <c r="DQ154" s="81"/>
      <c r="DR154" s="81"/>
      <c r="DS154" s="81"/>
      <c r="DT154" s="81"/>
      <c r="DU154" s="81"/>
      <c r="DV154" s="81"/>
      <c r="DW154" s="81"/>
      <c r="DX154" s="81"/>
      <c r="DY154" s="81"/>
      <c r="DZ154" s="81"/>
      <c r="EA154" s="81"/>
      <c r="EB154" s="81"/>
      <c r="EC154" s="81"/>
      <c r="ED154" s="81"/>
      <c r="EE154" s="81"/>
      <c r="EF154" s="81"/>
      <c r="EG154" s="81"/>
      <c r="EH154" s="81"/>
      <c r="EI154" s="81"/>
      <c r="EJ154" s="81"/>
      <c r="EK154" s="81"/>
      <c r="EL154" s="81"/>
      <c r="EM154" s="81"/>
      <c r="EN154" s="81"/>
      <c r="EO154" s="81"/>
      <c r="EP154" s="81"/>
      <c r="EQ154" s="81"/>
      <c r="ER154" s="81"/>
      <c r="ES154" s="81"/>
      <c r="ET154" s="81"/>
      <c r="EU154" s="81"/>
      <c r="EV154" s="81"/>
      <c r="EW154" s="81"/>
      <c r="EX154" s="81"/>
      <c r="EY154" s="81"/>
      <c r="EZ154" s="81"/>
      <c r="FA154" s="81"/>
      <c r="FB154" s="81"/>
      <c r="FC154" s="81"/>
      <c r="FD154" s="81"/>
      <c r="FE154" s="81"/>
      <c r="FF154" s="81"/>
      <c r="FG154" s="81"/>
      <c r="FH154" s="81"/>
      <c r="FI154" s="81"/>
      <c r="FJ154" s="81"/>
      <c r="FK154" s="81"/>
      <c r="FL154" s="81"/>
      <c r="FM154" s="81"/>
      <c r="FN154" s="81"/>
      <c r="FO154" s="81"/>
      <c r="FP154" s="81"/>
      <c r="FQ154" s="81"/>
      <c r="FR154" s="81"/>
      <c r="FS154" s="81"/>
      <c r="FT154" s="81"/>
      <c r="FU154" s="81"/>
      <c r="FV154" s="81"/>
      <c r="FW154" s="81"/>
      <c r="FX154" s="81"/>
      <c r="FY154" s="81"/>
      <c r="FZ154" s="81"/>
      <c r="GA154" s="81"/>
      <c r="GB154" s="81"/>
      <c r="GC154" s="81"/>
      <c r="GD154" s="81"/>
      <c r="GE154" s="81"/>
      <c r="GF154" s="81"/>
      <c r="GG154" s="81"/>
      <c r="GH154" s="81"/>
      <c r="GI154" s="81"/>
      <c r="GJ154" s="81"/>
      <c r="GK154" s="81"/>
      <c r="GL154" s="81"/>
      <c r="GM154" s="81"/>
      <c r="GN154" s="81"/>
      <c r="GO154" s="81"/>
      <c r="GP154" s="81"/>
      <c r="GQ154" s="81"/>
      <c r="GR154" s="81"/>
      <c r="GS154" s="81"/>
      <c r="GT154" s="81"/>
      <c r="GU154" s="81"/>
      <c r="GV154" s="81"/>
      <c r="GW154" s="81"/>
      <c r="GX154" s="81"/>
      <c r="GY154" s="81"/>
      <c r="GZ154" s="81"/>
      <c r="HA154" s="81"/>
      <c r="HB154" s="81"/>
      <c r="HC154" s="81"/>
      <c r="HD154" s="81"/>
      <c r="HE154" s="81"/>
      <c r="HF154" s="81"/>
      <c r="HG154" s="81"/>
      <c r="HH154" s="81"/>
      <c r="HI154" s="81"/>
      <c r="HJ154" s="81"/>
      <c r="HK154" s="81"/>
      <c r="HL154" s="81"/>
      <c r="HM154" s="81"/>
      <c r="HN154" s="81"/>
      <c r="HO154" s="81"/>
      <c r="HP154" s="81"/>
      <c r="HQ154" s="81"/>
      <c r="HR154" s="81"/>
      <c r="HS154" s="81"/>
      <c r="HT154" s="81"/>
      <c r="HU154" s="81"/>
      <c r="HV154" s="81"/>
      <c r="HW154" s="81"/>
      <c r="HX154" s="81"/>
      <c r="HY154" s="81"/>
      <c r="HZ154" s="81"/>
      <c r="IA154" s="81"/>
      <c r="IB154" s="81"/>
      <c r="IC154" s="81"/>
      <c r="ID154" s="81"/>
      <c r="IE154" s="81"/>
      <c r="IF154" s="81"/>
      <c r="IG154" s="81"/>
      <c r="IH154" s="81"/>
      <c r="II154" s="81"/>
      <c r="IJ154" s="81"/>
      <c r="IK154" s="81"/>
      <c r="IL154" s="81"/>
      <c r="IM154" s="81"/>
      <c r="IN154" s="81"/>
      <c r="IO154" s="81"/>
      <c r="IP154" s="81"/>
      <c r="IQ154" s="81"/>
      <c r="IR154" s="81"/>
      <c r="IS154" s="81"/>
      <c r="IT154" s="81"/>
      <c r="IU154" s="81"/>
      <c r="IV154" s="81"/>
    </row>
    <row r="155" spans="1:256" ht="30" x14ac:dyDescent="0.25">
      <c r="A155" s="78"/>
      <c r="B155" s="78"/>
      <c r="C155" s="78"/>
      <c r="D155" s="83" t="s">
        <v>210</v>
      </c>
      <c r="E155" s="83"/>
      <c r="F155" s="83"/>
      <c r="G155" s="83"/>
      <c r="H155" s="83"/>
      <c r="I155" s="84"/>
      <c r="J155" s="85">
        <f>I146</f>
        <v>67445.06</v>
      </c>
      <c r="K155" s="86"/>
      <c r="L155" s="85">
        <f>K146</f>
        <v>486713.54</v>
      </c>
      <c r="M155" s="82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  <c r="CR155" s="80"/>
      <c r="CS155" s="80"/>
      <c r="CT155" s="80"/>
      <c r="CU155" s="80"/>
      <c r="CV155" s="80"/>
      <c r="CW155" s="80"/>
      <c r="CX155" s="80"/>
      <c r="CY155" s="80"/>
      <c r="CZ155" s="80"/>
      <c r="DA155" s="80"/>
      <c r="DB155" s="80"/>
      <c r="DC155" s="80"/>
      <c r="DD155" s="80"/>
      <c r="DE155" s="80"/>
      <c r="DF155" s="80"/>
      <c r="DG155" s="80"/>
      <c r="DH155" s="80"/>
      <c r="DI155" s="80"/>
      <c r="DJ155" s="80"/>
      <c r="DK155" s="80"/>
      <c r="DL155" s="80"/>
      <c r="DM155" s="80"/>
      <c r="DN155" s="80"/>
      <c r="DO155" s="80"/>
      <c r="DP155" s="80"/>
      <c r="DQ155" s="80"/>
      <c r="DR155" s="80"/>
      <c r="DS155" s="80"/>
      <c r="DT155" s="80"/>
      <c r="DU155" s="80"/>
      <c r="DV155" s="80"/>
      <c r="DW155" s="80"/>
      <c r="DX155" s="80"/>
      <c r="DY155" s="80"/>
      <c r="DZ155" s="80"/>
      <c r="EA155" s="80"/>
      <c r="EB155" s="80"/>
      <c r="EC155" s="80"/>
      <c r="ED155" s="80"/>
      <c r="EE155" s="80"/>
      <c r="EF155" s="80"/>
      <c r="EG155" s="80"/>
      <c r="EH155" s="80"/>
      <c r="EI155" s="80"/>
      <c r="EJ155" s="80"/>
      <c r="EK155" s="80"/>
      <c r="EL155" s="80"/>
      <c r="EM155" s="80"/>
      <c r="EN155" s="80"/>
      <c r="EO155" s="80"/>
      <c r="EP155" s="80"/>
      <c r="EQ155" s="80"/>
      <c r="ER155" s="80"/>
      <c r="ES155" s="80"/>
      <c r="ET155" s="80"/>
      <c r="EU155" s="80"/>
      <c r="EV155" s="80"/>
      <c r="EW155" s="80"/>
      <c r="EX155" s="80"/>
      <c r="EY155" s="80"/>
      <c r="EZ155" s="80"/>
      <c r="FA155" s="80"/>
      <c r="FB155" s="80"/>
      <c r="FC155" s="80"/>
      <c r="FD155" s="80"/>
      <c r="FE155" s="80"/>
      <c r="FF155" s="80"/>
      <c r="FG155" s="80"/>
      <c r="FH155" s="80"/>
      <c r="FI155" s="80"/>
      <c r="FJ155" s="80"/>
      <c r="FK155" s="80"/>
      <c r="FL155" s="80"/>
      <c r="FM155" s="80"/>
      <c r="FN155" s="80"/>
      <c r="FO155" s="80"/>
      <c r="FP155" s="80"/>
      <c r="FQ155" s="80"/>
      <c r="FR155" s="80"/>
      <c r="FS155" s="80"/>
      <c r="FT155" s="80"/>
      <c r="FU155" s="80"/>
      <c r="FV155" s="80"/>
      <c r="FW155" s="80"/>
      <c r="FX155" s="80"/>
      <c r="FY155" s="80"/>
      <c r="FZ155" s="80"/>
      <c r="GA155" s="80"/>
      <c r="GB155" s="80"/>
      <c r="GC155" s="80"/>
      <c r="GD155" s="80"/>
      <c r="GE155" s="80"/>
      <c r="GF155" s="80"/>
      <c r="GG155" s="80"/>
      <c r="GH155" s="80"/>
      <c r="GI155" s="80"/>
      <c r="GJ155" s="80"/>
      <c r="GK155" s="80"/>
      <c r="GL155" s="80"/>
      <c r="GM155" s="80"/>
      <c r="GN155" s="80"/>
      <c r="GO155" s="80"/>
      <c r="GP155" s="80"/>
      <c r="GQ155" s="80"/>
      <c r="GR155" s="80"/>
      <c r="GS155" s="80"/>
      <c r="GT155" s="80"/>
      <c r="GU155" s="80"/>
      <c r="GV155" s="80"/>
      <c r="GW155" s="80"/>
      <c r="GX155" s="80"/>
      <c r="GY155" s="80"/>
      <c r="GZ155" s="80"/>
      <c r="HA155" s="80"/>
      <c r="HB155" s="80"/>
      <c r="HC155" s="80"/>
      <c r="HD155" s="80"/>
      <c r="HE155" s="80"/>
      <c r="HF155" s="80"/>
      <c r="HG155" s="80"/>
      <c r="HH155" s="80"/>
      <c r="HI155" s="80"/>
      <c r="HJ155" s="80"/>
      <c r="HK155" s="80"/>
      <c r="HL155" s="80"/>
      <c r="HM155" s="80"/>
      <c r="HN155" s="80"/>
      <c r="HO155" s="80"/>
      <c r="HP155" s="80"/>
      <c r="HQ155" s="80"/>
      <c r="HR155" s="80"/>
      <c r="HS155" s="80"/>
      <c r="HT155" s="80"/>
      <c r="HU155" s="80"/>
      <c r="HV155" s="80"/>
      <c r="HW155" s="80"/>
      <c r="HX155" s="80"/>
      <c r="HY155" s="80"/>
      <c r="HZ155" s="80"/>
      <c r="IA155" s="80"/>
      <c r="IB155" s="80"/>
      <c r="IC155" s="80"/>
      <c r="ID155" s="80"/>
      <c r="IE155" s="80"/>
      <c r="IF155" s="80"/>
      <c r="IG155" s="80"/>
      <c r="IH155" s="80"/>
      <c r="II155" s="80"/>
      <c r="IJ155" s="80"/>
      <c r="IK155" s="80"/>
      <c r="IL155" s="80"/>
      <c r="IM155" s="80"/>
      <c r="IN155" s="80"/>
      <c r="IO155" s="80"/>
      <c r="IP155" s="80"/>
      <c r="IQ155" s="80"/>
      <c r="IR155" s="80"/>
      <c r="IS155" s="80"/>
      <c r="IT155" s="80"/>
      <c r="IU155" s="80"/>
      <c r="IV155" s="80"/>
    </row>
    <row r="156" spans="1:256" ht="14.25" x14ac:dyDescent="0.2">
      <c r="A156" s="78"/>
      <c r="B156" s="78"/>
      <c r="C156" s="78"/>
      <c r="D156" s="87" t="s">
        <v>211</v>
      </c>
      <c r="E156" s="87"/>
      <c r="F156" s="87"/>
      <c r="G156" s="87"/>
      <c r="H156" s="87"/>
      <c r="I156" s="88"/>
      <c r="J156" s="89">
        <f>J155-J159</f>
        <v>67445.06</v>
      </c>
      <c r="K156" s="90"/>
      <c r="L156" s="89">
        <f>L155-L159</f>
        <v>486713.54</v>
      </c>
      <c r="M156" s="82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  <c r="CR156" s="80"/>
      <c r="CS156" s="80"/>
      <c r="CT156" s="80"/>
      <c r="CU156" s="80"/>
      <c r="CV156" s="80"/>
      <c r="CW156" s="80"/>
      <c r="CX156" s="80"/>
      <c r="CY156" s="80"/>
      <c r="CZ156" s="80"/>
      <c r="DA156" s="80"/>
      <c r="DB156" s="80"/>
      <c r="DC156" s="80"/>
      <c r="DD156" s="80"/>
      <c r="DE156" s="80"/>
      <c r="DF156" s="80"/>
      <c r="DG156" s="80"/>
      <c r="DH156" s="80"/>
      <c r="DI156" s="80"/>
      <c r="DJ156" s="80"/>
      <c r="DK156" s="80"/>
      <c r="DL156" s="80"/>
      <c r="DM156" s="80"/>
      <c r="DN156" s="80"/>
      <c r="DO156" s="80"/>
      <c r="DP156" s="80"/>
      <c r="DQ156" s="80"/>
      <c r="DR156" s="80"/>
      <c r="DS156" s="80"/>
      <c r="DT156" s="80"/>
      <c r="DU156" s="80"/>
      <c r="DV156" s="80"/>
      <c r="DW156" s="80"/>
      <c r="DX156" s="80"/>
      <c r="DY156" s="80"/>
      <c r="DZ156" s="80"/>
      <c r="EA156" s="80"/>
      <c r="EB156" s="80"/>
      <c r="EC156" s="80"/>
      <c r="ED156" s="80"/>
      <c r="EE156" s="80"/>
      <c r="EF156" s="80"/>
      <c r="EG156" s="80"/>
      <c r="EH156" s="80"/>
      <c r="EI156" s="80"/>
      <c r="EJ156" s="80"/>
      <c r="EK156" s="80"/>
      <c r="EL156" s="80"/>
      <c r="EM156" s="80"/>
      <c r="EN156" s="80"/>
      <c r="EO156" s="80"/>
      <c r="EP156" s="80"/>
      <c r="EQ156" s="80"/>
      <c r="ER156" s="80"/>
      <c r="ES156" s="80"/>
      <c r="ET156" s="80"/>
      <c r="EU156" s="80"/>
      <c r="EV156" s="80"/>
      <c r="EW156" s="80"/>
      <c r="EX156" s="80"/>
      <c r="EY156" s="80"/>
      <c r="EZ156" s="80"/>
      <c r="FA156" s="80"/>
      <c r="FB156" s="80"/>
      <c r="FC156" s="80"/>
      <c r="FD156" s="80"/>
      <c r="FE156" s="80"/>
      <c r="FF156" s="80"/>
      <c r="FG156" s="80"/>
      <c r="FH156" s="80"/>
      <c r="FI156" s="80"/>
      <c r="FJ156" s="80"/>
      <c r="FK156" s="80"/>
      <c r="FL156" s="80"/>
      <c r="FM156" s="80"/>
      <c r="FN156" s="80"/>
      <c r="FO156" s="80"/>
      <c r="FP156" s="80"/>
      <c r="FQ156" s="80"/>
      <c r="FR156" s="80"/>
      <c r="FS156" s="80"/>
      <c r="FT156" s="80"/>
      <c r="FU156" s="80"/>
      <c r="FV156" s="80"/>
      <c r="FW156" s="80"/>
      <c r="FX156" s="80"/>
      <c r="FY156" s="80"/>
      <c r="FZ156" s="80"/>
      <c r="GA156" s="80"/>
      <c r="GB156" s="80"/>
      <c r="GC156" s="80"/>
      <c r="GD156" s="80"/>
      <c r="GE156" s="80"/>
      <c r="GF156" s="80"/>
      <c r="GG156" s="80"/>
      <c r="GH156" s="80"/>
      <c r="GI156" s="80"/>
      <c r="GJ156" s="80"/>
      <c r="GK156" s="80"/>
      <c r="GL156" s="80"/>
      <c r="GM156" s="80"/>
      <c r="GN156" s="80"/>
      <c r="GO156" s="80"/>
      <c r="GP156" s="80"/>
      <c r="GQ156" s="80"/>
      <c r="GR156" s="80"/>
      <c r="GS156" s="80"/>
      <c r="GT156" s="80"/>
      <c r="GU156" s="80"/>
      <c r="GV156" s="80"/>
      <c r="GW156" s="80"/>
      <c r="GX156" s="80"/>
      <c r="GY156" s="80"/>
      <c r="GZ156" s="80"/>
      <c r="HA156" s="80"/>
      <c r="HB156" s="80"/>
      <c r="HC156" s="80"/>
      <c r="HD156" s="80"/>
      <c r="HE156" s="80"/>
      <c r="HF156" s="80"/>
      <c r="HG156" s="80"/>
      <c r="HH156" s="80"/>
      <c r="HI156" s="80"/>
      <c r="HJ156" s="80"/>
      <c r="HK156" s="80"/>
      <c r="HL156" s="80"/>
      <c r="HM156" s="80"/>
      <c r="HN156" s="80"/>
      <c r="HO156" s="80"/>
      <c r="HP156" s="80"/>
      <c r="HQ156" s="80"/>
      <c r="HR156" s="80"/>
      <c r="HS156" s="80"/>
      <c r="HT156" s="80"/>
      <c r="HU156" s="80"/>
      <c r="HV156" s="80"/>
      <c r="HW156" s="80"/>
      <c r="HX156" s="80"/>
      <c r="HY156" s="80"/>
      <c r="HZ156" s="80"/>
      <c r="IA156" s="80"/>
      <c r="IB156" s="80"/>
      <c r="IC156" s="80"/>
      <c r="ID156" s="80"/>
      <c r="IE156" s="80"/>
      <c r="IF156" s="80"/>
      <c r="IG156" s="80"/>
      <c r="IH156" s="80"/>
      <c r="II156" s="80"/>
      <c r="IJ156" s="80"/>
      <c r="IK156" s="80"/>
      <c r="IL156" s="80"/>
      <c r="IM156" s="80"/>
      <c r="IN156" s="80"/>
      <c r="IO156" s="80"/>
      <c r="IP156" s="80"/>
      <c r="IQ156" s="80"/>
      <c r="IR156" s="80"/>
      <c r="IS156" s="80"/>
      <c r="IT156" s="80"/>
      <c r="IU156" s="80"/>
      <c r="IV156" s="80"/>
    </row>
    <row r="157" spans="1:256" ht="14.25" x14ac:dyDescent="0.2">
      <c r="A157" s="78"/>
      <c r="B157" s="78"/>
      <c r="C157" s="78"/>
      <c r="D157" s="87" t="s">
        <v>212</v>
      </c>
      <c r="E157" s="87"/>
      <c r="F157" s="87"/>
      <c r="G157" s="87"/>
      <c r="H157" s="87"/>
      <c r="I157" s="88"/>
      <c r="J157" s="89">
        <f>I149+I148</f>
        <v>3212.27</v>
      </c>
      <c r="K157" s="90"/>
      <c r="L157" s="89">
        <f>K148+K149</f>
        <v>76901.759999999995</v>
      </c>
      <c r="M157" s="82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  <c r="CR157" s="80"/>
      <c r="CS157" s="80"/>
      <c r="CT157" s="80"/>
      <c r="CU157" s="80"/>
      <c r="CV157" s="80"/>
      <c r="CW157" s="80"/>
      <c r="CX157" s="80"/>
      <c r="CY157" s="80"/>
      <c r="CZ157" s="80"/>
      <c r="DA157" s="80"/>
      <c r="DB157" s="80"/>
      <c r="DC157" s="80"/>
      <c r="DD157" s="80"/>
      <c r="DE157" s="80"/>
      <c r="DF157" s="80"/>
      <c r="DG157" s="80"/>
      <c r="DH157" s="80"/>
      <c r="DI157" s="80"/>
      <c r="DJ157" s="80"/>
      <c r="DK157" s="80"/>
      <c r="DL157" s="80"/>
      <c r="DM157" s="80"/>
      <c r="DN157" s="80"/>
      <c r="DO157" s="80"/>
      <c r="DP157" s="80"/>
      <c r="DQ157" s="80"/>
      <c r="DR157" s="80"/>
      <c r="DS157" s="80"/>
      <c r="DT157" s="80"/>
      <c r="DU157" s="80"/>
      <c r="DV157" s="80"/>
      <c r="DW157" s="80"/>
      <c r="DX157" s="80"/>
      <c r="DY157" s="80"/>
      <c r="DZ157" s="80"/>
      <c r="EA157" s="80"/>
      <c r="EB157" s="80"/>
      <c r="EC157" s="80"/>
      <c r="ED157" s="80"/>
      <c r="EE157" s="80"/>
      <c r="EF157" s="80"/>
      <c r="EG157" s="80"/>
      <c r="EH157" s="80"/>
      <c r="EI157" s="80"/>
      <c r="EJ157" s="80"/>
      <c r="EK157" s="80"/>
      <c r="EL157" s="80"/>
      <c r="EM157" s="80"/>
      <c r="EN157" s="80"/>
      <c r="EO157" s="80"/>
      <c r="EP157" s="80"/>
      <c r="EQ157" s="80"/>
      <c r="ER157" s="80"/>
      <c r="ES157" s="80"/>
      <c r="ET157" s="80"/>
      <c r="EU157" s="80"/>
      <c r="EV157" s="80"/>
      <c r="EW157" s="80"/>
      <c r="EX157" s="80"/>
      <c r="EY157" s="80"/>
      <c r="EZ157" s="80"/>
      <c r="FA157" s="80"/>
      <c r="FB157" s="80"/>
      <c r="FC157" s="80"/>
      <c r="FD157" s="80"/>
      <c r="FE157" s="80"/>
      <c r="FF157" s="80"/>
      <c r="FG157" s="80"/>
      <c r="FH157" s="80"/>
      <c r="FI157" s="80"/>
      <c r="FJ157" s="80"/>
      <c r="FK157" s="80"/>
      <c r="FL157" s="80"/>
      <c r="FM157" s="80"/>
      <c r="FN157" s="80"/>
      <c r="FO157" s="80"/>
      <c r="FP157" s="80"/>
      <c r="FQ157" s="80"/>
      <c r="FR157" s="80"/>
      <c r="FS157" s="80"/>
      <c r="FT157" s="80"/>
      <c r="FU157" s="80"/>
      <c r="FV157" s="80"/>
      <c r="FW157" s="80"/>
      <c r="FX157" s="80"/>
      <c r="FY157" s="80"/>
      <c r="FZ157" s="80"/>
      <c r="GA157" s="80"/>
      <c r="GB157" s="80"/>
      <c r="GC157" s="80"/>
      <c r="GD157" s="80"/>
      <c r="GE157" s="80"/>
      <c r="GF157" s="80"/>
      <c r="GG157" s="80"/>
      <c r="GH157" s="80"/>
      <c r="GI157" s="80"/>
      <c r="GJ157" s="80"/>
      <c r="GK157" s="80"/>
      <c r="GL157" s="80"/>
      <c r="GM157" s="80"/>
      <c r="GN157" s="80"/>
      <c r="GO157" s="80"/>
      <c r="GP157" s="80"/>
      <c r="GQ157" s="80"/>
      <c r="GR157" s="80"/>
      <c r="GS157" s="80"/>
      <c r="GT157" s="80"/>
      <c r="GU157" s="80"/>
      <c r="GV157" s="80"/>
      <c r="GW157" s="80"/>
      <c r="GX157" s="80"/>
      <c r="GY157" s="80"/>
      <c r="GZ157" s="80"/>
      <c r="HA157" s="80"/>
      <c r="HB157" s="80"/>
      <c r="HC157" s="80"/>
      <c r="HD157" s="80"/>
      <c r="HE157" s="80"/>
      <c r="HF157" s="80"/>
      <c r="HG157" s="80"/>
      <c r="HH157" s="80"/>
      <c r="HI157" s="80"/>
      <c r="HJ157" s="80"/>
      <c r="HK157" s="80"/>
      <c r="HL157" s="80"/>
      <c r="HM157" s="80"/>
      <c r="HN157" s="80"/>
      <c r="HO157" s="80"/>
      <c r="HP157" s="80"/>
      <c r="HQ157" s="80"/>
      <c r="HR157" s="80"/>
      <c r="HS157" s="80"/>
      <c r="HT157" s="80"/>
      <c r="HU157" s="80"/>
      <c r="HV157" s="80"/>
      <c r="HW157" s="80"/>
      <c r="HX157" s="80"/>
      <c r="HY157" s="80"/>
      <c r="HZ157" s="80"/>
      <c r="IA157" s="80"/>
      <c r="IB157" s="80"/>
      <c r="IC157" s="80"/>
      <c r="ID157" s="80"/>
      <c r="IE157" s="80"/>
      <c r="IF157" s="80"/>
      <c r="IG157" s="80"/>
      <c r="IH157" s="80"/>
      <c r="II157" s="80"/>
      <c r="IJ157" s="80"/>
      <c r="IK157" s="80"/>
      <c r="IL157" s="80"/>
      <c r="IM157" s="80"/>
      <c r="IN157" s="80"/>
      <c r="IO157" s="80"/>
      <c r="IP157" s="80"/>
      <c r="IQ157" s="80"/>
      <c r="IR157" s="80"/>
      <c r="IS157" s="80"/>
      <c r="IT157" s="80"/>
      <c r="IU157" s="80"/>
      <c r="IV157" s="80"/>
    </row>
    <row r="158" spans="1:256" ht="14.25" x14ac:dyDescent="0.2">
      <c r="A158" s="78"/>
      <c r="B158" s="78"/>
      <c r="C158" s="78"/>
      <c r="D158" s="87" t="s">
        <v>213</v>
      </c>
      <c r="E158" s="87"/>
      <c r="F158" s="87"/>
      <c r="G158" s="87"/>
      <c r="H158" s="87"/>
      <c r="I158" s="88"/>
      <c r="J158" s="89">
        <f>I147</f>
        <v>56065.08</v>
      </c>
      <c r="K158" s="90"/>
      <c r="L158" s="89">
        <f>K147</f>
        <v>293078.65000000002</v>
      </c>
      <c r="M158" s="82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  <c r="CR158" s="80"/>
      <c r="CS158" s="80"/>
      <c r="CT158" s="80"/>
      <c r="CU158" s="80"/>
      <c r="CV158" s="80"/>
      <c r="CW158" s="80"/>
      <c r="CX158" s="80"/>
      <c r="CY158" s="80"/>
      <c r="CZ158" s="80"/>
      <c r="DA158" s="80"/>
      <c r="DB158" s="80"/>
      <c r="DC158" s="80"/>
      <c r="DD158" s="80"/>
      <c r="DE158" s="80"/>
      <c r="DF158" s="80"/>
      <c r="DG158" s="80"/>
      <c r="DH158" s="80"/>
      <c r="DI158" s="80"/>
      <c r="DJ158" s="80"/>
      <c r="DK158" s="80"/>
      <c r="DL158" s="80"/>
      <c r="DM158" s="80"/>
      <c r="DN158" s="80"/>
      <c r="DO158" s="80"/>
      <c r="DP158" s="80"/>
      <c r="DQ158" s="80"/>
      <c r="DR158" s="80"/>
      <c r="DS158" s="80"/>
      <c r="DT158" s="80"/>
      <c r="DU158" s="80"/>
      <c r="DV158" s="80"/>
      <c r="DW158" s="80"/>
      <c r="DX158" s="80"/>
      <c r="DY158" s="80"/>
      <c r="DZ158" s="80"/>
      <c r="EA158" s="80"/>
      <c r="EB158" s="80"/>
      <c r="EC158" s="80"/>
      <c r="ED158" s="80"/>
      <c r="EE158" s="80"/>
      <c r="EF158" s="80"/>
      <c r="EG158" s="80"/>
      <c r="EH158" s="80"/>
      <c r="EI158" s="80"/>
      <c r="EJ158" s="80"/>
      <c r="EK158" s="80"/>
      <c r="EL158" s="80"/>
      <c r="EM158" s="80"/>
      <c r="EN158" s="80"/>
      <c r="EO158" s="80"/>
      <c r="EP158" s="80"/>
      <c r="EQ158" s="80"/>
      <c r="ER158" s="80"/>
      <c r="ES158" s="80"/>
      <c r="ET158" s="80"/>
      <c r="EU158" s="80"/>
      <c r="EV158" s="80"/>
      <c r="EW158" s="80"/>
      <c r="EX158" s="80"/>
      <c r="EY158" s="80"/>
      <c r="EZ158" s="80"/>
      <c r="FA158" s="80"/>
      <c r="FB158" s="80"/>
      <c r="FC158" s="80"/>
      <c r="FD158" s="80"/>
      <c r="FE158" s="80"/>
      <c r="FF158" s="80"/>
      <c r="FG158" s="80"/>
      <c r="FH158" s="80"/>
      <c r="FI158" s="80"/>
      <c r="FJ158" s="80"/>
      <c r="FK158" s="80"/>
      <c r="FL158" s="80"/>
      <c r="FM158" s="80"/>
      <c r="FN158" s="80"/>
      <c r="FO158" s="80"/>
      <c r="FP158" s="80"/>
      <c r="FQ158" s="80"/>
      <c r="FR158" s="80"/>
      <c r="FS158" s="80"/>
      <c r="FT158" s="80"/>
      <c r="FU158" s="80"/>
      <c r="FV158" s="80"/>
      <c r="FW158" s="80"/>
      <c r="FX158" s="80"/>
      <c r="FY158" s="80"/>
      <c r="FZ158" s="80"/>
      <c r="GA158" s="80"/>
      <c r="GB158" s="80"/>
      <c r="GC158" s="80"/>
      <c r="GD158" s="80"/>
      <c r="GE158" s="80"/>
      <c r="GF158" s="80"/>
      <c r="GG158" s="80"/>
      <c r="GH158" s="80"/>
      <c r="GI158" s="80"/>
      <c r="GJ158" s="80"/>
      <c r="GK158" s="80"/>
      <c r="GL158" s="80"/>
      <c r="GM158" s="80"/>
      <c r="GN158" s="80"/>
      <c r="GO158" s="80"/>
      <c r="GP158" s="80"/>
      <c r="GQ158" s="80"/>
      <c r="GR158" s="80"/>
      <c r="GS158" s="80"/>
      <c r="GT158" s="80"/>
      <c r="GU158" s="80"/>
      <c r="GV158" s="80"/>
      <c r="GW158" s="80"/>
      <c r="GX158" s="80"/>
      <c r="GY158" s="80"/>
      <c r="GZ158" s="80"/>
      <c r="HA158" s="80"/>
      <c r="HB158" s="80"/>
      <c r="HC158" s="80"/>
      <c r="HD158" s="80"/>
      <c r="HE158" s="80"/>
      <c r="HF158" s="80"/>
      <c r="HG158" s="80"/>
      <c r="HH158" s="80"/>
      <c r="HI158" s="80"/>
      <c r="HJ158" s="80"/>
      <c r="HK158" s="80"/>
      <c r="HL158" s="80"/>
      <c r="HM158" s="80"/>
      <c r="HN158" s="80"/>
      <c r="HO158" s="80"/>
      <c r="HP158" s="80"/>
      <c r="HQ158" s="80"/>
      <c r="HR158" s="80"/>
      <c r="HS158" s="80"/>
      <c r="HT158" s="80"/>
      <c r="HU158" s="80"/>
      <c r="HV158" s="80"/>
      <c r="HW158" s="80"/>
      <c r="HX158" s="80"/>
      <c r="HY158" s="80"/>
      <c r="HZ158" s="80"/>
      <c r="IA158" s="80"/>
      <c r="IB158" s="80"/>
      <c r="IC158" s="80"/>
      <c r="ID158" s="80"/>
      <c r="IE158" s="80"/>
      <c r="IF158" s="80"/>
      <c r="IG158" s="80"/>
      <c r="IH158" s="80"/>
      <c r="II158" s="80"/>
      <c r="IJ158" s="80"/>
      <c r="IK158" s="80"/>
      <c r="IL158" s="80"/>
      <c r="IM158" s="80"/>
      <c r="IN158" s="80"/>
      <c r="IO158" s="80"/>
      <c r="IP158" s="80"/>
      <c r="IQ158" s="80"/>
      <c r="IR158" s="80"/>
      <c r="IS158" s="80"/>
      <c r="IT158" s="80"/>
      <c r="IU158" s="80"/>
      <c r="IV158" s="80"/>
    </row>
    <row r="159" spans="1:256" ht="14.25" x14ac:dyDescent="0.2">
      <c r="A159" s="91"/>
      <c r="B159" s="91"/>
      <c r="C159" s="91"/>
      <c r="D159" s="92" t="s">
        <v>214</v>
      </c>
      <c r="E159" s="92"/>
      <c r="F159" s="92"/>
      <c r="G159" s="92"/>
      <c r="H159" s="92"/>
      <c r="I159" s="93"/>
      <c r="J159" s="94">
        <v>0</v>
      </c>
      <c r="K159" s="95"/>
      <c r="L159" s="94">
        <v>0</v>
      </c>
      <c r="M159" s="82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/>
      <c r="CO159" s="96"/>
      <c r="CP159" s="96"/>
      <c r="CQ159" s="96"/>
      <c r="CR159" s="96"/>
      <c r="CS159" s="96"/>
      <c r="CT159" s="96"/>
      <c r="CU159" s="96"/>
      <c r="CV159" s="96"/>
      <c r="CW159" s="96"/>
      <c r="CX159" s="96"/>
      <c r="CY159" s="96"/>
      <c r="CZ159" s="96"/>
      <c r="DA159" s="96"/>
      <c r="DB159" s="96"/>
      <c r="DC159" s="96"/>
      <c r="DD159" s="96"/>
      <c r="DE159" s="96"/>
      <c r="DF159" s="96"/>
      <c r="DG159" s="96"/>
      <c r="DH159" s="96"/>
      <c r="DI159" s="96"/>
      <c r="DJ159" s="96"/>
      <c r="DK159" s="96"/>
      <c r="DL159" s="96"/>
      <c r="DM159" s="96"/>
      <c r="DN159" s="96"/>
      <c r="DO159" s="96"/>
      <c r="DP159" s="96"/>
      <c r="DQ159" s="96"/>
      <c r="DR159" s="96"/>
      <c r="DS159" s="96"/>
      <c r="DT159" s="96"/>
      <c r="DU159" s="96"/>
      <c r="DV159" s="96"/>
      <c r="DW159" s="96"/>
      <c r="DX159" s="96"/>
      <c r="DY159" s="96"/>
      <c r="DZ159" s="96"/>
      <c r="EA159" s="96"/>
      <c r="EB159" s="96"/>
      <c r="EC159" s="96"/>
      <c r="ED159" s="96"/>
      <c r="EE159" s="96"/>
      <c r="EF159" s="96"/>
      <c r="EG159" s="96"/>
      <c r="EH159" s="96"/>
      <c r="EI159" s="96"/>
      <c r="EJ159" s="96"/>
      <c r="EK159" s="96"/>
      <c r="EL159" s="96"/>
      <c r="EM159" s="96"/>
      <c r="EN159" s="96"/>
      <c r="EO159" s="96"/>
      <c r="EP159" s="96"/>
      <c r="EQ159" s="96"/>
      <c r="ER159" s="96"/>
      <c r="ES159" s="96"/>
      <c r="ET159" s="96"/>
      <c r="EU159" s="96"/>
      <c r="EV159" s="96"/>
      <c r="EW159" s="96"/>
      <c r="EX159" s="96"/>
      <c r="EY159" s="96"/>
      <c r="EZ159" s="96"/>
      <c r="FA159" s="96"/>
      <c r="FB159" s="96"/>
      <c r="FC159" s="96"/>
      <c r="FD159" s="96"/>
      <c r="FE159" s="96"/>
      <c r="FF159" s="96"/>
      <c r="FG159" s="96"/>
      <c r="FH159" s="96"/>
      <c r="FI159" s="96"/>
      <c r="FJ159" s="96"/>
      <c r="FK159" s="96"/>
      <c r="FL159" s="96"/>
      <c r="FM159" s="96"/>
      <c r="FN159" s="96"/>
      <c r="FO159" s="96"/>
      <c r="FP159" s="96"/>
      <c r="FQ159" s="96"/>
      <c r="FR159" s="96"/>
      <c r="FS159" s="96"/>
      <c r="FT159" s="96"/>
      <c r="FU159" s="96"/>
      <c r="FV159" s="96"/>
      <c r="FW159" s="96"/>
      <c r="FX159" s="96"/>
      <c r="FY159" s="96"/>
      <c r="FZ159" s="96"/>
      <c r="GA159" s="96"/>
      <c r="GB159" s="96"/>
      <c r="GC159" s="96"/>
      <c r="GD159" s="96"/>
      <c r="GE159" s="96"/>
      <c r="GF159" s="96"/>
      <c r="GG159" s="96"/>
      <c r="GH159" s="96"/>
      <c r="GI159" s="96"/>
      <c r="GJ159" s="96"/>
      <c r="GK159" s="96"/>
      <c r="GL159" s="96"/>
      <c r="GM159" s="96"/>
      <c r="GN159" s="96"/>
      <c r="GO159" s="96"/>
      <c r="GP159" s="96"/>
      <c r="GQ159" s="96"/>
      <c r="GR159" s="96"/>
      <c r="GS159" s="96"/>
      <c r="GT159" s="96"/>
      <c r="GU159" s="96"/>
      <c r="GV159" s="96"/>
      <c r="GW159" s="96"/>
      <c r="GX159" s="96"/>
      <c r="GY159" s="96"/>
      <c r="GZ159" s="96"/>
      <c r="HA159" s="96"/>
      <c r="HB159" s="96"/>
      <c r="HC159" s="96"/>
      <c r="HD159" s="96"/>
      <c r="HE159" s="96"/>
      <c r="HF159" s="96"/>
      <c r="HG159" s="96"/>
      <c r="HH159" s="96"/>
      <c r="HI159" s="96"/>
      <c r="HJ159" s="96"/>
      <c r="HK159" s="96"/>
      <c r="HL159" s="96"/>
      <c r="HM159" s="96"/>
      <c r="HN159" s="96"/>
      <c r="HO159" s="96"/>
      <c r="HP159" s="96"/>
      <c r="HQ159" s="96"/>
      <c r="HR159" s="96"/>
      <c r="HS159" s="96"/>
      <c r="HT159" s="96"/>
      <c r="HU159" s="96"/>
      <c r="HV159" s="96"/>
      <c r="HW159" s="96"/>
      <c r="HX159" s="96"/>
      <c r="HY159" s="96"/>
      <c r="HZ159" s="96"/>
      <c r="IA159" s="96"/>
      <c r="IB159" s="96"/>
      <c r="IC159" s="96"/>
      <c r="ID159" s="96"/>
      <c r="IE159" s="96"/>
      <c r="IF159" s="96"/>
      <c r="IG159" s="96"/>
      <c r="IH159" s="96"/>
      <c r="II159" s="96"/>
      <c r="IJ159" s="96"/>
      <c r="IK159" s="96"/>
      <c r="IL159" s="96"/>
      <c r="IM159" s="96"/>
      <c r="IN159" s="96"/>
      <c r="IO159" s="96"/>
      <c r="IP159" s="96"/>
      <c r="IQ159" s="96"/>
      <c r="IR159" s="96"/>
      <c r="IS159" s="96"/>
      <c r="IT159" s="96"/>
      <c r="IU159" s="96"/>
      <c r="IV159" s="96"/>
    </row>
    <row r="160" spans="1:256" x14ac:dyDescent="0.2">
      <c r="A160" s="74"/>
      <c r="B160" s="74"/>
      <c r="C160" s="74"/>
      <c r="D160" s="97" t="s">
        <v>215</v>
      </c>
      <c r="E160" s="97"/>
      <c r="F160" s="97"/>
      <c r="G160" s="97"/>
      <c r="H160" s="97"/>
      <c r="I160" s="97"/>
      <c r="J160" s="98">
        <f>J157*15%</f>
        <v>481.84</v>
      </c>
      <c r="K160" s="98"/>
      <c r="L160" s="98">
        <f>L157*15%</f>
        <v>11535.26</v>
      </c>
      <c r="M160" s="77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  <c r="DS160" s="74"/>
      <c r="DT160" s="74"/>
      <c r="DU160" s="74"/>
      <c r="DV160" s="74"/>
      <c r="DW160" s="74"/>
      <c r="DX160" s="74"/>
      <c r="DY160" s="74"/>
      <c r="DZ160" s="74"/>
      <c r="EA160" s="74"/>
      <c r="EB160" s="74"/>
      <c r="EC160" s="74"/>
      <c r="ED160" s="74"/>
      <c r="EE160" s="74"/>
      <c r="EF160" s="74"/>
      <c r="EG160" s="74"/>
      <c r="EH160" s="74"/>
      <c r="EI160" s="74"/>
      <c r="EJ160" s="74"/>
      <c r="EK160" s="74"/>
      <c r="EL160" s="74"/>
      <c r="EM160" s="74"/>
      <c r="EN160" s="74"/>
      <c r="EO160" s="74"/>
      <c r="EP160" s="74"/>
      <c r="EQ160" s="74"/>
      <c r="ER160" s="74"/>
      <c r="ES160" s="74"/>
      <c r="ET160" s="74"/>
      <c r="EU160" s="74"/>
      <c r="EV160" s="74"/>
      <c r="EW160" s="74"/>
      <c r="EX160" s="74"/>
      <c r="EY160" s="74"/>
      <c r="EZ160" s="74"/>
      <c r="FA160" s="74"/>
      <c r="FB160" s="74"/>
      <c r="FC160" s="74"/>
      <c r="FD160" s="74"/>
      <c r="FE160" s="74"/>
      <c r="FF160" s="74"/>
      <c r="FG160" s="74"/>
      <c r="FH160" s="74"/>
      <c r="FI160" s="74"/>
      <c r="FJ160" s="74"/>
      <c r="FK160" s="74"/>
      <c r="FL160" s="74"/>
      <c r="FM160" s="74"/>
      <c r="FN160" s="74"/>
      <c r="FO160" s="74"/>
      <c r="FP160" s="74"/>
      <c r="FQ160" s="74"/>
      <c r="FR160" s="74"/>
      <c r="FS160" s="74"/>
      <c r="FT160" s="74"/>
      <c r="FU160" s="74"/>
      <c r="FV160" s="74"/>
      <c r="FW160" s="74"/>
      <c r="FX160" s="74"/>
      <c r="FY160" s="74"/>
      <c r="FZ160" s="74"/>
      <c r="GA160" s="74"/>
      <c r="GB160" s="74"/>
      <c r="GC160" s="74"/>
      <c r="GD160" s="74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</row>
    <row r="161" spans="1:256" x14ac:dyDescent="0.2">
      <c r="A161" s="74"/>
      <c r="B161" s="74"/>
      <c r="C161" s="74"/>
      <c r="D161" s="99" t="s">
        <v>216</v>
      </c>
      <c r="E161" s="100"/>
      <c r="F161" s="100"/>
      <c r="G161" s="100"/>
      <c r="H161" s="100"/>
      <c r="I161" s="100"/>
      <c r="J161" s="101">
        <f>J155+J160</f>
        <v>67926.899999999994</v>
      </c>
      <c r="K161" s="101"/>
      <c r="L161" s="101">
        <f>L155+L160</f>
        <v>498248.8</v>
      </c>
      <c r="M161" s="77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  <c r="DS161" s="74"/>
      <c r="DT161" s="74"/>
      <c r="DU161" s="74"/>
      <c r="DV161" s="74"/>
      <c r="DW161" s="74"/>
      <c r="DX161" s="74"/>
      <c r="DY161" s="74"/>
      <c r="DZ161" s="74"/>
      <c r="EA161" s="74"/>
      <c r="EB161" s="74"/>
      <c r="EC161" s="74"/>
      <c r="ED161" s="74"/>
      <c r="EE161" s="74"/>
      <c r="EF161" s="74"/>
      <c r="EG161" s="74"/>
      <c r="EH161" s="74"/>
      <c r="EI161" s="74"/>
      <c r="EJ161" s="74"/>
      <c r="EK161" s="74"/>
      <c r="EL161" s="74"/>
      <c r="EM161" s="74"/>
      <c r="EN161" s="74"/>
      <c r="EO161" s="74"/>
      <c r="EP161" s="74"/>
      <c r="EQ161" s="74"/>
      <c r="ER161" s="74"/>
      <c r="ES161" s="74"/>
      <c r="ET161" s="74"/>
      <c r="EU161" s="74"/>
      <c r="EV161" s="74"/>
      <c r="EW161" s="74"/>
      <c r="EX161" s="74"/>
      <c r="EY161" s="74"/>
      <c r="EZ161" s="74"/>
      <c r="FA161" s="74"/>
      <c r="FB161" s="74"/>
      <c r="FC161" s="74"/>
      <c r="FD161" s="74"/>
      <c r="FE161" s="74"/>
      <c r="FF161" s="74"/>
      <c r="FG161" s="74"/>
      <c r="FH161" s="74"/>
      <c r="FI161" s="74"/>
      <c r="FJ161" s="74"/>
      <c r="FK161" s="74"/>
      <c r="FL161" s="74"/>
      <c r="FM161" s="74"/>
      <c r="FN161" s="74"/>
      <c r="FO161" s="74"/>
      <c r="FP161" s="74"/>
      <c r="FQ161" s="74"/>
      <c r="FR161" s="74"/>
      <c r="FS161" s="74"/>
      <c r="FT161" s="74"/>
      <c r="FU161" s="74"/>
      <c r="FV161" s="74"/>
      <c r="FW161" s="74"/>
      <c r="FX161" s="74"/>
      <c r="FY161" s="74"/>
      <c r="FZ161" s="74"/>
      <c r="GA161" s="74"/>
      <c r="GB161" s="74"/>
      <c r="GC161" s="74"/>
      <c r="GD161" s="74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</row>
    <row r="162" spans="1:256" x14ac:dyDescent="0.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2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  <c r="DT162" s="81"/>
      <c r="DU162" s="81"/>
      <c r="DV162" s="81"/>
      <c r="DW162" s="81"/>
      <c r="DX162" s="81"/>
      <c r="DY162" s="81"/>
      <c r="DZ162" s="81"/>
      <c r="EA162" s="81"/>
      <c r="EB162" s="81"/>
      <c r="EC162" s="81"/>
      <c r="ED162" s="81"/>
      <c r="EE162" s="81"/>
      <c r="EF162" s="81"/>
      <c r="EG162" s="81"/>
      <c r="EH162" s="81"/>
      <c r="EI162" s="81"/>
      <c r="EJ162" s="81"/>
      <c r="EK162" s="81"/>
      <c r="EL162" s="81"/>
      <c r="EM162" s="81"/>
      <c r="EN162" s="81"/>
      <c r="EO162" s="81"/>
      <c r="EP162" s="81"/>
      <c r="EQ162" s="81"/>
      <c r="ER162" s="81"/>
      <c r="ES162" s="81"/>
      <c r="ET162" s="81"/>
      <c r="EU162" s="81"/>
      <c r="EV162" s="81"/>
      <c r="EW162" s="81"/>
      <c r="EX162" s="81"/>
      <c r="EY162" s="81"/>
      <c r="EZ162" s="81"/>
      <c r="FA162" s="81"/>
      <c r="FB162" s="81"/>
      <c r="FC162" s="81"/>
      <c r="FD162" s="81"/>
      <c r="FE162" s="81"/>
      <c r="FF162" s="81"/>
      <c r="FG162" s="81"/>
      <c r="FH162" s="81"/>
      <c r="FI162" s="81"/>
      <c r="FJ162" s="81"/>
      <c r="FK162" s="81"/>
      <c r="FL162" s="81"/>
      <c r="FM162" s="81"/>
      <c r="FN162" s="81"/>
      <c r="FO162" s="81"/>
      <c r="FP162" s="81"/>
      <c r="FQ162" s="81"/>
      <c r="FR162" s="81"/>
      <c r="FS162" s="81"/>
      <c r="FT162" s="81"/>
      <c r="FU162" s="81"/>
      <c r="FV162" s="81"/>
      <c r="FW162" s="81"/>
      <c r="FX162" s="81"/>
      <c r="FY162" s="81"/>
      <c r="FZ162" s="81"/>
      <c r="GA162" s="81"/>
      <c r="GB162" s="81"/>
      <c r="GC162" s="81"/>
      <c r="GD162" s="81"/>
      <c r="GE162" s="81"/>
      <c r="GF162" s="81"/>
      <c r="GG162" s="81"/>
      <c r="GH162" s="81"/>
      <c r="GI162" s="81"/>
      <c r="GJ162" s="81"/>
      <c r="GK162" s="81"/>
      <c r="GL162" s="81"/>
      <c r="GM162" s="81"/>
      <c r="GN162" s="81"/>
      <c r="GO162" s="81"/>
      <c r="GP162" s="81"/>
      <c r="GQ162" s="81"/>
      <c r="GR162" s="81"/>
      <c r="GS162" s="81"/>
      <c r="GT162" s="81"/>
      <c r="GU162" s="81"/>
      <c r="GV162" s="81"/>
      <c r="GW162" s="81"/>
      <c r="GX162" s="81"/>
      <c r="GY162" s="81"/>
      <c r="GZ162" s="81"/>
      <c r="HA162" s="81"/>
      <c r="HB162" s="81"/>
      <c r="HC162" s="81"/>
      <c r="HD162" s="81"/>
      <c r="HE162" s="81"/>
      <c r="HF162" s="81"/>
      <c r="HG162" s="81"/>
      <c r="HH162" s="81"/>
      <c r="HI162" s="81"/>
      <c r="HJ162" s="81"/>
      <c r="HK162" s="81"/>
      <c r="HL162" s="81"/>
      <c r="HM162" s="81"/>
      <c r="HN162" s="81"/>
      <c r="HO162" s="81"/>
      <c r="HP162" s="81"/>
      <c r="HQ162" s="81"/>
      <c r="HR162" s="81"/>
      <c r="HS162" s="81"/>
      <c r="HT162" s="81"/>
      <c r="HU162" s="81"/>
      <c r="HV162" s="81"/>
      <c r="HW162" s="81"/>
      <c r="HX162" s="81"/>
      <c r="HY162" s="81"/>
      <c r="HZ162" s="81"/>
      <c r="IA162" s="81"/>
      <c r="IB162" s="81"/>
      <c r="IC162" s="81"/>
      <c r="ID162" s="81"/>
      <c r="IE162" s="81"/>
      <c r="IF162" s="81"/>
      <c r="IG162" s="81"/>
      <c r="IH162" s="81"/>
      <c r="II162" s="81"/>
      <c r="IJ162" s="81"/>
      <c r="IK162" s="81"/>
      <c r="IL162" s="81"/>
      <c r="IM162" s="81"/>
      <c r="IN162" s="81"/>
      <c r="IO162" s="81"/>
      <c r="IP162" s="81"/>
      <c r="IQ162" s="81"/>
      <c r="IR162" s="81"/>
      <c r="IS162" s="81"/>
      <c r="IT162" s="81"/>
      <c r="IU162" s="81"/>
      <c r="IV162" s="81"/>
    </row>
    <row r="163" spans="1:256" x14ac:dyDescent="0.2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2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1"/>
      <c r="DE163" s="81"/>
      <c r="DF163" s="81"/>
      <c r="DG163" s="81"/>
      <c r="DH163" s="81"/>
      <c r="DI163" s="81"/>
      <c r="DJ163" s="81"/>
      <c r="DK163" s="81"/>
      <c r="DL163" s="81"/>
      <c r="DM163" s="81"/>
      <c r="DN163" s="81"/>
      <c r="DO163" s="81"/>
      <c r="DP163" s="81"/>
      <c r="DQ163" s="81"/>
      <c r="DR163" s="81"/>
      <c r="DS163" s="81"/>
      <c r="DT163" s="81"/>
      <c r="DU163" s="81"/>
      <c r="DV163" s="81"/>
      <c r="DW163" s="81"/>
      <c r="DX163" s="81"/>
      <c r="DY163" s="81"/>
      <c r="DZ163" s="81"/>
      <c r="EA163" s="81"/>
      <c r="EB163" s="81"/>
      <c r="EC163" s="81"/>
      <c r="ED163" s="81"/>
      <c r="EE163" s="81"/>
      <c r="EF163" s="81"/>
      <c r="EG163" s="81"/>
      <c r="EH163" s="81"/>
      <c r="EI163" s="81"/>
      <c r="EJ163" s="81"/>
      <c r="EK163" s="81"/>
      <c r="EL163" s="81"/>
      <c r="EM163" s="81"/>
      <c r="EN163" s="81"/>
      <c r="EO163" s="81"/>
      <c r="EP163" s="81"/>
      <c r="EQ163" s="81"/>
      <c r="ER163" s="81"/>
      <c r="ES163" s="81"/>
      <c r="ET163" s="81"/>
      <c r="EU163" s="81"/>
      <c r="EV163" s="81"/>
      <c r="EW163" s="81"/>
      <c r="EX163" s="81"/>
      <c r="EY163" s="81"/>
      <c r="EZ163" s="81"/>
      <c r="FA163" s="81"/>
      <c r="FB163" s="81"/>
      <c r="FC163" s="81"/>
      <c r="FD163" s="81"/>
      <c r="FE163" s="81"/>
      <c r="FF163" s="81"/>
      <c r="FG163" s="81"/>
      <c r="FH163" s="81"/>
      <c r="FI163" s="81"/>
      <c r="FJ163" s="81"/>
      <c r="FK163" s="81"/>
      <c r="FL163" s="81"/>
      <c r="FM163" s="81"/>
      <c r="FN163" s="81"/>
      <c r="FO163" s="81"/>
      <c r="FP163" s="81"/>
      <c r="FQ163" s="81"/>
      <c r="FR163" s="81"/>
      <c r="FS163" s="81"/>
      <c r="FT163" s="81"/>
      <c r="FU163" s="81"/>
      <c r="FV163" s="81"/>
      <c r="FW163" s="81"/>
      <c r="FX163" s="81"/>
      <c r="FY163" s="81"/>
      <c r="FZ163" s="81"/>
      <c r="GA163" s="81"/>
      <c r="GB163" s="81"/>
      <c r="GC163" s="81"/>
      <c r="GD163" s="81"/>
      <c r="GE163" s="81"/>
      <c r="GF163" s="81"/>
      <c r="GG163" s="81"/>
      <c r="GH163" s="81"/>
      <c r="GI163" s="81"/>
      <c r="GJ163" s="81"/>
      <c r="GK163" s="81"/>
      <c r="GL163" s="81"/>
      <c r="GM163" s="81"/>
      <c r="GN163" s="81"/>
      <c r="GO163" s="81"/>
      <c r="GP163" s="81"/>
      <c r="GQ163" s="81"/>
      <c r="GR163" s="81"/>
      <c r="GS163" s="81"/>
      <c r="GT163" s="81"/>
      <c r="GU163" s="81"/>
      <c r="GV163" s="81"/>
      <c r="GW163" s="81"/>
      <c r="GX163" s="81"/>
      <c r="GY163" s="81"/>
      <c r="GZ163" s="81"/>
      <c r="HA163" s="81"/>
      <c r="HB163" s="81"/>
      <c r="HC163" s="81"/>
      <c r="HD163" s="81"/>
      <c r="HE163" s="81"/>
      <c r="HF163" s="81"/>
      <c r="HG163" s="81"/>
      <c r="HH163" s="81"/>
      <c r="HI163" s="81"/>
      <c r="HJ163" s="81"/>
      <c r="HK163" s="81"/>
      <c r="HL163" s="81"/>
      <c r="HM163" s="81"/>
      <c r="HN163" s="81"/>
      <c r="HO163" s="81"/>
      <c r="HP163" s="81"/>
      <c r="HQ163" s="81"/>
      <c r="HR163" s="81"/>
      <c r="HS163" s="81"/>
      <c r="HT163" s="81"/>
      <c r="HU163" s="81"/>
      <c r="HV163" s="81"/>
      <c r="HW163" s="81"/>
      <c r="HX163" s="81"/>
      <c r="HY163" s="81"/>
      <c r="HZ163" s="81"/>
      <c r="IA163" s="81"/>
      <c r="IB163" s="81"/>
      <c r="IC163" s="81"/>
      <c r="ID163" s="81"/>
      <c r="IE163" s="81"/>
      <c r="IF163" s="81"/>
      <c r="IG163" s="81"/>
      <c r="IH163" s="81"/>
      <c r="II163" s="81"/>
      <c r="IJ163" s="81"/>
      <c r="IK163" s="81"/>
      <c r="IL163" s="81"/>
      <c r="IM163" s="81"/>
      <c r="IN163" s="81"/>
      <c r="IO163" s="81"/>
      <c r="IP163" s="81"/>
      <c r="IQ163" s="81"/>
      <c r="IR163" s="81"/>
      <c r="IS163" s="81"/>
      <c r="IT163" s="81"/>
      <c r="IU163" s="81"/>
      <c r="IV163" s="81"/>
    </row>
    <row r="164" spans="1:256" x14ac:dyDescent="0.2">
      <c r="A164" s="75"/>
      <c r="B164" s="75"/>
      <c r="C164" s="75"/>
      <c r="D164" s="99" t="s">
        <v>217</v>
      </c>
      <c r="E164" s="97"/>
      <c r="F164" s="97"/>
      <c r="G164" s="97"/>
      <c r="H164" s="97"/>
      <c r="I164" s="97"/>
      <c r="J164" s="102">
        <f>J155</f>
        <v>67445.06</v>
      </c>
      <c r="K164" s="102"/>
      <c r="L164" s="102">
        <f>L155*0.925</f>
        <v>450210.02</v>
      </c>
      <c r="M164" s="103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  <c r="BJ164" s="104"/>
      <c r="BK164" s="104"/>
      <c r="BL164" s="104"/>
      <c r="BM164" s="104"/>
      <c r="BN164" s="104"/>
      <c r="BO164" s="104"/>
      <c r="BP164" s="104"/>
      <c r="BQ164" s="104"/>
      <c r="BR164" s="104"/>
      <c r="BS164" s="104"/>
      <c r="BT164" s="104"/>
      <c r="BU164" s="104"/>
      <c r="BV164" s="104"/>
      <c r="BW164" s="104"/>
      <c r="BX164" s="104"/>
      <c r="BY164" s="104"/>
      <c r="BZ164" s="104"/>
      <c r="CA164" s="104"/>
      <c r="CB164" s="104"/>
      <c r="CC164" s="104"/>
      <c r="CD164" s="104"/>
      <c r="CE164" s="104"/>
      <c r="CF164" s="104"/>
      <c r="CG164" s="104"/>
      <c r="CH164" s="104"/>
      <c r="CI164" s="104"/>
      <c r="CJ164" s="104"/>
      <c r="CK164" s="104"/>
      <c r="CL164" s="104"/>
      <c r="CM164" s="104"/>
      <c r="CN164" s="104"/>
      <c r="CO164" s="104"/>
      <c r="CP164" s="104"/>
      <c r="CQ164" s="104"/>
      <c r="CR164" s="104"/>
      <c r="CS164" s="104"/>
      <c r="CT164" s="104"/>
      <c r="CU164" s="104"/>
      <c r="CV164" s="104"/>
      <c r="CW164" s="104"/>
      <c r="CX164" s="104"/>
      <c r="CY164" s="104"/>
      <c r="CZ164" s="104"/>
      <c r="DA164" s="104"/>
      <c r="DB164" s="104"/>
      <c r="DC164" s="104"/>
      <c r="DD164" s="104"/>
      <c r="DE164" s="104"/>
      <c r="DF164" s="104"/>
      <c r="DG164" s="104"/>
      <c r="DH164" s="104"/>
      <c r="DI164" s="104"/>
      <c r="DJ164" s="104"/>
      <c r="DK164" s="104"/>
      <c r="DL164" s="104"/>
      <c r="DM164" s="104"/>
      <c r="DN164" s="104"/>
      <c r="DO164" s="104"/>
      <c r="DP164" s="104"/>
      <c r="DQ164" s="104"/>
      <c r="DR164" s="104"/>
      <c r="DS164" s="104"/>
      <c r="DT164" s="104"/>
      <c r="DU164" s="104"/>
      <c r="DV164" s="104"/>
      <c r="DW164" s="104"/>
      <c r="DX164" s="104"/>
      <c r="DY164" s="104"/>
      <c r="DZ164" s="104"/>
      <c r="EA164" s="104"/>
      <c r="EB164" s="104"/>
      <c r="EC164" s="104"/>
      <c r="ED164" s="104"/>
      <c r="EE164" s="104"/>
      <c r="EF164" s="104"/>
      <c r="EG164" s="104"/>
      <c r="EH164" s="104"/>
      <c r="EI164" s="104"/>
      <c r="EJ164" s="104"/>
      <c r="EK164" s="104"/>
      <c r="EL164" s="104"/>
      <c r="EM164" s="104"/>
      <c r="EN164" s="104"/>
      <c r="EO164" s="104"/>
      <c r="EP164" s="104"/>
      <c r="EQ164" s="104"/>
      <c r="ER164" s="104"/>
      <c r="ES164" s="104"/>
      <c r="ET164" s="104"/>
      <c r="EU164" s="104"/>
      <c r="EV164" s="104"/>
      <c r="EW164" s="104"/>
      <c r="EX164" s="104"/>
      <c r="EY164" s="104"/>
      <c r="EZ164" s="104"/>
      <c r="FA164" s="104"/>
      <c r="FB164" s="104"/>
      <c r="FC164" s="104"/>
      <c r="FD164" s="104"/>
      <c r="FE164" s="104"/>
      <c r="FF164" s="104"/>
      <c r="FG164" s="104"/>
      <c r="FH164" s="104"/>
      <c r="FI164" s="104"/>
      <c r="FJ164" s="104"/>
      <c r="FK164" s="104"/>
      <c r="FL164" s="104"/>
      <c r="FM164" s="104"/>
      <c r="FN164" s="104"/>
      <c r="FO164" s="104"/>
      <c r="FP164" s="104"/>
      <c r="FQ164" s="104"/>
      <c r="FR164" s="104"/>
      <c r="FS164" s="104"/>
      <c r="FT164" s="104"/>
      <c r="FU164" s="104"/>
      <c r="FV164" s="104"/>
      <c r="FW164" s="104"/>
      <c r="FX164" s="104"/>
      <c r="FY164" s="104"/>
      <c r="FZ164" s="104"/>
      <c r="GA164" s="104"/>
      <c r="GB164" s="104"/>
      <c r="GC164" s="104"/>
      <c r="GD164" s="104"/>
      <c r="GE164" s="104"/>
      <c r="GF164" s="104"/>
      <c r="GG164" s="104"/>
      <c r="GH164" s="104"/>
      <c r="GI164" s="104"/>
      <c r="GJ164" s="104"/>
      <c r="GK164" s="104"/>
      <c r="GL164" s="104"/>
      <c r="GM164" s="104"/>
      <c r="GN164" s="104"/>
      <c r="GO164" s="104"/>
      <c r="GP164" s="104"/>
      <c r="GQ164" s="104"/>
      <c r="GR164" s="104"/>
      <c r="GS164" s="104"/>
      <c r="GT164" s="104"/>
      <c r="GU164" s="104"/>
      <c r="GV164" s="104"/>
      <c r="GW164" s="104"/>
      <c r="GX164" s="104"/>
      <c r="GY164" s="104"/>
      <c r="GZ164" s="104"/>
      <c r="HA164" s="104"/>
      <c r="HB164" s="104"/>
      <c r="HC164" s="104"/>
      <c r="HD164" s="104"/>
      <c r="HE164" s="104"/>
      <c r="HF164" s="104"/>
      <c r="HG164" s="104"/>
      <c r="HH164" s="104"/>
      <c r="HI164" s="104"/>
      <c r="HJ164" s="104"/>
      <c r="HK164" s="104"/>
      <c r="HL164" s="104"/>
      <c r="HM164" s="104"/>
      <c r="HN164" s="104"/>
      <c r="HO164" s="104"/>
      <c r="HP164" s="104"/>
      <c r="HQ164" s="104"/>
      <c r="HR164" s="104"/>
      <c r="HS164" s="104"/>
      <c r="HT164" s="104"/>
      <c r="HU164" s="104"/>
      <c r="HV164" s="104"/>
      <c r="HW164" s="104"/>
      <c r="HX164" s="104"/>
      <c r="HY164" s="104"/>
      <c r="HZ164" s="104"/>
      <c r="IA164" s="104"/>
      <c r="IB164" s="104"/>
      <c r="IC164" s="104"/>
      <c r="ID164" s="104"/>
      <c r="IE164" s="104"/>
      <c r="IF164" s="104"/>
      <c r="IG164" s="104"/>
      <c r="IH164" s="104"/>
      <c r="II164" s="104"/>
      <c r="IJ164" s="104"/>
      <c r="IK164" s="104"/>
      <c r="IL164" s="104"/>
      <c r="IM164" s="104"/>
      <c r="IN164" s="104"/>
      <c r="IO164" s="104"/>
      <c r="IP164" s="104"/>
      <c r="IQ164" s="104"/>
      <c r="IR164" s="104"/>
      <c r="IS164" s="104"/>
      <c r="IT164" s="104"/>
      <c r="IU164" s="104"/>
      <c r="IV164" s="104"/>
    </row>
    <row r="165" spans="1:256" x14ac:dyDescent="0.2">
      <c r="A165" s="75"/>
      <c r="B165" s="75"/>
      <c r="C165" s="75"/>
      <c r="D165" s="97" t="s">
        <v>211</v>
      </c>
      <c r="E165" s="97"/>
      <c r="F165" s="97"/>
      <c r="G165" s="97"/>
      <c r="H165" s="97"/>
      <c r="I165" s="97"/>
      <c r="J165" s="98">
        <f>J164</f>
        <v>67445.06</v>
      </c>
      <c r="K165" s="98"/>
      <c r="L165" s="98">
        <f>L164</f>
        <v>450210.02</v>
      </c>
      <c r="M165" s="103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  <c r="BJ165" s="104"/>
      <c r="BK165" s="104"/>
      <c r="BL165" s="104"/>
      <c r="BM165" s="104"/>
      <c r="BN165" s="104"/>
      <c r="BO165" s="104"/>
      <c r="BP165" s="104"/>
      <c r="BQ165" s="104"/>
      <c r="BR165" s="104"/>
      <c r="BS165" s="104"/>
      <c r="BT165" s="104"/>
      <c r="BU165" s="104"/>
      <c r="BV165" s="104"/>
      <c r="BW165" s="104"/>
      <c r="BX165" s="104"/>
      <c r="BY165" s="104"/>
      <c r="BZ165" s="104"/>
      <c r="CA165" s="104"/>
      <c r="CB165" s="104"/>
      <c r="CC165" s="104"/>
      <c r="CD165" s="104"/>
      <c r="CE165" s="104"/>
      <c r="CF165" s="104"/>
      <c r="CG165" s="104"/>
      <c r="CH165" s="104"/>
      <c r="CI165" s="104"/>
      <c r="CJ165" s="104"/>
      <c r="CK165" s="104"/>
      <c r="CL165" s="104"/>
      <c r="CM165" s="104"/>
      <c r="CN165" s="104"/>
      <c r="CO165" s="104"/>
      <c r="CP165" s="104"/>
      <c r="CQ165" s="104"/>
      <c r="CR165" s="104"/>
      <c r="CS165" s="104"/>
      <c r="CT165" s="104"/>
      <c r="CU165" s="104"/>
      <c r="CV165" s="104"/>
      <c r="CW165" s="104"/>
      <c r="CX165" s="104"/>
      <c r="CY165" s="104"/>
      <c r="CZ165" s="104"/>
      <c r="DA165" s="104"/>
      <c r="DB165" s="104"/>
      <c r="DC165" s="104"/>
      <c r="DD165" s="104"/>
      <c r="DE165" s="104"/>
      <c r="DF165" s="104"/>
      <c r="DG165" s="104"/>
      <c r="DH165" s="104"/>
      <c r="DI165" s="104"/>
      <c r="DJ165" s="104"/>
      <c r="DK165" s="104"/>
      <c r="DL165" s="104"/>
      <c r="DM165" s="104"/>
      <c r="DN165" s="104"/>
      <c r="DO165" s="104"/>
      <c r="DP165" s="104"/>
      <c r="DQ165" s="104"/>
      <c r="DR165" s="104"/>
      <c r="DS165" s="104"/>
      <c r="DT165" s="104"/>
      <c r="DU165" s="104"/>
      <c r="DV165" s="104"/>
      <c r="DW165" s="104"/>
      <c r="DX165" s="104"/>
      <c r="DY165" s="104"/>
      <c r="DZ165" s="104"/>
      <c r="EA165" s="104"/>
      <c r="EB165" s="104"/>
      <c r="EC165" s="104"/>
      <c r="ED165" s="104"/>
      <c r="EE165" s="104"/>
      <c r="EF165" s="104"/>
      <c r="EG165" s="104"/>
      <c r="EH165" s="104"/>
      <c r="EI165" s="104"/>
      <c r="EJ165" s="104"/>
      <c r="EK165" s="104"/>
      <c r="EL165" s="104"/>
      <c r="EM165" s="104"/>
      <c r="EN165" s="104"/>
      <c r="EO165" s="104"/>
      <c r="EP165" s="104"/>
      <c r="EQ165" s="104"/>
      <c r="ER165" s="104"/>
      <c r="ES165" s="104"/>
      <c r="ET165" s="104"/>
      <c r="EU165" s="104"/>
      <c r="EV165" s="104"/>
      <c r="EW165" s="104"/>
      <c r="EX165" s="104"/>
      <c r="EY165" s="104"/>
      <c r="EZ165" s="104"/>
      <c r="FA165" s="104"/>
      <c r="FB165" s="104"/>
      <c r="FC165" s="104"/>
      <c r="FD165" s="104"/>
      <c r="FE165" s="104"/>
      <c r="FF165" s="104"/>
      <c r="FG165" s="104"/>
      <c r="FH165" s="104"/>
      <c r="FI165" s="104"/>
      <c r="FJ165" s="104"/>
      <c r="FK165" s="104"/>
      <c r="FL165" s="104"/>
      <c r="FM165" s="104"/>
      <c r="FN165" s="104"/>
      <c r="FO165" s="104"/>
      <c r="FP165" s="104"/>
      <c r="FQ165" s="104"/>
      <c r="FR165" s="104"/>
      <c r="FS165" s="104"/>
      <c r="FT165" s="104"/>
      <c r="FU165" s="104"/>
      <c r="FV165" s="104"/>
      <c r="FW165" s="104"/>
      <c r="FX165" s="104"/>
      <c r="FY165" s="104"/>
      <c r="FZ165" s="104"/>
      <c r="GA165" s="104"/>
      <c r="GB165" s="104"/>
      <c r="GC165" s="104"/>
      <c r="GD165" s="104"/>
      <c r="GE165" s="104"/>
      <c r="GF165" s="104"/>
      <c r="GG165" s="104"/>
      <c r="GH165" s="104"/>
      <c r="GI165" s="104"/>
      <c r="GJ165" s="104"/>
      <c r="GK165" s="104"/>
      <c r="GL165" s="104"/>
      <c r="GM165" s="104"/>
      <c r="GN165" s="104"/>
      <c r="GO165" s="104"/>
      <c r="GP165" s="104"/>
      <c r="GQ165" s="104"/>
      <c r="GR165" s="104"/>
      <c r="GS165" s="104"/>
      <c r="GT165" s="104"/>
      <c r="GU165" s="104"/>
      <c r="GV165" s="104"/>
      <c r="GW165" s="104"/>
      <c r="GX165" s="104"/>
      <c r="GY165" s="104"/>
      <c r="GZ165" s="104"/>
      <c r="HA165" s="104"/>
      <c r="HB165" s="104"/>
      <c r="HC165" s="104"/>
      <c r="HD165" s="104"/>
      <c r="HE165" s="104"/>
      <c r="HF165" s="104"/>
      <c r="HG165" s="104"/>
      <c r="HH165" s="104"/>
      <c r="HI165" s="104"/>
      <c r="HJ165" s="104"/>
      <c r="HK165" s="104"/>
      <c r="HL165" s="104"/>
      <c r="HM165" s="104"/>
      <c r="HN165" s="104"/>
      <c r="HO165" s="104"/>
      <c r="HP165" s="104"/>
      <c r="HQ165" s="104"/>
      <c r="HR165" s="104"/>
      <c r="HS165" s="104"/>
      <c r="HT165" s="104"/>
      <c r="HU165" s="104"/>
      <c r="HV165" s="104"/>
      <c r="HW165" s="104"/>
      <c r="HX165" s="104"/>
      <c r="HY165" s="104"/>
      <c r="HZ165" s="104"/>
      <c r="IA165" s="104"/>
      <c r="IB165" s="104"/>
      <c r="IC165" s="104"/>
      <c r="ID165" s="104"/>
      <c r="IE165" s="104"/>
      <c r="IF165" s="104"/>
      <c r="IG165" s="104"/>
      <c r="IH165" s="104"/>
      <c r="II165" s="104"/>
      <c r="IJ165" s="104"/>
      <c r="IK165" s="104"/>
      <c r="IL165" s="104"/>
      <c r="IM165" s="104"/>
      <c r="IN165" s="104"/>
      <c r="IO165" s="104"/>
      <c r="IP165" s="104"/>
      <c r="IQ165" s="104"/>
      <c r="IR165" s="104"/>
      <c r="IS165" s="104"/>
      <c r="IT165" s="104"/>
      <c r="IU165" s="104"/>
      <c r="IV165" s="104"/>
    </row>
    <row r="166" spans="1:256" x14ac:dyDescent="0.2">
      <c r="A166" s="75"/>
      <c r="B166" s="75"/>
      <c r="C166" s="75"/>
      <c r="D166" s="97" t="s">
        <v>212</v>
      </c>
      <c r="E166" s="97"/>
      <c r="F166" s="97"/>
      <c r="G166" s="97"/>
      <c r="H166" s="97"/>
      <c r="I166" s="97"/>
      <c r="J166" s="98">
        <f>J157</f>
        <v>3212.27</v>
      </c>
      <c r="K166" s="98"/>
      <c r="L166" s="98">
        <f>L157*0.925</f>
        <v>71134.13</v>
      </c>
      <c r="M166" s="103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  <c r="BM166" s="104"/>
      <c r="BN166" s="104"/>
      <c r="BO166" s="104"/>
      <c r="BP166" s="104"/>
      <c r="BQ166" s="104"/>
      <c r="BR166" s="104"/>
      <c r="BS166" s="104"/>
      <c r="BT166" s="104"/>
      <c r="BU166" s="104"/>
      <c r="BV166" s="104"/>
      <c r="BW166" s="104"/>
      <c r="BX166" s="104"/>
      <c r="BY166" s="104"/>
      <c r="BZ166" s="104"/>
      <c r="CA166" s="104"/>
      <c r="CB166" s="104"/>
      <c r="CC166" s="104"/>
      <c r="CD166" s="104"/>
      <c r="CE166" s="104"/>
      <c r="CF166" s="104"/>
      <c r="CG166" s="104"/>
      <c r="CH166" s="104"/>
      <c r="CI166" s="104"/>
      <c r="CJ166" s="104"/>
      <c r="CK166" s="104"/>
      <c r="CL166" s="104"/>
      <c r="CM166" s="104"/>
      <c r="CN166" s="104"/>
      <c r="CO166" s="104"/>
      <c r="CP166" s="104"/>
      <c r="CQ166" s="104"/>
      <c r="CR166" s="104"/>
      <c r="CS166" s="104"/>
      <c r="CT166" s="104"/>
      <c r="CU166" s="104"/>
      <c r="CV166" s="104"/>
      <c r="CW166" s="104"/>
      <c r="CX166" s="104"/>
      <c r="CY166" s="104"/>
      <c r="CZ166" s="104"/>
      <c r="DA166" s="104"/>
      <c r="DB166" s="104"/>
      <c r="DC166" s="104"/>
      <c r="DD166" s="104"/>
      <c r="DE166" s="104"/>
      <c r="DF166" s="104"/>
      <c r="DG166" s="104"/>
      <c r="DH166" s="104"/>
      <c r="DI166" s="104"/>
      <c r="DJ166" s="104"/>
      <c r="DK166" s="104"/>
      <c r="DL166" s="104"/>
      <c r="DM166" s="104"/>
      <c r="DN166" s="104"/>
      <c r="DO166" s="104"/>
      <c r="DP166" s="104"/>
      <c r="DQ166" s="104"/>
      <c r="DR166" s="104"/>
      <c r="DS166" s="104"/>
      <c r="DT166" s="104"/>
      <c r="DU166" s="104"/>
      <c r="DV166" s="104"/>
      <c r="DW166" s="104"/>
      <c r="DX166" s="104"/>
      <c r="DY166" s="104"/>
      <c r="DZ166" s="104"/>
      <c r="EA166" s="104"/>
      <c r="EB166" s="104"/>
      <c r="EC166" s="104"/>
      <c r="ED166" s="104"/>
      <c r="EE166" s="104"/>
      <c r="EF166" s="104"/>
      <c r="EG166" s="104"/>
      <c r="EH166" s="104"/>
      <c r="EI166" s="104"/>
      <c r="EJ166" s="104"/>
      <c r="EK166" s="104"/>
      <c r="EL166" s="104"/>
      <c r="EM166" s="104"/>
      <c r="EN166" s="104"/>
      <c r="EO166" s="104"/>
      <c r="EP166" s="104"/>
      <c r="EQ166" s="104"/>
      <c r="ER166" s="104"/>
      <c r="ES166" s="104"/>
      <c r="ET166" s="104"/>
      <c r="EU166" s="104"/>
      <c r="EV166" s="104"/>
      <c r="EW166" s="104"/>
      <c r="EX166" s="104"/>
      <c r="EY166" s="104"/>
      <c r="EZ166" s="104"/>
      <c r="FA166" s="104"/>
      <c r="FB166" s="104"/>
      <c r="FC166" s="104"/>
      <c r="FD166" s="104"/>
      <c r="FE166" s="104"/>
      <c r="FF166" s="104"/>
      <c r="FG166" s="104"/>
      <c r="FH166" s="104"/>
      <c r="FI166" s="104"/>
      <c r="FJ166" s="104"/>
      <c r="FK166" s="104"/>
      <c r="FL166" s="104"/>
      <c r="FM166" s="104"/>
      <c r="FN166" s="104"/>
      <c r="FO166" s="104"/>
      <c r="FP166" s="104"/>
      <c r="FQ166" s="104"/>
      <c r="FR166" s="104"/>
      <c r="FS166" s="104"/>
      <c r="FT166" s="104"/>
      <c r="FU166" s="104"/>
      <c r="FV166" s="104"/>
      <c r="FW166" s="104"/>
      <c r="FX166" s="104"/>
      <c r="FY166" s="104"/>
      <c r="FZ166" s="104"/>
      <c r="GA166" s="104"/>
      <c r="GB166" s="104"/>
      <c r="GC166" s="104"/>
      <c r="GD166" s="104"/>
      <c r="GE166" s="104"/>
      <c r="GF166" s="104"/>
      <c r="GG166" s="104"/>
      <c r="GH166" s="104"/>
      <c r="GI166" s="104"/>
      <c r="GJ166" s="104"/>
      <c r="GK166" s="104"/>
      <c r="GL166" s="104"/>
      <c r="GM166" s="104"/>
      <c r="GN166" s="104"/>
      <c r="GO166" s="104"/>
      <c r="GP166" s="104"/>
      <c r="GQ166" s="104"/>
      <c r="GR166" s="104"/>
      <c r="GS166" s="104"/>
      <c r="GT166" s="104"/>
      <c r="GU166" s="104"/>
      <c r="GV166" s="104"/>
      <c r="GW166" s="104"/>
      <c r="GX166" s="104"/>
      <c r="GY166" s="104"/>
      <c r="GZ166" s="104"/>
      <c r="HA166" s="104"/>
      <c r="HB166" s="104"/>
      <c r="HC166" s="104"/>
      <c r="HD166" s="104"/>
      <c r="HE166" s="104"/>
      <c r="HF166" s="104"/>
      <c r="HG166" s="104"/>
      <c r="HH166" s="104"/>
      <c r="HI166" s="104"/>
      <c r="HJ166" s="104"/>
      <c r="HK166" s="104"/>
      <c r="HL166" s="104"/>
      <c r="HM166" s="104"/>
      <c r="HN166" s="104"/>
      <c r="HO166" s="104"/>
      <c r="HP166" s="104"/>
      <c r="HQ166" s="104"/>
      <c r="HR166" s="104"/>
      <c r="HS166" s="104"/>
      <c r="HT166" s="104"/>
      <c r="HU166" s="104"/>
      <c r="HV166" s="104"/>
      <c r="HW166" s="104"/>
      <c r="HX166" s="104"/>
      <c r="HY166" s="104"/>
      <c r="HZ166" s="104"/>
      <c r="IA166" s="104"/>
      <c r="IB166" s="104"/>
      <c r="IC166" s="104"/>
      <c r="ID166" s="104"/>
      <c r="IE166" s="104"/>
      <c r="IF166" s="104"/>
      <c r="IG166" s="104"/>
      <c r="IH166" s="104"/>
      <c r="II166" s="104"/>
      <c r="IJ166" s="104"/>
      <c r="IK166" s="104"/>
      <c r="IL166" s="104"/>
      <c r="IM166" s="104"/>
      <c r="IN166" s="104"/>
      <c r="IO166" s="104"/>
      <c r="IP166" s="104"/>
      <c r="IQ166" s="104"/>
      <c r="IR166" s="104"/>
      <c r="IS166" s="104"/>
      <c r="IT166" s="104"/>
      <c r="IU166" s="104"/>
      <c r="IV166" s="104"/>
    </row>
    <row r="167" spans="1:256" x14ac:dyDescent="0.2">
      <c r="A167" s="75"/>
      <c r="B167" s="75"/>
      <c r="C167" s="75"/>
      <c r="D167" s="97" t="s">
        <v>213</v>
      </c>
      <c r="E167" s="97"/>
      <c r="F167" s="97"/>
      <c r="G167" s="97"/>
      <c r="H167" s="97"/>
      <c r="I167" s="97"/>
      <c r="J167" s="98">
        <f>J158</f>
        <v>56065.08</v>
      </c>
      <c r="K167" s="98"/>
      <c r="L167" s="98">
        <f>L158*0.925</f>
        <v>271097.75</v>
      </c>
      <c r="M167" s="103"/>
    </row>
    <row r="168" spans="1:256" x14ac:dyDescent="0.2">
      <c r="A168" s="75"/>
      <c r="B168" s="75"/>
      <c r="C168" s="75"/>
      <c r="D168" s="105" t="s">
        <v>214</v>
      </c>
      <c r="E168" s="97"/>
      <c r="F168" s="97"/>
      <c r="G168" s="97"/>
      <c r="H168" s="97"/>
      <c r="I168" s="97"/>
      <c r="J168" s="106">
        <v>0</v>
      </c>
      <c r="K168" s="98"/>
      <c r="L168" s="106">
        <v>0</v>
      </c>
      <c r="M168" s="103"/>
    </row>
    <row r="169" spans="1:256" x14ac:dyDescent="0.2">
      <c r="A169" s="75"/>
      <c r="B169" s="75"/>
      <c r="C169" s="75"/>
      <c r="D169" s="97" t="s">
        <v>215</v>
      </c>
      <c r="E169" s="97"/>
      <c r="F169" s="97"/>
      <c r="G169" s="97"/>
      <c r="H169" s="97"/>
      <c r="I169" s="97"/>
      <c r="J169" s="98">
        <f>J166*0.15</f>
        <v>481.84</v>
      </c>
      <c r="K169" s="98"/>
      <c r="L169" s="98">
        <f>L166*0.15</f>
        <v>10670.12</v>
      </c>
      <c r="M169" s="103"/>
    </row>
    <row r="170" spans="1:256" x14ac:dyDescent="0.2">
      <c r="A170" s="75"/>
      <c r="B170" s="75"/>
      <c r="C170" s="75"/>
      <c r="D170" s="99" t="s">
        <v>218</v>
      </c>
      <c r="E170" s="100"/>
      <c r="F170" s="100"/>
      <c r="G170" s="100"/>
      <c r="H170" s="100"/>
      <c r="I170" s="100"/>
      <c r="J170" s="102">
        <f>J169+J164</f>
        <v>67926.899999999994</v>
      </c>
      <c r="K170" s="100"/>
      <c r="L170" s="102">
        <f>L169+L164</f>
        <v>460880.14</v>
      </c>
      <c r="M170" s="103"/>
    </row>
    <row r="171" spans="1:256" x14ac:dyDescent="0.2">
      <c r="A171" s="75"/>
      <c r="B171" s="75"/>
      <c r="C171" s="75"/>
      <c r="D171" s="107"/>
      <c r="E171" s="107"/>
      <c r="F171" s="107"/>
      <c r="G171" s="107"/>
      <c r="H171" s="107"/>
      <c r="I171" s="107"/>
      <c r="J171" s="107"/>
      <c r="K171" s="107"/>
      <c r="L171" s="107"/>
      <c r="M171" s="103"/>
    </row>
    <row r="172" spans="1:256" x14ac:dyDescent="0.2">
      <c r="A172" s="75"/>
      <c r="B172" s="75"/>
      <c r="C172" s="75"/>
      <c r="D172" s="107"/>
      <c r="E172" s="107"/>
      <c r="F172" s="107"/>
      <c r="G172" s="107"/>
      <c r="H172" s="107"/>
      <c r="I172" s="107"/>
      <c r="J172" s="107"/>
      <c r="K172" s="107"/>
      <c r="L172" s="107"/>
      <c r="M172" s="103"/>
    </row>
    <row r="173" spans="1:256" x14ac:dyDescent="0.2">
      <c r="A173" s="75"/>
      <c r="B173" s="75"/>
      <c r="C173" s="75"/>
      <c r="D173" s="108" t="s">
        <v>219</v>
      </c>
      <c r="E173" s="109"/>
      <c r="F173" s="109"/>
      <c r="G173" s="109"/>
      <c r="H173" s="109"/>
      <c r="I173" s="110"/>
      <c r="J173" s="111">
        <f>J170</f>
        <v>67926.899999999994</v>
      </c>
      <c r="K173" s="112"/>
      <c r="L173" s="111">
        <f>L170</f>
        <v>460880.14</v>
      </c>
      <c r="M173" s="103"/>
    </row>
    <row r="174" spans="1:256" x14ac:dyDescent="0.2">
      <c r="A174" s="75"/>
      <c r="B174" s="75"/>
      <c r="C174" s="75"/>
      <c r="D174" s="113" t="s">
        <v>220</v>
      </c>
      <c r="E174" s="114"/>
      <c r="F174" s="114"/>
      <c r="G174" s="114"/>
      <c r="H174" s="114"/>
      <c r="I174" s="115"/>
      <c r="J174" s="116">
        <f>J165</f>
        <v>67445.06</v>
      </c>
      <c r="K174" s="117"/>
      <c r="L174" s="116">
        <f>L165</f>
        <v>450210.02</v>
      </c>
      <c r="M174" s="103"/>
    </row>
    <row r="175" spans="1:256" x14ac:dyDescent="0.2">
      <c r="A175" s="75"/>
      <c r="B175" s="75"/>
      <c r="C175" s="75"/>
      <c r="D175" s="113" t="s">
        <v>221</v>
      </c>
      <c r="E175" s="114"/>
      <c r="F175" s="114"/>
      <c r="G175" s="114"/>
      <c r="H175" s="114"/>
      <c r="I175" s="115"/>
      <c r="J175" s="116">
        <f>J169</f>
        <v>481.84</v>
      </c>
      <c r="K175" s="118"/>
      <c r="L175" s="116">
        <f>L169</f>
        <v>10670.12</v>
      </c>
      <c r="M175" s="103"/>
    </row>
    <row r="176" spans="1:256" x14ac:dyDescent="0.2">
      <c r="A176" s="75"/>
      <c r="B176" s="75"/>
      <c r="C176" s="75"/>
      <c r="D176" s="113" t="s">
        <v>222</v>
      </c>
      <c r="E176" s="114"/>
      <c r="F176" s="114"/>
      <c r="G176" s="114"/>
      <c r="H176" s="114"/>
      <c r="I176" s="115"/>
      <c r="J176" s="116">
        <v>0</v>
      </c>
      <c r="K176" s="116"/>
      <c r="L176" s="116">
        <v>0</v>
      </c>
      <c r="M176" s="103"/>
    </row>
    <row r="177" spans="1:14" x14ac:dyDescent="0.2">
      <c r="A177" s="75"/>
      <c r="B177" s="75"/>
      <c r="C177" s="75"/>
      <c r="D177" s="113" t="s">
        <v>223</v>
      </c>
      <c r="E177" s="114"/>
      <c r="F177" s="114"/>
      <c r="G177" s="114"/>
      <c r="H177" s="114"/>
      <c r="I177" s="115"/>
      <c r="J177" s="119">
        <v>0</v>
      </c>
      <c r="K177" s="119"/>
      <c r="L177" s="119">
        <v>0</v>
      </c>
      <c r="M177" s="103"/>
    </row>
    <row r="181" spans="1:14" x14ac:dyDescent="0.2">
      <c r="A181" s="544" t="s">
        <v>224</v>
      </c>
      <c r="B181" s="544"/>
      <c r="C181" s="544"/>
      <c r="D181" s="544"/>
      <c r="E181" s="544"/>
      <c r="F181" s="544"/>
      <c r="G181" s="544"/>
      <c r="H181" s="544"/>
      <c r="I181" s="544"/>
      <c r="J181" s="120"/>
      <c r="K181" s="545" t="s">
        <v>228</v>
      </c>
      <c r="L181" s="545"/>
      <c r="M181" s="103"/>
      <c r="N181" s="104"/>
    </row>
    <row r="182" spans="1:14" x14ac:dyDescent="0.2">
      <c r="A182" s="107"/>
      <c r="B182" s="107"/>
      <c r="C182" s="107"/>
      <c r="D182" s="546"/>
      <c r="E182" s="546"/>
      <c r="F182" s="107"/>
      <c r="G182" s="107"/>
      <c r="H182" s="547"/>
      <c r="I182" s="547"/>
      <c r="J182" s="547"/>
      <c r="K182" s="547"/>
      <c r="L182" s="547"/>
      <c r="M182" s="103"/>
      <c r="N182" s="104"/>
    </row>
    <row r="183" spans="1:14" x14ac:dyDescent="0.2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2"/>
      <c r="N183" s="123"/>
    </row>
    <row r="184" spans="1:14" x14ac:dyDescent="0.2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2"/>
      <c r="N184" s="123"/>
    </row>
    <row r="185" spans="1:14" x14ac:dyDescent="0.2">
      <c r="A185" s="124" t="s">
        <v>225</v>
      </c>
      <c r="B185" s="124"/>
      <c r="C185" s="124"/>
      <c r="D185" s="124"/>
      <c r="E185" s="124"/>
      <c r="F185" s="124"/>
      <c r="G185" s="124"/>
      <c r="H185" s="124"/>
      <c r="I185" s="124"/>
      <c r="J185" s="545" t="s">
        <v>226</v>
      </c>
      <c r="K185" s="545"/>
      <c r="L185" s="545"/>
      <c r="M185" s="103"/>
      <c r="N185" s="104"/>
    </row>
  </sheetData>
  <mergeCells count="99">
    <mergeCell ref="J185:L185"/>
    <mergeCell ref="D151:H151"/>
    <mergeCell ref="D152:H152"/>
    <mergeCell ref="A181:I181"/>
    <mergeCell ref="K181:L181"/>
    <mergeCell ref="D182:E182"/>
    <mergeCell ref="H182:L182"/>
    <mergeCell ref="A146:H146"/>
    <mergeCell ref="I146:J146"/>
    <mergeCell ref="K146:L146"/>
    <mergeCell ref="D148:H148"/>
    <mergeCell ref="I148:J148"/>
    <mergeCell ref="K148:L148"/>
    <mergeCell ref="D149:H149"/>
    <mergeCell ref="I149:J149"/>
    <mergeCell ref="K149:L149"/>
    <mergeCell ref="D147:H147"/>
    <mergeCell ref="I147:J147"/>
    <mergeCell ref="K147:L147"/>
    <mergeCell ref="I138:J138"/>
    <mergeCell ref="K138:L138"/>
    <mergeCell ref="I140:J140"/>
    <mergeCell ref="K140:L140"/>
    <mergeCell ref="A142:H142"/>
    <mergeCell ref="I142:J142"/>
    <mergeCell ref="K142:L142"/>
    <mergeCell ref="I132:J132"/>
    <mergeCell ref="K132:L132"/>
    <mergeCell ref="I134:J134"/>
    <mergeCell ref="K134:L134"/>
    <mergeCell ref="I136:J136"/>
    <mergeCell ref="K136:L136"/>
    <mergeCell ref="I130:J130"/>
    <mergeCell ref="K130:L130"/>
    <mergeCell ref="I115:J115"/>
    <mergeCell ref="K115:L115"/>
    <mergeCell ref="I120:J120"/>
    <mergeCell ref="K120:L120"/>
    <mergeCell ref="I122:J122"/>
    <mergeCell ref="K122:L122"/>
    <mergeCell ref="A124:L124"/>
    <mergeCell ref="I126:J126"/>
    <mergeCell ref="K126:L126"/>
    <mergeCell ref="I128:J128"/>
    <mergeCell ref="K128:L128"/>
    <mergeCell ref="I98:J98"/>
    <mergeCell ref="K98:L98"/>
    <mergeCell ref="I103:J103"/>
    <mergeCell ref="K103:L103"/>
    <mergeCell ref="I105:J105"/>
    <mergeCell ref="K105:L105"/>
    <mergeCell ref="I81:J81"/>
    <mergeCell ref="K81:L81"/>
    <mergeCell ref="I86:J86"/>
    <mergeCell ref="K86:L86"/>
    <mergeCell ref="I88:J88"/>
    <mergeCell ref="K88:L88"/>
    <mergeCell ref="I69:J69"/>
    <mergeCell ref="K69:L69"/>
    <mergeCell ref="I71:J71"/>
    <mergeCell ref="K71:L71"/>
    <mergeCell ref="I50:J50"/>
    <mergeCell ref="K50:L50"/>
    <mergeCell ref="I52:J52"/>
    <mergeCell ref="K52:L52"/>
    <mergeCell ref="I62:J62"/>
    <mergeCell ref="K62:L62"/>
    <mergeCell ref="I67:J67"/>
    <mergeCell ref="K67:L67"/>
    <mergeCell ref="K35:L35"/>
    <mergeCell ref="I45:J45"/>
    <mergeCell ref="K45:L45"/>
    <mergeCell ref="I28:J28"/>
    <mergeCell ref="K28:L28"/>
    <mergeCell ref="I33:J33"/>
    <mergeCell ref="K33:L33"/>
    <mergeCell ref="I35:J35"/>
    <mergeCell ref="A1:L1"/>
    <mergeCell ref="A2:L2"/>
    <mergeCell ref="J5:J9"/>
    <mergeCell ref="K5:K9"/>
    <mergeCell ref="L5:L9"/>
    <mergeCell ref="A6:A9"/>
    <mergeCell ref="B6:B9"/>
    <mergeCell ref="A4:L4"/>
    <mergeCell ref="A5:B5"/>
    <mergeCell ref="C5:C9"/>
    <mergeCell ref="D5:D9"/>
    <mergeCell ref="E5:E9"/>
    <mergeCell ref="F5:F9"/>
    <mergeCell ref="G5:G9"/>
    <mergeCell ref="H5:H9"/>
    <mergeCell ref="I5:I9"/>
    <mergeCell ref="A17:L17"/>
    <mergeCell ref="A12:L12"/>
    <mergeCell ref="A13:L13"/>
    <mergeCell ref="A14:L14"/>
    <mergeCell ref="A15:L15"/>
    <mergeCell ref="A16:L16"/>
  </mergeCells>
  <pageMargins left="0.39370078740157483" right="0.19685039370078741" top="0.19685039370078741" bottom="0.39370078740157483" header="0.19685039370078741" footer="0.19685039370078741"/>
  <pageSetup paperSize="9" scale="62" firstPageNumber="4" fitToHeight="0" orientation="portrait" useFirstPageNumber="1" r:id="rId1"/>
  <headerFooter>
    <oddHeader>&amp;L&amp;8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69"/>
  <sheetViews>
    <sheetView view="pageBreakPreview" topLeftCell="A112" zoomScale="70" zoomScaleNormal="100" zoomScaleSheetLayoutView="70" workbookViewId="0">
      <selection activeCell="J150" sqref="J150"/>
    </sheetView>
  </sheetViews>
  <sheetFormatPr defaultRowHeight="12.75" x14ac:dyDescent="0.2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9" max="9" width="10.7109375" customWidth="1"/>
    <col min="10" max="12" width="12.7109375" customWidth="1"/>
    <col min="15" max="29" width="0" hidden="1" customWidth="1"/>
    <col min="30" max="30" width="99.7109375" hidden="1" customWidth="1"/>
    <col min="31" max="31" width="155.7109375" hidden="1" customWidth="1"/>
    <col min="32" max="32" width="109.7109375" hidden="1" customWidth="1"/>
    <col min="33" max="33" width="0" hidden="1" customWidth="1"/>
    <col min="34" max="34" width="88.7109375" hidden="1" customWidth="1"/>
    <col min="35" max="36" width="0" hidden="1" customWidth="1"/>
  </cols>
  <sheetData>
    <row r="1" spans="1:12" s="32" customFormat="1" ht="14.25" customHeight="1" x14ac:dyDescent="0.25">
      <c r="A1" s="533" t="s">
        <v>391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1:12" s="32" customFormat="1" ht="37.5" customHeight="1" x14ac:dyDescent="0.2">
      <c r="A2" s="534" t="s">
        <v>122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25" x14ac:dyDescent="0.2">
      <c r="A4" s="519" t="s">
        <v>107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ht="14.25" x14ac:dyDescent="0.2">
      <c r="A5" s="520" t="s">
        <v>7</v>
      </c>
      <c r="B5" s="520"/>
      <c r="C5" s="520" t="s">
        <v>8</v>
      </c>
      <c r="D5" s="520" t="s">
        <v>9</v>
      </c>
      <c r="E5" s="520" t="s">
        <v>10</v>
      </c>
      <c r="F5" s="520" t="s">
        <v>11</v>
      </c>
      <c r="G5" s="520" t="s">
        <v>12</v>
      </c>
      <c r="H5" s="521" t="s">
        <v>13</v>
      </c>
      <c r="I5" s="521" t="s">
        <v>14</v>
      </c>
      <c r="J5" s="520" t="s">
        <v>15</v>
      </c>
      <c r="K5" s="520" t="s">
        <v>16</v>
      </c>
      <c r="L5" s="520" t="s">
        <v>17</v>
      </c>
    </row>
    <row r="6" spans="1:12" x14ac:dyDescent="0.2">
      <c r="A6" s="521" t="s">
        <v>18</v>
      </c>
      <c r="B6" s="521" t="s">
        <v>19</v>
      </c>
      <c r="C6" s="520"/>
      <c r="D6" s="520"/>
      <c r="E6" s="520"/>
      <c r="F6" s="520"/>
      <c r="G6" s="520"/>
      <c r="H6" s="522"/>
      <c r="I6" s="522"/>
      <c r="J6" s="520"/>
      <c r="K6" s="520"/>
      <c r="L6" s="520"/>
    </row>
    <row r="7" spans="1:12" x14ac:dyDescent="0.2">
      <c r="A7" s="522"/>
      <c r="B7" s="522"/>
      <c r="C7" s="520"/>
      <c r="D7" s="520"/>
      <c r="E7" s="520"/>
      <c r="F7" s="520"/>
      <c r="G7" s="520"/>
      <c r="H7" s="522"/>
      <c r="I7" s="522"/>
      <c r="J7" s="520"/>
      <c r="K7" s="520"/>
      <c r="L7" s="520"/>
    </row>
    <row r="8" spans="1:12" ht="20.100000000000001" customHeight="1" x14ac:dyDescent="0.2">
      <c r="A8" s="522"/>
      <c r="B8" s="522"/>
      <c r="C8" s="520"/>
      <c r="D8" s="520"/>
      <c r="E8" s="520"/>
      <c r="F8" s="520"/>
      <c r="G8" s="520"/>
      <c r="H8" s="522"/>
      <c r="I8" s="522"/>
      <c r="J8" s="520"/>
      <c r="K8" s="520"/>
      <c r="L8" s="520"/>
    </row>
    <row r="9" spans="1:12" ht="20.100000000000001" customHeight="1" x14ac:dyDescent="0.2">
      <c r="A9" s="523"/>
      <c r="B9" s="523"/>
      <c r="C9" s="520"/>
      <c r="D9" s="520"/>
      <c r="E9" s="520"/>
      <c r="F9" s="520"/>
      <c r="G9" s="520"/>
      <c r="H9" s="523"/>
      <c r="I9" s="523"/>
      <c r="J9" s="520"/>
      <c r="K9" s="520"/>
      <c r="L9" s="520"/>
    </row>
    <row r="10" spans="1:12" ht="14.25" x14ac:dyDescent="0.2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  <c r="J10" s="28">
        <v>10</v>
      </c>
      <c r="K10" s="28">
        <v>11</v>
      </c>
      <c r="L10" s="28">
        <v>12</v>
      </c>
    </row>
    <row r="12" spans="1:12" s="32" customFormat="1" ht="15.75" x14ac:dyDescent="0.25">
      <c r="A12" s="515" t="s">
        <v>57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1:12" s="32" customFormat="1" ht="15.75" x14ac:dyDescent="0.25">
      <c r="A13" s="515" t="s">
        <v>123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1:12" s="32" customFormat="1" ht="15.75" x14ac:dyDescent="0.25">
      <c r="A14" s="515" t="s">
        <v>124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1:12" s="32" customFormat="1" ht="15.75" hidden="1" x14ac:dyDescent="0.25">
      <c r="A15" s="516" t="s">
        <v>60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</row>
    <row r="16" spans="1:12" s="32" customFormat="1" ht="15.75" hidden="1" x14ac:dyDescent="0.2">
      <c r="A16" s="549" t="s">
        <v>61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49"/>
      <c r="L16" s="549"/>
    </row>
    <row r="17" spans="1:31" s="32" customFormat="1" ht="15.75" hidden="1" x14ac:dyDescent="0.2">
      <c r="A17" s="549" t="s">
        <v>62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</row>
    <row r="18" spans="1:31" s="32" customFormat="1" ht="14.25" x14ac:dyDescent="0.2">
      <c r="A18" s="33" t="s">
        <v>63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20" spans="1:31" ht="33" x14ac:dyDescent="0.25">
      <c r="A20" s="514" t="str">
        <f>CONCATENATE("Раздел: ",IF([81]Source!G26&lt;&gt;"Новый раздел", [81]Source!G26,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  <c r="B20" s="514"/>
      <c r="C20" s="514"/>
      <c r="D20" s="514"/>
      <c r="E20" s="514"/>
      <c r="F20" s="514"/>
      <c r="G20" s="514"/>
      <c r="H20" s="514"/>
      <c r="I20" s="514"/>
      <c r="J20" s="514"/>
      <c r="K20" s="514"/>
      <c r="L20" s="514"/>
      <c r="AE20" s="27" t="str">
        <f>CONCATENATE("Раздел: ",IF([81]Source!G26&lt;&gt;"Новый раздел", [81]Source!G26,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</row>
    <row r="21" spans="1:31" ht="57" x14ac:dyDescent="0.2">
      <c r="A21" s="4">
        <v>1</v>
      </c>
      <c r="B21" s="4" t="str">
        <f>[81]Source!E108</f>
        <v>35</v>
      </c>
      <c r="C21" s="5" t="str">
        <f>[81]Source!F108</f>
        <v>3.16-10-5</v>
      </c>
      <c r="D21" s="5" t="s">
        <v>109</v>
      </c>
      <c r="E21" s="6" t="str">
        <f>[81]Source!H108</f>
        <v>100 м трубопровода</v>
      </c>
      <c r="F21" s="2">
        <f>[81]Source!I108</f>
        <v>0.6</v>
      </c>
      <c r="G21" s="7"/>
      <c r="H21" s="8"/>
      <c r="I21" s="2"/>
      <c r="J21" s="25"/>
      <c r="K21" s="2"/>
      <c r="L21" s="25"/>
      <c r="Q21">
        <f>[81]Source!X108</f>
        <v>1210.1500000000001</v>
      </c>
      <c r="R21">
        <f>[81]Source!X109</f>
        <v>23176.85</v>
      </c>
      <c r="S21">
        <f>[81]Source!Y108</f>
        <v>910.03</v>
      </c>
      <c r="T21">
        <f>[81]Source!Y109</f>
        <v>10429.58</v>
      </c>
      <c r="U21">
        <f>ROUND((175/100)*ROUND([81]Source!R108, 2), 2)</f>
        <v>58.07</v>
      </c>
      <c r="V21">
        <f>ROUND((157/100)*ROUND([81]Source!R109, 2), 2)</f>
        <v>1246.9100000000001</v>
      </c>
    </row>
    <row r="22" spans="1:31" ht="14.25" x14ac:dyDescent="0.2">
      <c r="A22" s="4"/>
      <c r="B22" s="4"/>
      <c r="C22" s="5"/>
      <c r="D22" s="5" t="s">
        <v>20</v>
      </c>
      <c r="E22" s="6"/>
      <c r="F22" s="2"/>
      <c r="G22" s="7">
        <f>[81]Source!AO108</f>
        <v>905.52</v>
      </c>
      <c r="H22" s="8" t="str">
        <f>[81]Source!DG108</f>
        <v>)*1,67</v>
      </c>
      <c r="I22" s="2">
        <f>[81]Source!AV109</f>
        <v>1.0669999999999999</v>
      </c>
      <c r="J22" s="25">
        <f>[81]Source!S108</f>
        <v>968.12</v>
      </c>
      <c r="K22" s="2">
        <f>IF([81]Source!BA109&lt;&gt; 0, [81]Source!BA109, 1)</f>
        <v>23.94</v>
      </c>
      <c r="L22" s="25">
        <f>[81]Source!S109</f>
        <v>23176.85</v>
      </c>
    </row>
    <row r="23" spans="1:31" ht="14.25" x14ac:dyDescent="0.2">
      <c r="A23" s="4"/>
      <c r="B23" s="4"/>
      <c r="C23" s="5"/>
      <c r="D23" s="5" t="s">
        <v>21</v>
      </c>
      <c r="E23" s="6"/>
      <c r="F23" s="2"/>
      <c r="G23" s="7">
        <f>[81]Source!AM108</f>
        <v>218.14</v>
      </c>
      <c r="H23" s="8" t="str">
        <f>[81]Source!DE108</f>
        <v/>
      </c>
      <c r="I23" s="2">
        <f>[81]Source!AV109</f>
        <v>1.0669999999999999</v>
      </c>
      <c r="J23" s="25">
        <f>[81]Source!Q108-J32</f>
        <v>139.65</v>
      </c>
      <c r="K23" s="2">
        <f>IF([81]Source!BB109&lt;&gt; 0, [81]Source!BB109, 1)</f>
        <v>7.99</v>
      </c>
      <c r="L23" s="25">
        <f>[81]Source!Q109-L32</f>
        <v>1115.83</v>
      </c>
    </row>
    <row r="24" spans="1:31" ht="14.25" x14ac:dyDescent="0.2">
      <c r="A24" s="4"/>
      <c r="B24" s="4"/>
      <c r="C24" s="5"/>
      <c r="D24" s="5" t="s">
        <v>22</v>
      </c>
      <c r="E24" s="6"/>
      <c r="F24" s="2"/>
      <c r="G24" s="7">
        <f>[81]Source!AN108</f>
        <v>31.03</v>
      </c>
      <c r="H24" s="8" t="str">
        <f>[81]Source!DE108</f>
        <v/>
      </c>
      <c r="I24" s="2">
        <f>[81]Source!AV109</f>
        <v>1.0669999999999999</v>
      </c>
      <c r="J24" s="10">
        <f>[81]Source!R108-J33</f>
        <v>19.87</v>
      </c>
      <c r="K24" s="2">
        <f>IF([81]Source!BS109&lt;&gt; 0, [81]Source!BS109, 1)</f>
        <v>23.94</v>
      </c>
      <c r="L24" s="10">
        <f>[81]Source!R109-L33</f>
        <v>475.57</v>
      </c>
    </row>
    <row r="25" spans="1:31" ht="14.25" x14ac:dyDescent="0.2">
      <c r="A25" s="4"/>
      <c r="B25" s="4"/>
      <c r="C25" s="5"/>
      <c r="D25" s="5" t="s">
        <v>23</v>
      </c>
      <c r="E25" s="6"/>
      <c r="F25" s="2"/>
      <c r="G25" s="7">
        <f>[81]Source!AL108</f>
        <v>51.59</v>
      </c>
      <c r="H25" s="8" t="str">
        <f>[81]Source!DD108</f>
        <v/>
      </c>
      <c r="I25" s="2">
        <f>[81]Source!AW109</f>
        <v>1</v>
      </c>
      <c r="J25" s="25">
        <f>[81]Source!P108</f>
        <v>30.95</v>
      </c>
      <c r="K25" s="2">
        <f>IF([81]Source!BC109&lt;&gt; 0, [81]Source!BC109, 1)</f>
        <v>5.54</v>
      </c>
      <c r="L25" s="25">
        <f>[81]Source!P109</f>
        <v>171.49</v>
      </c>
    </row>
    <row r="26" spans="1:31" ht="14.25" x14ac:dyDescent="0.2">
      <c r="A26" s="4"/>
      <c r="B26" s="4"/>
      <c r="C26" s="5"/>
      <c r="D26" s="5" t="s">
        <v>24</v>
      </c>
      <c r="E26" s="6" t="s">
        <v>25</v>
      </c>
      <c r="F26" s="2">
        <f>[81]Source!DN109</f>
        <v>125</v>
      </c>
      <c r="G26" s="7"/>
      <c r="H26" s="8"/>
      <c r="I26" s="2"/>
      <c r="J26" s="25">
        <f>SUM(Q21:Q25)</f>
        <v>1210.1500000000001</v>
      </c>
      <c r="K26" s="2">
        <f>[81]Source!BZ109</f>
        <v>100</v>
      </c>
      <c r="L26" s="25">
        <f>SUM(R21:R25)</f>
        <v>23176.85</v>
      </c>
    </row>
    <row r="27" spans="1:31" ht="14.25" x14ac:dyDescent="0.2">
      <c r="A27" s="4"/>
      <c r="B27" s="4"/>
      <c r="C27" s="5"/>
      <c r="D27" s="5" t="s">
        <v>26</v>
      </c>
      <c r="E27" s="6" t="s">
        <v>25</v>
      </c>
      <c r="F27" s="2">
        <f>[81]Source!DO109</f>
        <v>94</v>
      </c>
      <c r="G27" s="7"/>
      <c r="H27" s="8"/>
      <c r="I27" s="2"/>
      <c r="J27" s="25">
        <f>SUM(S21:S26)</f>
        <v>910.03</v>
      </c>
      <c r="K27" s="2">
        <f>[81]Source!CA109</f>
        <v>45</v>
      </c>
      <c r="L27" s="25">
        <f>SUM(T21:T26)</f>
        <v>10429.58</v>
      </c>
    </row>
    <row r="28" spans="1:31" ht="14.25" x14ac:dyDescent="0.2">
      <c r="A28" s="4"/>
      <c r="B28" s="4"/>
      <c r="C28" s="5"/>
      <c r="D28" s="5" t="s">
        <v>27</v>
      </c>
      <c r="E28" s="6" t="s">
        <v>25</v>
      </c>
      <c r="F28" s="2">
        <f>175</f>
        <v>175</v>
      </c>
      <c r="G28" s="7"/>
      <c r="H28" s="8"/>
      <c r="I28" s="2"/>
      <c r="J28" s="25">
        <f>SUM(U21:U27)-J34</f>
        <v>34.78</v>
      </c>
      <c r="K28" s="2">
        <f>157</f>
        <v>157</v>
      </c>
      <c r="L28" s="25">
        <f>SUM(V21:V27)-L34</f>
        <v>746.65</v>
      </c>
    </row>
    <row r="29" spans="1:31" ht="14.25" x14ac:dyDescent="0.2">
      <c r="A29" s="4"/>
      <c r="B29" s="4"/>
      <c r="C29" s="5"/>
      <c r="D29" s="5" t="s">
        <v>28</v>
      </c>
      <c r="E29" s="6" t="s">
        <v>29</v>
      </c>
      <c r="F29" s="2">
        <f>[81]Source!AQ108</f>
        <v>72.5</v>
      </c>
      <c r="G29" s="7"/>
      <c r="H29" s="8" t="str">
        <f>[81]Source!DI108</f>
        <v/>
      </c>
      <c r="I29" s="2">
        <f>[81]Source!AV109</f>
        <v>1.0669999999999999</v>
      </c>
      <c r="J29" s="25">
        <f>[81]Source!U108</f>
        <v>46.41</v>
      </c>
      <c r="K29" s="2"/>
      <c r="L29" s="25"/>
    </row>
    <row r="30" spans="1:31" ht="15" x14ac:dyDescent="0.25">
      <c r="I30" s="525">
        <f>J22+J23+J25+J26+J27+J28</f>
        <v>3293.68</v>
      </c>
      <c r="J30" s="525"/>
      <c r="K30" s="525">
        <f>L22+L23+L25+L26+L27+L28</f>
        <v>58817.25</v>
      </c>
      <c r="L30" s="525"/>
      <c r="O30" s="11">
        <f>J22+J23+J25+J26+J27+J28</f>
        <v>3293.68</v>
      </c>
      <c r="P30" s="11">
        <f>L22+L23+L25+L26+L27+L28</f>
        <v>58817.25</v>
      </c>
    </row>
    <row r="31" spans="1:31" ht="28.5" x14ac:dyDescent="0.2">
      <c r="A31" s="12"/>
      <c r="B31" s="12"/>
      <c r="C31" s="13"/>
      <c r="D31" s="13" t="s">
        <v>30</v>
      </c>
      <c r="E31" s="6"/>
      <c r="F31" s="14"/>
      <c r="G31" s="15"/>
      <c r="H31" s="6"/>
      <c r="I31" s="14"/>
      <c r="J31" s="10"/>
      <c r="K31" s="14"/>
      <c r="L31" s="10"/>
    </row>
    <row r="32" spans="1:31" ht="14.25" x14ac:dyDescent="0.2">
      <c r="A32" s="12"/>
      <c r="B32" s="12"/>
      <c r="C32" s="13"/>
      <c r="D32" s="13" t="s">
        <v>21</v>
      </c>
      <c r="E32" s="6"/>
      <c r="F32" s="14"/>
      <c r="G32" s="15">
        <f t="shared" ref="G32:L32" si="0">G33</f>
        <v>31.03</v>
      </c>
      <c r="H32" s="16" t="str">
        <f t="shared" si="0"/>
        <v>)*(1.67-1)</v>
      </c>
      <c r="I32" s="14">
        <f t="shared" si="0"/>
        <v>1.0669999999999999</v>
      </c>
      <c r="J32" s="10">
        <f t="shared" si="0"/>
        <v>13.31</v>
      </c>
      <c r="K32" s="14">
        <f t="shared" si="0"/>
        <v>23.94</v>
      </c>
      <c r="L32" s="10">
        <f t="shared" si="0"/>
        <v>318.64</v>
      </c>
    </row>
    <row r="33" spans="1:22" ht="14.25" x14ac:dyDescent="0.2">
      <c r="A33" s="12"/>
      <c r="B33" s="12"/>
      <c r="C33" s="13"/>
      <c r="D33" s="13" t="s">
        <v>22</v>
      </c>
      <c r="E33" s="6"/>
      <c r="F33" s="14"/>
      <c r="G33" s="15">
        <f>[81]Source!AN108</f>
        <v>31.03</v>
      </c>
      <c r="H33" s="16" t="s">
        <v>31</v>
      </c>
      <c r="I33" s="14">
        <f>[81]Source!AV109</f>
        <v>1.0669999999999999</v>
      </c>
      <c r="J33" s="10">
        <f>ROUND(F21*G33*I33*(1.67-1), 2)</f>
        <v>13.31</v>
      </c>
      <c r="K33" s="14">
        <f>IF([81]Source!BS109&lt;&gt; 0, [81]Source!BS109, 1)</f>
        <v>23.94</v>
      </c>
      <c r="L33" s="10">
        <f>ROUND(F21*G33*I33*(1.67-1)*K33, 2)</f>
        <v>318.64</v>
      </c>
    </row>
    <row r="34" spans="1:22" ht="14.25" x14ac:dyDescent="0.2">
      <c r="A34" s="12"/>
      <c r="B34" s="12"/>
      <c r="C34" s="13"/>
      <c r="D34" s="13" t="s">
        <v>27</v>
      </c>
      <c r="E34" s="6" t="s">
        <v>25</v>
      </c>
      <c r="F34" s="14">
        <f>175</f>
        <v>175</v>
      </c>
      <c r="G34" s="15"/>
      <c r="H34" s="6"/>
      <c r="I34" s="14"/>
      <c r="J34" s="10">
        <f>ROUND(J33*(F34/100), 2)</f>
        <v>23.29</v>
      </c>
      <c r="K34" s="14">
        <f>157</f>
        <v>157</v>
      </c>
      <c r="L34" s="10">
        <f>ROUND(L33*(K34/100), 2)</f>
        <v>500.26</v>
      </c>
    </row>
    <row r="35" spans="1:22" ht="15" x14ac:dyDescent="0.25">
      <c r="I35" s="525">
        <f>J34+J33</f>
        <v>36.6</v>
      </c>
      <c r="J35" s="525"/>
      <c r="K35" s="525">
        <f>L34+L33</f>
        <v>818.9</v>
      </c>
      <c r="L35" s="525"/>
      <c r="O35" s="11">
        <f>I35</f>
        <v>36.6</v>
      </c>
      <c r="P35" s="11">
        <f>K35</f>
        <v>818.9</v>
      </c>
    </row>
    <row r="37" spans="1:22" ht="15" x14ac:dyDescent="0.25">
      <c r="A37" s="37"/>
      <c r="B37" s="37"/>
      <c r="C37" s="38"/>
      <c r="D37" s="38" t="s">
        <v>32</v>
      </c>
      <c r="E37" s="39"/>
      <c r="F37" s="40"/>
      <c r="G37" s="41"/>
      <c r="H37" s="42"/>
      <c r="I37" s="524">
        <f>I30+I35</f>
        <v>3330.28</v>
      </c>
      <c r="J37" s="524"/>
      <c r="K37" s="524">
        <f>K30+K35</f>
        <v>59636.15</v>
      </c>
      <c r="L37" s="524"/>
    </row>
    <row r="38" spans="1:22" ht="71.25" x14ac:dyDescent="0.2">
      <c r="A38" s="4">
        <v>2</v>
      </c>
      <c r="B38" s="4" t="str">
        <f>[81]Source!E110</f>
        <v>36</v>
      </c>
      <c r="C38" s="5" t="str">
        <f>[81]Source!F110</f>
        <v>1.12-7-138</v>
      </c>
      <c r="D38" s="5" t="s">
        <v>110</v>
      </c>
      <c r="E38" s="6" t="str">
        <f>[81]Source!H110</f>
        <v>м</v>
      </c>
      <c r="F38" s="2">
        <f>[81]Source!I110</f>
        <v>60</v>
      </c>
      <c r="G38" s="7">
        <f>[81]Source!AL110</f>
        <v>1286.57</v>
      </c>
      <c r="H38" s="8" t="str">
        <f>[81]Source!DD110</f>
        <v/>
      </c>
      <c r="I38" s="2">
        <f>[81]Source!AW111</f>
        <v>1</v>
      </c>
      <c r="J38" s="25">
        <f>[81]Source!P110</f>
        <v>77194.2</v>
      </c>
      <c r="K38" s="2">
        <f>IF([81]Source!BC111&lt;&gt; 0, [81]Source!BC111, 1)</f>
        <v>3.22</v>
      </c>
      <c r="L38" s="25">
        <f>[81]Source!P111</f>
        <v>248565.32</v>
      </c>
      <c r="Q38">
        <f>[81]Source!X110</f>
        <v>0</v>
      </c>
      <c r="R38">
        <f>[81]Source!X111</f>
        <v>0</v>
      </c>
      <c r="S38">
        <f>[81]Source!Y110</f>
        <v>0</v>
      </c>
      <c r="T38">
        <f>[81]Source!Y111</f>
        <v>0</v>
      </c>
      <c r="U38">
        <f>ROUND((175/100)*ROUND([81]Source!R110, 2), 2)</f>
        <v>0</v>
      </c>
      <c r="V38">
        <f>ROUND((157/100)*ROUND([81]Source!R111, 2), 2)</f>
        <v>0</v>
      </c>
    </row>
    <row r="39" spans="1:22" ht="15" x14ac:dyDescent="0.25">
      <c r="A39" s="35"/>
      <c r="B39" s="35"/>
      <c r="C39" s="35"/>
      <c r="D39" s="35"/>
      <c r="E39" s="35"/>
      <c r="F39" s="35"/>
      <c r="G39" s="35"/>
      <c r="H39" s="35"/>
      <c r="I39" s="524">
        <f>J38</f>
        <v>77194.2</v>
      </c>
      <c r="J39" s="524"/>
      <c r="K39" s="524">
        <f>L38</f>
        <v>248565.32</v>
      </c>
      <c r="L39" s="524"/>
      <c r="O39" s="11">
        <f>J38</f>
        <v>77194.2</v>
      </c>
      <c r="P39" s="11">
        <f>L38</f>
        <v>248565.32</v>
      </c>
    </row>
    <row r="40" spans="1:22" ht="57" x14ac:dyDescent="0.2">
      <c r="A40" s="4">
        <v>3</v>
      </c>
      <c r="B40" s="4" t="s">
        <v>125</v>
      </c>
      <c r="C40" s="5" t="str">
        <f>[81]Source!F112</f>
        <v>3.16-10-4</v>
      </c>
      <c r="D40" s="5" t="s">
        <v>111</v>
      </c>
      <c r="E40" s="6" t="str">
        <f>[81]Source!H112</f>
        <v>100 м трубопровода</v>
      </c>
      <c r="F40" s="2">
        <f>[81]Source!I112</f>
        <v>0.84</v>
      </c>
      <c r="G40" s="7"/>
      <c r="H40" s="8"/>
      <c r="I40" s="2"/>
      <c r="J40" s="25"/>
      <c r="K40" s="2"/>
      <c r="L40" s="25"/>
      <c r="Q40">
        <f>[81]Source!X112</f>
        <v>1694.21</v>
      </c>
      <c r="R40">
        <f>[81]Source!X113</f>
        <v>32447.58</v>
      </c>
      <c r="S40">
        <f>[81]Source!Y112</f>
        <v>1274.05</v>
      </c>
      <c r="T40">
        <f>[81]Source!Y113</f>
        <v>14601.41</v>
      </c>
      <c r="U40">
        <f>ROUND((175/100)*ROUND([81]Source!R112, 2), 2)</f>
        <v>81.290000000000006</v>
      </c>
      <c r="V40">
        <f>ROUND((157/100)*ROUND([81]Source!R113, 2), 2)</f>
        <v>1745.68</v>
      </c>
    </row>
    <row r="41" spans="1:22" ht="14.25" x14ac:dyDescent="0.2">
      <c r="A41" s="4"/>
      <c r="B41" s="4"/>
      <c r="C41" s="5"/>
      <c r="D41" s="5" t="s">
        <v>20</v>
      </c>
      <c r="E41" s="6"/>
      <c r="F41" s="2"/>
      <c r="G41" s="7">
        <f>[81]Source!AO112</f>
        <v>905.52</v>
      </c>
      <c r="H41" s="8" t="str">
        <f>[81]Source!DG112</f>
        <v>)*1,67</v>
      </c>
      <c r="I41" s="2">
        <f>[81]Source!AV113</f>
        <v>1.0669999999999999</v>
      </c>
      <c r="J41" s="25">
        <f>[81]Source!S112</f>
        <v>1355.37</v>
      </c>
      <c r="K41" s="2">
        <f>IF([81]Source!BA113&lt;&gt; 0, [81]Source!BA113, 1)</f>
        <v>23.94</v>
      </c>
      <c r="L41" s="25">
        <f>[81]Source!S113</f>
        <v>32447.58</v>
      </c>
    </row>
    <row r="42" spans="1:22" ht="14.25" x14ac:dyDescent="0.2">
      <c r="A42" s="4"/>
      <c r="B42" s="4"/>
      <c r="C42" s="5"/>
      <c r="D42" s="5" t="s">
        <v>21</v>
      </c>
      <c r="E42" s="6"/>
      <c r="F42" s="2"/>
      <c r="G42" s="7">
        <f>[81]Source!AM112</f>
        <v>218.14</v>
      </c>
      <c r="H42" s="8" t="str">
        <f>[81]Source!DE112</f>
        <v/>
      </c>
      <c r="I42" s="2">
        <f>[81]Source!AV113</f>
        <v>1.0669999999999999</v>
      </c>
      <c r="J42" s="25">
        <f>[81]Source!Q112-J51</f>
        <v>195.52</v>
      </c>
      <c r="K42" s="2">
        <f>IF([81]Source!BB113&lt;&gt; 0, [81]Source!BB113, 1)</f>
        <v>7.99</v>
      </c>
      <c r="L42" s="25">
        <f>[81]Source!Q113-L51</f>
        <v>1562.16</v>
      </c>
    </row>
    <row r="43" spans="1:22" ht="14.25" x14ac:dyDescent="0.2">
      <c r="A43" s="4"/>
      <c r="B43" s="4"/>
      <c r="C43" s="5"/>
      <c r="D43" s="5" t="s">
        <v>22</v>
      </c>
      <c r="E43" s="6"/>
      <c r="F43" s="2"/>
      <c r="G43" s="7">
        <f>[81]Source!AN112</f>
        <v>31.03</v>
      </c>
      <c r="H43" s="8" t="str">
        <f>[81]Source!DE112</f>
        <v/>
      </c>
      <c r="I43" s="2">
        <f>[81]Source!AV113</f>
        <v>1.0669999999999999</v>
      </c>
      <c r="J43" s="10">
        <f>[81]Source!R112-J52</f>
        <v>27.82</v>
      </c>
      <c r="K43" s="2">
        <f>IF([81]Source!BS113&lt;&gt; 0, [81]Source!BS113, 1)</f>
        <v>23.94</v>
      </c>
      <c r="L43" s="10">
        <f>[81]Source!R113-L52</f>
        <v>665.81</v>
      </c>
    </row>
    <row r="44" spans="1:22" ht="14.25" x14ac:dyDescent="0.2">
      <c r="A44" s="4"/>
      <c r="B44" s="4"/>
      <c r="C44" s="5"/>
      <c r="D44" s="5" t="s">
        <v>23</v>
      </c>
      <c r="E44" s="6"/>
      <c r="F44" s="2"/>
      <c r="G44" s="7">
        <f>[81]Source!AL112</f>
        <v>51.59</v>
      </c>
      <c r="H44" s="8" t="str">
        <f>[81]Source!DD112</f>
        <v/>
      </c>
      <c r="I44" s="2">
        <f>[81]Source!AW113</f>
        <v>1</v>
      </c>
      <c r="J44" s="25">
        <f>[81]Source!P112</f>
        <v>43.34</v>
      </c>
      <c r="K44" s="2">
        <f>IF([81]Source!BC113&lt;&gt; 0, [81]Source!BC113, 1)</f>
        <v>5.54</v>
      </c>
      <c r="L44" s="25">
        <f>[81]Source!P113</f>
        <v>240.08</v>
      </c>
    </row>
    <row r="45" spans="1:22" ht="14.25" x14ac:dyDescent="0.2">
      <c r="A45" s="4"/>
      <c r="B45" s="4"/>
      <c r="C45" s="5"/>
      <c r="D45" s="5" t="s">
        <v>24</v>
      </c>
      <c r="E45" s="6" t="s">
        <v>25</v>
      </c>
      <c r="F45" s="2">
        <f>[81]Source!DN113</f>
        <v>125</v>
      </c>
      <c r="G45" s="7"/>
      <c r="H45" s="8"/>
      <c r="I45" s="2"/>
      <c r="J45" s="25">
        <f>SUM(Q40:Q44)</f>
        <v>1694.21</v>
      </c>
      <c r="K45" s="2">
        <f>[81]Source!BZ113</f>
        <v>100</v>
      </c>
      <c r="L45" s="25">
        <f>SUM(R40:R44)</f>
        <v>32447.58</v>
      </c>
    </row>
    <row r="46" spans="1:22" ht="14.25" x14ac:dyDescent="0.2">
      <c r="A46" s="4"/>
      <c r="B46" s="4"/>
      <c r="C46" s="5"/>
      <c r="D46" s="5" t="s">
        <v>26</v>
      </c>
      <c r="E46" s="6" t="s">
        <v>25</v>
      </c>
      <c r="F46" s="2">
        <f>[81]Source!DO113</f>
        <v>94</v>
      </c>
      <c r="G46" s="7"/>
      <c r="H46" s="8"/>
      <c r="I46" s="2"/>
      <c r="J46" s="25">
        <f>SUM(S40:S45)</f>
        <v>1274.05</v>
      </c>
      <c r="K46" s="2">
        <f>[81]Source!CA113</f>
        <v>45</v>
      </c>
      <c r="L46" s="25">
        <f>SUM(T40:T45)</f>
        <v>14601.41</v>
      </c>
    </row>
    <row r="47" spans="1:22" ht="14.25" x14ac:dyDescent="0.2">
      <c r="A47" s="4"/>
      <c r="B47" s="4"/>
      <c r="C47" s="5"/>
      <c r="D47" s="5" t="s">
        <v>27</v>
      </c>
      <c r="E47" s="6" t="s">
        <v>25</v>
      </c>
      <c r="F47" s="2">
        <f>175</f>
        <v>175</v>
      </c>
      <c r="G47" s="7"/>
      <c r="H47" s="8"/>
      <c r="I47" s="2"/>
      <c r="J47" s="25">
        <f>SUM(U40:U46)-J53</f>
        <v>48.69</v>
      </c>
      <c r="K47" s="2">
        <f>157</f>
        <v>157</v>
      </c>
      <c r="L47" s="25">
        <f>SUM(V40:V46)-L53</f>
        <v>1045.32</v>
      </c>
    </row>
    <row r="48" spans="1:22" ht="14.25" x14ac:dyDescent="0.2">
      <c r="A48" s="4"/>
      <c r="B48" s="4"/>
      <c r="C48" s="5"/>
      <c r="D48" s="5" t="s">
        <v>28</v>
      </c>
      <c r="E48" s="6" t="s">
        <v>29</v>
      </c>
      <c r="F48" s="2">
        <f>[81]Source!AQ112</f>
        <v>72.5</v>
      </c>
      <c r="G48" s="7"/>
      <c r="H48" s="8" t="str">
        <f>[81]Source!DI112</f>
        <v/>
      </c>
      <c r="I48" s="2">
        <f>[81]Source!AV113</f>
        <v>1.0669999999999999</v>
      </c>
      <c r="J48" s="25">
        <f>[81]Source!U112</f>
        <v>64.98</v>
      </c>
      <c r="K48" s="2"/>
      <c r="L48" s="25"/>
    </row>
    <row r="49" spans="1:22" ht="15" x14ac:dyDescent="0.25">
      <c r="I49" s="525">
        <f>J41+J42+J44+J45+J46+J47</f>
        <v>4611.18</v>
      </c>
      <c r="J49" s="525"/>
      <c r="K49" s="525">
        <f>L41+L42+L44+L45+L46+L47</f>
        <v>82344.13</v>
      </c>
      <c r="L49" s="525"/>
      <c r="O49" s="11">
        <f>J41+J42+J44+J45+J46+J47</f>
        <v>4611.18</v>
      </c>
      <c r="P49" s="11">
        <f>L41+L42+L44+L45+L46+L47</f>
        <v>82344.13</v>
      </c>
    </row>
    <row r="50" spans="1:22" ht="28.5" x14ac:dyDescent="0.2">
      <c r="A50" s="12"/>
      <c r="B50" s="12"/>
      <c r="C50" s="13"/>
      <c r="D50" s="13" t="s">
        <v>30</v>
      </c>
      <c r="E50" s="6"/>
      <c r="F50" s="14"/>
      <c r="G50" s="15"/>
      <c r="H50" s="6"/>
      <c r="I50" s="14"/>
      <c r="J50" s="10"/>
      <c r="K50" s="14"/>
      <c r="L50" s="10"/>
    </row>
    <row r="51" spans="1:22" ht="14.25" x14ac:dyDescent="0.2">
      <c r="A51" s="12"/>
      <c r="B51" s="12"/>
      <c r="C51" s="13"/>
      <c r="D51" s="13" t="s">
        <v>21</v>
      </c>
      <c r="E51" s="6"/>
      <c r="F51" s="14"/>
      <c r="G51" s="15">
        <f t="shared" ref="G51:L51" si="1">G52</f>
        <v>31.03</v>
      </c>
      <c r="H51" s="16" t="str">
        <f t="shared" si="1"/>
        <v>)*(1.67-1)</v>
      </c>
      <c r="I51" s="14">
        <f t="shared" si="1"/>
        <v>1.0669999999999999</v>
      </c>
      <c r="J51" s="10">
        <f t="shared" si="1"/>
        <v>18.63</v>
      </c>
      <c r="K51" s="14">
        <f t="shared" si="1"/>
        <v>23.94</v>
      </c>
      <c r="L51" s="10">
        <f t="shared" si="1"/>
        <v>446.09</v>
      </c>
    </row>
    <row r="52" spans="1:22" ht="14.25" x14ac:dyDescent="0.2">
      <c r="A52" s="12"/>
      <c r="B52" s="12"/>
      <c r="C52" s="13"/>
      <c r="D52" s="13" t="s">
        <v>22</v>
      </c>
      <c r="E52" s="6"/>
      <c r="F52" s="14"/>
      <c r="G52" s="15">
        <f>[81]Source!AN112</f>
        <v>31.03</v>
      </c>
      <c r="H52" s="16" t="s">
        <v>31</v>
      </c>
      <c r="I52" s="14">
        <f>[81]Source!AV113</f>
        <v>1.0669999999999999</v>
      </c>
      <c r="J52" s="10">
        <f>ROUND(F40*G52*I52*(1.67-1), 2)</f>
        <v>18.63</v>
      </c>
      <c r="K52" s="14">
        <f>IF([81]Source!BS113&lt;&gt; 0, [81]Source!BS113, 1)</f>
        <v>23.94</v>
      </c>
      <c r="L52" s="10">
        <f>ROUND(F40*G52*I52*(1.67-1)*K52, 2)</f>
        <v>446.09</v>
      </c>
    </row>
    <row r="53" spans="1:22" ht="14.25" x14ac:dyDescent="0.2">
      <c r="A53" s="12"/>
      <c r="B53" s="12"/>
      <c r="C53" s="13"/>
      <c r="D53" s="13" t="s">
        <v>27</v>
      </c>
      <c r="E53" s="6" t="s">
        <v>25</v>
      </c>
      <c r="F53" s="14">
        <f>175</f>
        <v>175</v>
      </c>
      <c r="G53" s="15"/>
      <c r="H53" s="6"/>
      <c r="I53" s="14"/>
      <c r="J53" s="10">
        <f>ROUND(J52*(F53/100), 2)</f>
        <v>32.6</v>
      </c>
      <c r="K53" s="14">
        <f>157</f>
        <v>157</v>
      </c>
      <c r="L53" s="10">
        <f>ROUND(L52*(K53/100), 2)</f>
        <v>700.36</v>
      </c>
    </row>
    <row r="54" spans="1:22" ht="15" x14ac:dyDescent="0.25">
      <c r="I54" s="525">
        <f>J53+J52</f>
        <v>51.23</v>
      </c>
      <c r="J54" s="525"/>
      <c r="K54" s="525">
        <f>L53+L52</f>
        <v>1146.45</v>
      </c>
      <c r="L54" s="525"/>
      <c r="O54" s="11">
        <f>I54</f>
        <v>51.23</v>
      </c>
      <c r="P54" s="11">
        <f>K54</f>
        <v>1146.45</v>
      </c>
    </row>
    <row r="56" spans="1:22" ht="15" x14ac:dyDescent="0.25">
      <c r="A56" s="37"/>
      <c r="B56" s="37"/>
      <c r="C56" s="38"/>
      <c r="D56" s="38" t="s">
        <v>32</v>
      </c>
      <c r="E56" s="39"/>
      <c r="F56" s="40"/>
      <c r="G56" s="41"/>
      <c r="H56" s="42"/>
      <c r="I56" s="524">
        <f>I49+I54</f>
        <v>4662.41</v>
      </c>
      <c r="J56" s="524"/>
      <c r="K56" s="524">
        <f>K49+K54</f>
        <v>83490.58</v>
      </c>
      <c r="L56" s="524"/>
    </row>
    <row r="57" spans="1:22" ht="71.25" x14ac:dyDescent="0.2">
      <c r="A57" s="4">
        <v>4</v>
      </c>
      <c r="B57" s="4">
        <v>37</v>
      </c>
      <c r="C57" s="5" t="str">
        <f>[81]Source!F114</f>
        <v>1.12-7-132</v>
      </c>
      <c r="D57" s="5" t="s">
        <v>112</v>
      </c>
      <c r="E57" s="6" t="str">
        <f>[81]Source!H114</f>
        <v>м</v>
      </c>
      <c r="F57" s="2">
        <f>[81]Source!I114</f>
        <v>84</v>
      </c>
      <c r="G57" s="7">
        <f>[81]Source!AL114</f>
        <v>830.37</v>
      </c>
      <c r="H57" s="8" t="str">
        <f>[81]Source!DD114</f>
        <v/>
      </c>
      <c r="I57" s="2">
        <f>[81]Source!AW115</f>
        <v>1</v>
      </c>
      <c r="J57" s="25">
        <f>[81]Source!P114</f>
        <v>69751.08</v>
      </c>
      <c r="K57" s="2">
        <f>IF([81]Source!BC115&lt;&gt; 0, [81]Source!BC115, 1)</f>
        <v>3.53</v>
      </c>
      <c r="L57" s="25">
        <f>[81]Source!P115</f>
        <v>246221.31</v>
      </c>
      <c r="Q57">
        <f>[81]Source!X114</f>
        <v>0</v>
      </c>
      <c r="R57">
        <f>[81]Source!X115</f>
        <v>0</v>
      </c>
      <c r="S57">
        <f>[81]Source!Y114</f>
        <v>0</v>
      </c>
      <c r="T57">
        <f>[81]Source!Y115</f>
        <v>0</v>
      </c>
      <c r="U57">
        <f>ROUND((175/100)*ROUND([81]Source!R114, 2), 2)</f>
        <v>0</v>
      </c>
      <c r="V57">
        <f>ROUND((157/100)*ROUND([81]Source!R115, 2), 2)</f>
        <v>0</v>
      </c>
    </row>
    <row r="58" spans="1:22" ht="15" x14ac:dyDescent="0.25">
      <c r="A58" s="35"/>
      <c r="B58" s="35"/>
      <c r="C58" s="35"/>
      <c r="D58" s="35"/>
      <c r="E58" s="35"/>
      <c r="F58" s="35"/>
      <c r="G58" s="35"/>
      <c r="H58" s="35"/>
      <c r="I58" s="524">
        <f>J57</f>
        <v>69751.08</v>
      </c>
      <c r="J58" s="524"/>
      <c r="K58" s="524">
        <f>L57</f>
        <v>246221.31</v>
      </c>
      <c r="L58" s="524"/>
      <c r="O58" s="11">
        <f>J57</f>
        <v>69751.08</v>
      </c>
      <c r="P58" s="11">
        <f>L57</f>
        <v>246221.31</v>
      </c>
    </row>
    <row r="59" spans="1:22" ht="57" x14ac:dyDescent="0.2">
      <c r="A59" s="4">
        <v>5</v>
      </c>
      <c r="B59" s="4">
        <v>52</v>
      </c>
      <c r="C59" s="5" t="str">
        <f>[81]Source!F144</f>
        <v>3.13-11-6</v>
      </c>
      <c r="D59" s="5" t="s">
        <v>113</v>
      </c>
      <c r="E59" s="6" t="str">
        <f>[81]Source!H144</f>
        <v>100 м2</v>
      </c>
      <c r="F59" s="2">
        <f>[81]Source!I144</f>
        <v>0.32</v>
      </c>
      <c r="G59" s="7"/>
      <c r="H59" s="8"/>
      <c r="I59" s="2"/>
      <c r="J59" s="25"/>
      <c r="K59" s="2"/>
      <c r="L59" s="25"/>
      <c r="Q59">
        <f>[81]Source!X144</f>
        <v>35.520000000000003</v>
      </c>
      <c r="R59">
        <f>[81]Source!X145</f>
        <v>688.37</v>
      </c>
      <c r="S59">
        <f>[81]Source!Y144</f>
        <v>26.05</v>
      </c>
      <c r="T59">
        <f>[81]Source!Y145</f>
        <v>332.04</v>
      </c>
      <c r="U59">
        <f>ROUND((175/100)*ROUND([81]Source!R144, 2), 2)</f>
        <v>4.34</v>
      </c>
      <c r="V59">
        <f>ROUND((157/100)*ROUND([81]Source!R145, 2), 2)</f>
        <v>93.37</v>
      </c>
    </row>
    <row r="60" spans="1:22" ht="14.25" x14ac:dyDescent="0.2">
      <c r="A60" s="4"/>
      <c r="B60" s="4"/>
      <c r="C60" s="5"/>
      <c r="D60" s="5" t="s">
        <v>20</v>
      </c>
      <c r="E60" s="6"/>
      <c r="F60" s="2"/>
      <c r="G60" s="7">
        <f>[81]Source!AO144</f>
        <v>30.23</v>
      </c>
      <c r="H60" s="8" t="str">
        <f>[81]Source!DG144</f>
        <v>)*1,67)*2</v>
      </c>
      <c r="I60" s="2">
        <f>[81]Source!AV145</f>
        <v>1.0469999999999999</v>
      </c>
      <c r="J60" s="25">
        <f>[81]Source!S144</f>
        <v>33.83</v>
      </c>
      <c r="K60" s="2">
        <f>IF([81]Source!BA145&lt;&gt; 0, [81]Source!BA145, 1)</f>
        <v>23.94</v>
      </c>
      <c r="L60" s="25">
        <f>[81]Source!S145</f>
        <v>809.85</v>
      </c>
    </row>
    <row r="61" spans="1:22" ht="14.25" x14ac:dyDescent="0.2">
      <c r="A61" s="4"/>
      <c r="B61" s="4"/>
      <c r="C61" s="5"/>
      <c r="D61" s="5" t="s">
        <v>21</v>
      </c>
      <c r="E61" s="6"/>
      <c r="F61" s="2"/>
      <c r="G61" s="7">
        <f>[81]Source!AM144</f>
        <v>22.38</v>
      </c>
      <c r="H61" s="8" t="str">
        <f>[81]Source!DE144</f>
        <v>)*2</v>
      </c>
      <c r="I61" s="2">
        <f>[81]Source!AV145</f>
        <v>1.0469999999999999</v>
      </c>
      <c r="J61" s="25">
        <f>[81]Source!Q144-J71</f>
        <v>14.99</v>
      </c>
      <c r="K61" s="2">
        <f>IF([81]Source!BB145&lt;&gt; 0, [81]Source!BB145, 1)</f>
        <v>6.27</v>
      </c>
      <c r="L61" s="25">
        <f>[81]Source!Q145-L71</f>
        <v>94.03</v>
      </c>
    </row>
    <row r="62" spans="1:22" ht="14.25" x14ac:dyDescent="0.2">
      <c r="A62" s="4"/>
      <c r="B62" s="4"/>
      <c r="C62" s="5"/>
      <c r="D62" s="5" t="s">
        <v>22</v>
      </c>
      <c r="E62" s="6"/>
      <c r="F62" s="2"/>
      <c r="G62" s="7">
        <f>[81]Source!AN144</f>
        <v>2.2200000000000002</v>
      </c>
      <c r="H62" s="8" t="str">
        <f>[81]Source!DE144</f>
        <v>)*2</v>
      </c>
      <c r="I62" s="2">
        <f>[81]Source!AV145</f>
        <v>1.0469999999999999</v>
      </c>
      <c r="J62" s="10">
        <f>[81]Source!R144-J72</f>
        <v>1.48</v>
      </c>
      <c r="K62" s="2">
        <f>IF([81]Source!BS145&lt;&gt; 0, [81]Source!BS145, 1)</f>
        <v>23.94</v>
      </c>
      <c r="L62" s="10">
        <f>[81]Source!R145-L72</f>
        <v>35.61</v>
      </c>
    </row>
    <row r="63" spans="1:22" ht="14.25" x14ac:dyDescent="0.2">
      <c r="A63" s="4"/>
      <c r="B63" s="4"/>
      <c r="C63" s="5"/>
      <c r="D63" s="5" t="s">
        <v>23</v>
      </c>
      <c r="E63" s="6"/>
      <c r="F63" s="2"/>
      <c r="G63" s="7">
        <f>[81]Source!AL144</f>
        <v>20.16</v>
      </c>
      <c r="H63" s="8" t="str">
        <f>[81]Source!DD144</f>
        <v>)*2</v>
      </c>
      <c r="I63" s="2">
        <f>[81]Source!AW145</f>
        <v>1</v>
      </c>
      <c r="J63" s="25">
        <f>[81]Source!P144</f>
        <v>12.9</v>
      </c>
      <c r="K63" s="2">
        <f>IF([81]Source!BC145&lt;&gt; 0, [81]Source!BC145, 1)</f>
        <v>8.16</v>
      </c>
      <c r="L63" s="25">
        <f>[81]Source!P145</f>
        <v>105.28</v>
      </c>
    </row>
    <row r="64" spans="1:22" ht="57" x14ac:dyDescent="0.2">
      <c r="A64" s="4">
        <v>6</v>
      </c>
      <c r="B64" s="4">
        <v>52.1</v>
      </c>
      <c r="C64" s="5" t="str">
        <f>[81]Source!F146</f>
        <v>1.1-1-413</v>
      </c>
      <c r="D64" s="5" t="s">
        <v>114</v>
      </c>
      <c r="E64" s="6" t="str">
        <f>[81]Source!H146</f>
        <v>кг</v>
      </c>
      <c r="F64" s="2">
        <f>[81]Source!I146</f>
        <v>11.52</v>
      </c>
      <c r="G64" s="7">
        <f>[81]Source!AK146</f>
        <v>47.9</v>
      </c>
      <c r="H64" s="36" t="s">
        <v>90</v>
      </c>
      <c r="I64" s="2">
        <f>[81]Source!AW147</f>
        <v>1</v>
      </c>
      <c r="J64" s="25">
        <f>[81]Source!O146</f>
        <v>551.80999999999995</v>
      </c>
      <c r="K64" s="2">
        <f>IF([81]Source!BC147&lt;&gt; 0, [81]Source!BC147, 1)</f>
        <v>2.64</v>
      </c>
      <c r="L64" s="25">
        <f>[81]Source!O147</f>
        <v>1456.77</v>
      </c>
      <c r="Q64">
        <f>[81]Source!X146</f>
        <v>0</v>
      </c>
      <c r="R64">
        <f>[81]Source!X147</f>
        <v>0</v>
      </c>
      <c r="S64">
        <f>[81]Source!Y146</f>
        <v>0</v>
      </c>
      <c r="T64">
        <f>[81]Source!Y147</f>
        <v>0</v>
      </c>
      <c r="U64">
        <f>ROUND((175/100)*ROUND([81]Source!R146, 2), 2)</f>
        <v>0</v>
      </c>
      <c r="V64">
        <f>ROUND((157/100)*ROUND([81]Source!R147, 2), 2)</f>
        <v>0</v>
      </c>
    </row>
    <row r="65" spans="1:22" ht="14.25" x14ac:dyDescent="0.2">
      <c r="A65" s="4"/>
      <c r="B65" s="4"/>
      <c r="C65" s="5"/>
      <c r="D65" s="5" t="s">
        <v>24</v>
      </c>
      <c r="E65" s="6" t="s">
        <v>25</v>
      </c>
      <c r="F65" s="2">
        <f>[81]Source!DN145</f>
        <v>105</v>
      </c>
      <c r="G65" s="7"/>
      <c r="H65" s="8"/>
      <c r="I65" s="2"/>
      <c r="J65" s="25">
        <f>SUM(Q59:Q64)</f>
        <v>35.520000000000003</v>
      </c>
      <c r="K65" s="2">
        <f>[81]Source!BZ145</f>
        <v>85</v>
      </c>
      <c r="L65" s="25">
        <f>SUM(R59:R64)</f>
        <v>688.37</v>
      </c>
    </row>
    <row r="66" spans="1:22" ht="14.25" x14ac:dyDescent="0.2">
      <c r="A66" s="4"/>
      <c r="B66" s="4"/>
      <c r="C66" s="5"/>
      <c r="D66" s="5" t="s">
        <v>26</v>
      </c>
      <c r="E66" s="6" t="s">
        <v>25</v>
      </c>
      <c r="F66" s="2">
        <f>[81]Source!DO145</f>
        <v>77</v>
      </c>
      <c r="G66" s="7"/>
      <c r="H66" s="8"/>
      <c r="I66" s="2"/>
      <c r="J66" s="25">
        <f>SUM(S59:S65)</f>
        <v>26.05</v>
      </c>
      <c r="K66" s="2">
        <f>[81]Source!CA145</f>
        <v>41</v>
      </c>
      <c r="L66" s="25">
        <f>SUM(T59:T65)</f>
        <v>332.04</v>
      </c>
    </row>
    <row r="67" spans="1:22" ht="14.25" x14ac:dyDescent="0.2">
      <c r="A67" s="4"/>
      <c r="B67" s="4"/>
      <c r="C67" s="5"/>
      <c r="D67" s="5" t="s">
        <v>27</v>
      </c>
      <c r="E67" s="6" t="s">
        <v>25</v>
      </c>
      <c r="F67" s="2">
        <f>175</f>
        <v>175</v>
      </c>
      <c r="G67" s="7"/>
      <c r="H67" s="8"/>
      <c r="I67" s="2"/>
      <c r="J67" s="25">
        <f>SUM(U59:U66)-J73</f>
        <v>2.59</v>
      </c>
      <c r="K67" s="2">
        <f>157</f>
        <v>157</v>
      </c>
      <c r="L67" s="25">
        <f>SUM(V59:V66)-L73</f>
        <v>55.91</v>
      </c>
    </row>
    <row r="68" spans="1:22" ht="14.25" x14ac:dyDescent="0.2">
      <c r="A68" s="4"/>
      <c r="B68" s="4"/>
      <c r="C68" s="5"/>
      <c r="D68" s="5" t="s">
        <v>28</v>
      </c>
      <c r="E68" s="6" t="s">
        <v>29</v>
      </c>
      <c r="F68" s="2">
        <f>[81]Source!AQ144</f>
        <v>2.54</v>
      </c>
      <c r="G68" s="7"/>
      <c r="H68" s="8" t="str">
        <f>[81]Source!DI144</f>
        <v>)*2</v>
      </c>
      <c r="I68" s="2">
        <f>[81]Source!AV145</f>
        <v>1.0469999999999999</v>
      </c>
      <c r="J68" s="25">
        <f>[81]Source!U144</f>
        <v>1.7</v>
      </c>
      <c r="K68" s="2"/>
      <c r="L68" s="25"/>
    </row>
    <row r="69" spans="1:22" ht="15" x14ac:dyDescent="0.25">
      <c r="I69" s="525">
        <f>J60+J61+J63+J65+J66+J67+SUM(J64:J64)</f>
        <v>677.69</v>
      </c>
      <c r="J69" s="525"/>
      <c r="K69" s="525">
        <f>L60+L61+L63+L65+L66+L67+SUM(L64:L64)</f>
        <v>3542.25</v>
      </c>
      <c r="L69" s="525"/>
      <c r="O69" s="11">
        <f>J60+J61+J63+J65+J66+J67+SUM(J64:J64)</f>
        <v>677.69</v>
      </c>
      <c r="P69" s="11">
        <f>L60+L61+L63+L65+L66+L67+SUM(L64:L64)</f>
        <v>3542.25</v>
      </c>
    </row>
    <row r="70" spans="1:22" ht="28.5" x14ac:dyDescent="0.2">
      <c r="A70" s="12"/>
      <c r="B70" s="12"/>
      <c r="C70" s="13"/>
      <c r="D70" s="13" t="s">
        <v>30</v>
      </c>
      <c r="E70" s="6"/>
      <c r="F70" s="14"/>
      <c r="G70" s="15"/>
      <c r="H70" s="6"/>
      <c r="I70" s="14"/>
      <c r="J70" s="10"/>
      <c r="K70" s="14"/>
      <c r="L70" s="10"/>
    </row>
    <row r="71" spans="1:22" ht="14.25" x14ac:dyDescent="0.2">
      <c r="A71" s="12"/>
      <c r="B71" s="12"/>
      <c r="C71" s="13"/>
      <c r="D71" s="13" t="s">
        <v>21</v>
      </c>
      <c r="E71" s="6"/>
      <c r="F71" s="14"/>
      <c r="G71" s="15">
        <f t="shared" ref="G71:L71" si="2">G72</f>
        <v>2.2200000000000002</v>
      </c>
      <c r="H71" s="16" t="str">
        <f t="shared" si="2"/>
        <v>)*(1.67-1)*2</v>
      </c>
      <c r="I71" s="14">
        <f t="shared" si="2"/>
        <v>1.0469999999999999</v>
      </c>
      <c r="J71" s="10">
        <f t="shared" si="2"/>
        <v>1</v>
      </c>
      <c r="K71" s="14">
        <f t="shared" si="2"/>
        <v>23.94</v>
      </c>
      <c r="L71" s="10">
        <f t="shared" si="2"/>
        <v>23.86</v>
      </c>
    </row>
    <row r="72" spans="1:22" ht="14.25" x14ac:dyDescent="0.2">
      <c r="A72" s="12"/>
      <c r="B72" s="12"/>
      <c r="C72" s="13"/>
      <c r="D72" s="13" t="s">
        <v>22</v>
      </c>
      <c r="E72" s="6"/>
      <c r="F72" s="14"/>
      <c r="G72" s="15">
        <f>[81]Source!AN144</f>
        <v>2.2200000000000002</v>
      </c>
      <c r="H72" s="16" t="s">
        <v>115</v>
      </c>
      <c r="I72" s="14">
        <f>[81]Source!AV145</f>
        <v>1.0469999999999999</v>
      </c>
      <c r="J72" s="10">
        <f>ROUND(F59*G72*I72*(1.67-1)*2, 2)</f>
        <v>1</v>
      </c>
      <c r="K72" s="14">
        <f>IF([81]Source!BS145&lt;&gt; 0, [81]Source!BS145, 1)</f>
        <v>23.94</v>
      </c>
      <c r="L72" s="10">
        <f>ROUND(F59*G72*I72*(1.67-1)*2*K72, 2)</f>
        <v>23.86</v>
      </c>
    </row>
    <row r="73" spans="1:22" ht="14.25" x14ac:dyDescent="0.2">
      <c r="A73" s="12"/>
      <c r="B73" s="12"/>
      <c r="C73" s="13"/>
      <c r="D73" s="13" t="s">
        <v>27</v>
      </c>
      <c r="E73" s="6" t="s">
        <v>25</v>
      </c>
      <c r="F73" s="14">
        <f>175</f>
        <v>175</v>
      </c>
      <c r="G73" s="15"/>
      <c r="H73" s="6"/>
      <c r="I73" s="14"/>
      <c r="J73" s="10">
        <f>ROUND(J72*(F73/100), 2)</f>
        <v>1.75</v>
      </c>
      <c r="K73" s="14">
        <f>157</f>
        <v>157</v>
      </c>
      <c r="L73" s="10">
        <f>ROUND(L72*(K73/100), 2)</f>
        <v>37.46</v>
      </c>
    </row>
    <row r="74" spans="1:22" ht="15" x14ac:dyDescent="0.25">
      <c r="I74" s="525">
        <f>J73+J72</f>
        <v>2.75</v>
      </c>
      <c r="J74" s="525"/>
      <c r="K74" s="525">
        <f>L73+L72</f>
        <v>61.32</v>
      </c>
      <c r="L74" s="525"/>
      <c r="O74" s="11">
        <f>I74</f>
        <v>2.75</v>
      </c>
      <c r="P74" s="11">
        <f>K74</f>
        <v>61.32</v>
      </c>
    </row>
    <row r="76" spans="1:22" ht="15" x14ac:dyDescent="0.25">
      <c r="A76" s="37"/>
      <c r="B76" s="37"/>
      <c r="C76" s="38"/>
      <c r="D76" s="38" t="s">
        <v>32</v>
      </c>
      <c r="E76" s="39"/>
      <c r="F76" s="40"/>
      <c r="G76" s="41"/>
      <c r="H76" s="42"/>
      <c r="I76" s="524">
        <f>I69+I74</f>
        <v>680.44</v>
      </c>
      <c r="J76" s="524"/>
      <c r="K76" s="524">
        <f>K69+K74</f>
        <v>3603.57</v>
      </c>
      <c r="L76" s="524"/>
    </row>
    <row r="77" spans="1:22" ht="57" x14ac:dyDescent="0.2">
      <c r="A77" s="4">
        <v>7</v>
      </c>
      <c r="B77" s="4">
        <v>53</v>
      </c>
      <c r="C77" s="5" t="str">
        <f>[81]Source!F148</f>
        <v>1.6-1-269</v>
      </c>
      <c r="D77" s="5" t="s">
        <v>116</v>
      </c>
      <c r="E77" s="6" t="str">
        <f>[81]Source!H148</f>
        <v>т</v>
      </c>
      <c r="F77" s="2">
        <f>[81]Source!I148</f>
        <v>0.19683999999999999</v>
      </c>
      <c r="G77" s="7">
        <f>[81]Source!AL148</f>
        <v>12416.1</v>
      </c>
      <c r="H77" s="8" t="str">
        <f>[81]Source!DD148</f>
        <v/>
      </c>
      <c r="I77" s="2">
        <f>[81]Source!AW149</f>
        <v>1</v>
      </c>
      <c r="J77" s="25">
        <f>[81]Source!P148</f>
        <v>2443.9899999999998</v>
      </c>
      <c r="K77" s="2">
        <f>IF([81]Source!BC149&lt;&gt; 0, [81]Source!BC149, 1)</f>
        <v>6.7</v>
      </c>
      <c r="L77" s="25">
        <f>[81]Source!P149</f>
        <v>16374.7</v>
      </c>
      <c r="Q77">
        <f>[81]Source!X148</f>
        <v>0</v>
      </c>
      <c r="R77">
        <f>[81]Source!X149</f>
        <v>0</v>
      </c>
      <c r="S77">
        <f>[81]Source!Y148</f>
        <v>0</v>
      </c>
      <c r="T77">
        <f>[81]Source!Y149</f>
        <v>0</v>
      </c>
      <c r="U77">
        <f>ROUND((175/100)*ROUND([81]Source!R148, 2), 2)</f>
        <v>0</v>
      </c>
      <c r="V77">
        <f>ROUND((157/100)*ROUND([81]Source!R149, 2), 2)</f>
        <v>0</v>
      </c>
    </row>
    <row r="78" spans="1:22" ht="15" x14ac:dyDescent="0.25">
      <c r="A78" s="35"/>
      <c r="B78" s="35"/>
      <c r="C78" s="35"/>
      <c r="D78" s="35"/>
      <c r="E78" s="35"/>
      <c r="F78" s="35"/>
      <c r="G78" s="35"/>
      <c r="H78" s="35"/>
      <c r="I78" s="524">
        <f>J77</f>
        <v>2443.9899999999998</v>
      </c>
      <c r="J78" s="524"/>
      <c r="K78" s="524">
        <f>L77</f>
        <v>16374.7</v>
      </c>
      <c r="L78" s="524"/>
      <c r="O78" s="11">
        <f>J77</f>
        <v>2443.9899999999998</v>
      </c>
      <c r="P78" s="11">
        <f>L77</f>
        <v>16374.7</v>
      </c>
    </row>
    <row r="79" spans="1:22" ht="14.25" x14ac:dyDescent="0.2">
      <c r="A79" s="4">
        <v>8</v>
      </c>
      <c r="B79" s="4">
        <v>54</v>
      </c>
      <c r="C79" s="5" t="str">
        <f>[81]Source!F150</f>
        <v>1.1-1-1002</v>
      </c>
      <c r="D79" s="5" t="s">
        <v>117</v>
      </c>
      <c r="E79" s="6" t="str">
        <f>[81]Source!H150</f>
        <v>кг</v>
      </c>
      <c r="F79" s="2">
        <f>[81]Source!I150</f>
        <v>1</v>
      </c>
      <c r="G79" s="7">
        <f>[81]Source!AL150</f>
        <v>20.89</v>
      </c>
      <c r="H79" s="8" t="str">
        <f>[81]Source!DD150</f>
        <v/>
      </c>
      <c r="I79" s="2">
        <f>[81]Source!AW151</f>
        <v>1</v>
      </c>
      <c r="J79" s="25">
        <f>[81]Source!P150</f>
        <v>20.89</v>
      </c>
      <c r="K79" s="2">
        <f>IF([81]Source!BC151&lt;&gt; 0, [81]Source!BC151, 1)</f>
        <v>12.53</v>
      </c>
      <c r="L79" s="25">
        <f>[81]Source!P151</f>
        <v>261.75</v>
      </c>
      <c r="Q79">
        <f>[81]Source!X150</f>
        <v>0</v>
      </c>
      <c r="R79">
        <f>[81]Source!X151</f>
        <v>0</v>
      </c>
      <c r="S79">
        <f>[81]Source!Y150</f>
        <v>0</v>
      </c>
      <c r="T79">
        <f>[81]Source!Y151</f>
        <v>0</v>
      </c>
      <c r="U79">
        <f>ROUND((175/100)*ROUND([81]Source!R150, 2), 2)</f>
        <v>0</v>
      </c>
      <c r="V79">
        <f>ROUND((157/100)*ROUND([81]Source!R151, 2), 2)</f>
        <v>0</v>
      </c>
    </row>
    <row r="80" spans="1:22" ht="15" x14ac:dyDescent="0.25">
      <c r="A80" s="35"/>
      <c r="B80" s="35"/>
      <c r="C80" s="35"/>
      <c r="D80" s="35"/>
      <c r="E80" s="35"/>
      <c r="F80" s="35"/>
      <c r="G80" s="35"/>
      <c r="H80" s="35"/>
      <c r="I80" s="524">
        <f>J79</f>
        <v>20.89</v>
      </c>
      <c r="J80" s="524"/>
      <c r="K80" s="524">
        <f>L79</f>
        <v>261.75</v>
      </c>
      <c r="L80" s="524"/>
      <c r="O80" s="11">
        <f>J79</f>
        <v>20.89</v>
      </c>
      <c r="P80" s="11">
        <f>L79</f>
        <v>261.75</v>
      </c>
    </row>
    <row r="81" spans="1:22" ht="28.5" x14ac:dyDescent="0.2">
      <c r="A81" s="4">
        <v>9</v>
      </c>
      <c r="B81" s="4">
        <v>55</v>
      </c>
      <c r="C81" s="5" t="str">
        <f>[81]Source!F152</f>
        <v>1.1-1-3732</v>
      </c>
      <c r="D81" s="5" t="s">
        <v>118</v>
      </c>
      <c r="E81" s="6" t="str">
        <f>[81]Source!H152</f>
        <v>100 шт.</v>
      </c>
      <c r="F81" s="2">
        <f>[81]Source!I152</f>
        <v>0.216</v>
      </c>
      <c r="G81" s="7">
        <f>[81]Source!AL152</f>
        <v>679.91</v>
      </c>
      <c r="H81" s="8" t="str">
        <f>[81]Source!DD152</f>
        <v/>
      </c>
      <c r="I81" s="2">
        <f>[81]Source!AW153</f>
        <v>1</v>
      </c>
      <c r="J81" s="25">
        <f>[81]Source!P152</f>
        <v>146.86000000000001</v>
      </c>
      <c r="K81" s="2">
        <f>IF([81]Source!BC153&lt;&gt; 0, [81]Source!BC153, 1)</f>
        <v>1.21</v>
      </c>
      <c r="L81" s="25">
        <f>[81]Source!P153</f>
        <v>177.7</v>
      </c>
      <c r="Q81">
        <f>[81]Source!X152</f>
        <v>0</v>
      </c>
      <c r="R81">
        <f>[81]Source!X153</f>
        <v>0</v>
      </c>
      <c r="S81">
        <f>[81]Source!Y152</f>
        <v>0</v>
      </c>
      <c r="T81">
        <f>[81]Source!Y153</f>
        <v>0</v>
      </c>
      <c r="U81">
        <f>ROUND((175/100)*ROUND([81]Source!R152, 2), 2)</f>
        <v>0</v>
      </c>
      <c r="V81">
        <f>ROUND((157/100)*ROUND([81]Source!R153, 2), 2)</f>
        <v>0</v>
      </c>
    </row>
    <row r="82" spans="1:22" ht="15" x14ac:dyDescent="0.25">
      <c r="A82" s="35"/>
      <c r="B82" s="35"/>
      <c r="C82" s="35"/>
      <c r="D82" s="35"/>
      <c r="E82" s="35"/>
      <c r="F82" s="35"/>
      <c r="G82" s="35"/>
      <c r="H82" s="35"/>
      <c r="I82" s="524">
        <f>J81</f>
        <v>146.86000000000001</v>
      </c>
      <c r="J82" s="524"/>
      <c r="K82" s="524">
        <f>L81</f>
        <v>177.7</v>
      </c>
      <c r="L82" s="524"/>
      <c r="O82" s="11">
        <f>J81</f>
        <v>146.86000000000001</v>
      </c>
      <c r="P82" s="11">
        <f>L81</f>
        <v>177.7</v>
      </c>
    </row>
    <row r="83" spans="1:22" ht="28.5" x14ac:dyDescent="0.2">
      <c r="A83" s="4">
        <v>10</v>
      </c>
      <c r="B83" s="4">
        <v>56</v>
      </c>
      <c r="C83" s="5" t="str">
        <f>[81]Source!F154</f>
        <v>1.1-1-3733</v>
      </c>
      <c r="D83" s="5" t="s">
        <v>119</v>
      </c>
      <c r="E83" s="6" t="str">
        <f>[81]Source!H154</f>
        <v>100 шт.</v>
      </c>
      <c r="F83" s="2">
        <f>[81]Source!I154</f>
        <v>0.14399999999999999</v>
      </c>
      <c r="G83" s="7">
        <f>[81]Source!AL154</f>
        <v>98.74</v>
      </c>
      <c r="H83" s="8" t="str">
        <f>[81]Source!DD154</f>
        <v/>
      </c>
      <c r="I83" s="2">
        <f>[81]Source!AW155</f>
        <v>1</v>
      </c>
      <c r="J83" s="25">
        <f>[81]Source!P154</f>
        <v>14.22</v>
      </c>
      <c r="K83" s="2">
        <f>IF([81]Source!BC155&lt;&gt; 0, [81]Source!BC155, 1)</f>
        <v>1.95</v>
      </c>
      <c r="L83" s="25">
        <f>[81]Source!P155</f>
        <v>27.73</v>
      </c>
      <c r="Q83">
        <f>[81]Source!X154</f>
        <v>0</v>
      </c>
      <c r="R83">
        <f>[81]Source!X155</f>
        <v>0</v>
      </c>
      <c r="S83">
        <f>[81]Source!Y154</f>
        <v>0</v>
      </c>
      <c r="T83">
        <f>[81]Source!Y155</f>
        <v>0</v>
      </c>
      <c r="U83">
        <f>ROUND((175/100)*ROUND([81]Source!R154, 2), 2)</f>
        <v>0</v>
      </c>
      <c r="V83">
        <f>ROUND((157/100)*ROUND([81]Source!R155, 2), 2)</f>
        <v>0</v>
      </c>
    </row>
    <row r="84" spans="1:22" ht="15" x14ac:dyDescent="0.25">
      <c r="A84" s="35"/>
      <c r="B84" s="35"/>
      <c r="C84" s="35"/>
      <c r="D84" s="35"/>
      <c r="E84" s="35"/>
      <c r="F84" s="35"/>
      <c r="G84" s="35"/>
      <c r="H84" s="35"/>
      <c r="I84" s="524">
        <f>J83</f>
        <v>14.22</v>
      </c>
      <c r="J84" s="524"/>
      <c r="K84" s="524">
        <f>L83</f>
        <v>27.73</v>
      </c>
      <c r="L84" s="524"/>
      <c r="O84" s="11">
        <f>J83</f>
        <v>14.22</v>
      </c>
      <c r="P84" s="11">
        <f>L83</f>
        <v>27.73</v>
      </c>
    </row>
    <row r="85" spans="1:22" ht="28.5" x14ac:dyDescent="0.2">
      <c r="A85" s="4">
        <v>11</v>
      </c>
      <c r="B85" s="4">
        <v>57</v>
      </c>
      <c r="C85" s="5" t="str">
        <f>[81]Source!F156</f>
        <v>3.9-72-2</v>
      </c>
      <c r="D85" s="5" t="s">
        <v>120</v>
      </c>
      <c r="E85" s="6" t="str">
        <f>[81]Source!H156</f>
        <v>100 шт.</v>
      </c>
      <c r="F85" s="2">
        <f>[81]Source!I156</f>
        <v>1.52</v>
      </c>
      <c r="G85" s="7"/>
      <c r="H85" s="8"/>
      <c r="I85" s="2"/>
      <c r="J85" s="25"/>
      <c r="K85" s="2"/>
      <c r="L85" s="25"/>
      <c r="Q85">
        <f>[81]Source!X156</f>
        <v>467.6</v>
      </c>
      <c r="R85">
        <f>[81]Source!X157</f>
        <v>9006.9599999999991</v>
      </c>
      <c r="S85">
        <f>[81]Source!Y156</f>
        <v>564.34</v>
      </c>
      <c r="T85">
        <f>[81]Source!Y157</f>
        <v>6433.55</v>
      </c>
      <c r="U85">
        <f>ROUND((175/100)*ROUND([81]Source!R156, 2), 2)</f>
        <v>0.3</v>
      </c>
      <c r="V85">
        <f>ROUND((157/100)*ROUND([81]Source!R157, 2), 2)</f>
        <v>6.22</v>
      </c>
    </row>
    <row r="86" spans="1:22" ht="14.25" x14ac:dyDescent="0.2">
      <c r="A86" s="4"/>
      <c r="B86" s="4"/>
      <c r="C86" s="5"/>
      <c r="D86" s="5" t="s">
        <v>20</v>
      </c>
      <c r="E86" s="6"/>
      <c r="F86" s="2"/>
      <c r="G86" s="7">
        <f>[81]Source!AO156</f>
        <v>194.79</v>
      </c>
      <c r="H86" s="8" t="str">
        <f>[81]Source!DG156</f>
        <v>)*1,67</v>
      </c>
      <c r="I86" s="2">
        <f>[81]Source!AV157</f>
        <v>1.087</v>
      </c>
      <c r="J86" s="25">
        <f>[81]Source!S156</f>
        <v>537.47</v>
      </c>
      <c r="K86" s="2">
        <f>IF([81]Source!BA157&lt;&gt; 0, [81]Source!BA157, 1)</f>
        <v>23.94</v>
      </c>
      <c r="L86" s="25">
        <f>[81]Source!S157</f>
        <v>12867.09</v>
      </c>
    </row>
    <row r="87" spans="1:22" ht="14.25" x14ac:dyDescent="0.2">
      <c r="A87" s="4"/>
      <c r="B87" s="4"/>
      <c r="C87" s="5"/>
      <c r="D87" s="5" t="s">
        <v>21</v>
      </c>
      <c r="E87" s="6"/>
      <c r="F87" s="2"/>
      <c r="G87" s="7">
        <f>[81]Source!AM156</f>
        <v>0.3</v>
      </c>
      <c r="H87" s="8" t="str">
        <f>[81]Source!DE156</f>
        <v/>
      </c>
      <c r="I87" s="2">
        <f>[81]Source!AV157</f>
        <v>1.087</v>
      </c>
      <c r="J87" s="25">
        <f>[81]Source!Q156-J95</f>
        <v>0.49</v>
      </c>
      <c r="K87" s="2">
        <f>IF([81]Source!BB157&lt;&gt; 0, [81]Source!BB157, 1)</f>
        <v>9.07</v>
      </c>
      <c r="L87" s="25">
        <f>[81]Source!Q157-L95</f>
        <v>4.5</v>
      </c>
    </row>
    <row r="88" spans="1:22" ht="14.25" x14ac:dyDescent="0.2">
      <c r="A88" s="4"/>
      <c r="B88" s="4"/>
      <c r="C88" s="5"/>
      <c r="D88" s="5" t="s">
        <v>22</v>
      </c>
      <c r="E88" s="6"/>
      <c r="F88" s="2"/>
      <c r="G88" s="7">
        <f>[81]Source!AN156</f>
        <v>0.06</v>
      </c>
      <c r="H88" s="8" t="str">
        <f>[81]Source!DE156</f>
        <v/>
      </c>
      <c r="I88" s="2">
        <f>[81]Source!AV157</f>
        <v>1.087</v>
      </c>
      <c r="J88" s="10">
        <f>[81]Source!R156-J96</f>
        <v>0.1</v>
      </c>
      <c r="K88" s="2">
        <f>IF([81]Source!BS157&lt;&gt; 0, [81]Source!BS157, 1)</f>
        <v>23.94</v>
      </c>
      <c r="L88" s="10">
        <f>[81]Source!R157-L96</f>
        <v>2.37</v>
      </c>
    </row>
    <row r="89" spans="1:22" ht="14.25" x14ac:dyDescent="0.2">
      <c r="A89" s="4"/>
      <c r="B89" s="4"/>
      <c r="C89" s="5"/>
      <c r="D89" s="5" t="s">
        <v>24</v>
      </c>
      <c r="E89" s="6" t="s">
        <v>25</v>
      </c>
      <c r="F89" s="2">
        <f>[81]Source!DN157</f>
        <v>87</v>
      </c>
      <c r="G89" s="7"/>
      <c r="H89" s="8"/>
      <c r="I89" s="2"/>
      <c r="J89" s="25">
        <f>SUM(Q85:Q88)</f>
        <v>467.6</v>
      </c>
      <c r="K89" s="2">
        <f>[81]Source!BZ157</f>
        <v>70</v>
      </c>
      <c r="L89" s="25">
        <f>SUM(R85:R88)</f>
        <v>9006.9599999999991</v>
      </c>
    </row>
    <row r="90" spans="1:22" ht="14.25" x14ac:dyDescent="0.2">
      <c r="A90" s="4"/>
      <c r="B90" s="4"/>
      <c r="C90" s="5"/>
      <c r="D90" s="5" t="s">
        <v>26</v>
      </c>
      <c r="E90" s="6" t="s">
        <v>25</v>
      </c>
      <c r="F90" s="2">
        <f>[81]Source!DO157</f>
        <v>105</v>
      </c>
      <c r="G90" s="7"/>
      <c r="H90" s="8"/>
      <c r="I90" s="2"/>
      <c r="J90" s="25">
        <f>SUM(S85:S89)</f>
        <v>564.34</v>
      </c>
      <c r="K90" s="2">
        <f>[81]Source!CA157</f>
        <v>50</v>
      </c>
      <c r="L90" s="25">
        <f>SUM(T85:T89)</f>
        <v>6433.55</v>
      </c>
    </row>
    <row r="91" spans="1:22" ht="14.25" x14ac:dyDescent="0.2">
      <c r="A91" s="4"/>
      <c r="B91" s="4"/>
      <c r="C91" s="5"/>
      <c r="D91" s="5" t="s">
        <v>27</v>
      </c>
      <c r="E91" s="6" t="s">
        <v>25</v>
      </c>
      <c r="F91" s="2">
        <f>175</f>
        <v>175</v>
      </c>
      <c r="G91" s="7"/>
      <c r="H91" s="8"/>
      <c r="I91" s="2"/>
      <c r="J91" s="25">
        <f>SUM(U85:U90)-J97</f>
        <v>0.18</v>
      </c>
      <c r="K91" s="2">
        <f>157</f>
        <v>157</v>
      </c>
      <c r="L91" s="25">
        <f>SUM(V85:V90)-L97</f>
        <v>3.72</v>
      </c>
    </row>
    <row r="92" spans="1:22" ht="14.25" x14ac:dyDescent="0.2">
      <c r="A92" s="4"/>
      <c r="B92" s="4"/>
      <c r="C92" s="5"/>
      <c r="D92" s="5" t="s">
        <v>28</v>
      </c>
      <c r="E92" s="6" t="s">
        <v>29</v>
      </c>
      <c r="F92" s="2">
        <f>[81]Source!AQ156</f>
        <v>13.4</v>
      </c>
      <c r="G92" s="7"/>
      <c r="H92" s="8" t="str">
        <f>[81]Source!DI156</f>
        <v/>
      </c>
      <c r="I92" s="2">
        <f>[81]Source!AV157</f>
        <v>1.087</v>
      </c>
      <c r="J92" s="25">
        <f>[81]Source!U156</f>
        <v>22.14</v>
      </c>
      <c r="K92" s="2"/>
      <c r="L92" s="25"/>
    </row>
    <row r="93" spans="1:22" ht="15" x14ac:dyDescent="0.25">
      <c r="I93" s="525">
        <f>J86+J87+J89+J90+J91</f>
        <v>1570.08</v>
      </c>
      <c r="J93" s="525"/>
      <c r="K93" s="525">
        <f>L86+L87+L89+L90+L91</f>
        <v>28315.82</v>
      </c>
      <c r="L93" s="525"/>
      <c r="O93" s="11">
        <f>J86+J87+J89+J90+J91</f>
        <v>1570.08</v>
      </c>
      <c r="P93" s="11">
        <f>L86+L87+L89+L90+L91</f>
        <v>28315.82</v>
      </c>
    </row>
    <row r="94" spans="1:22" ht="28.5" x14ac:dyDescent="0.2">
      <c r="A94" s="12"/>
      <c r="B94" s="12"/>
      <c r="C94" s="13"/>
      <c r="D94" s="13" t="s">
        <v>30</v>
      </c>
      <c r="E94" s="6"/>
      <c r="F94" s="14"/>
      <c r="G94" s="15"/>
      <c r="H94" s="6"/>
      <c r="I94" s="14"/>
      <c r="J94" s="10"/>
      <c r="K94" s="14"/>
      <c r="L94" s="10"/>
    </row>
    <row r="95" spans="1:22" ht="14.25" x14ac:dyDescent="0.2">
      <c r="A95" s="12"/>
      <c r="B95" s="12"/>
      <c r="C95" s="13"/>
      <c r="D95" s="13" t="s">
        <v>21</v>
      </c>
      <c r="E95" s="6"/>
      <c r="F95" s="14"/>
      <c r="G95" s="15">
        <f t="shared" ref="G95:L95" si="3">G96</f>
        <v>0.06</v>
      </c>
      <c r="H95" s="16" t="str">
        <f t="shared" si="3"/>
        <v>)*(1.67-1)</v>
      </c>
      <c r="I95" s="14">
        <f t="shared" si="3"/>
        <v>1.087</v>
      </c>
      <c r="J95" s="10">
        <f t="shared" si="3"/>
        <v>7.0000000000000007E-2</v>
      </c>
      <c r="K95" s="14">
        <f t="shared" si="3"/>
        <v>23.94</v>
      </c>
      <c r="L95" s="10">
        <f t="shared" si="3"/>
        <v>1.59</v>
      </c>
    </row>
    <row r="96" spans="1:22" ht="14.25" x14ac:dyDescent="0.2">
      <c r="A96" s="12"/>
      <c r="B96" s="12"/>
      <c r="C96" s="13"/>
      <c r="D96" s="13" t="s">
        <v>22</v>
      </c>
      <c r="E96" s="6"/>
      <c r="F96" s="14"/>
      <c r="G96" s="15">
        <f>[81]Source!AN156</f>
        <v>0.06</v>
      </c>
      <c r="H96" s="16" t="s">
        <v>31</v>
      </c>
      <c r="I96" s="14">
        <f>[81]Source!AV157</f>
        <v>1.087</v>
      </c>
      <c r="J96" s="10">
        <f>ROUND(F85*G96*I96*(1.67-1), 2)</f>
        <v>7.0000000000000007E-2</v>
      </c>
      <c r="K96" s="14">
        <f>IF([81]Source!BS157&lt;&gt; 0, [81]Source!BS157, 1)</f>
        <v>23.94</v>
      </c>
      <c r="L96" s="10">
        <f>ROUND(F85*G96*I96*(1.67-1)*K96, 2)</f>
        <v>1.59</v>
      </c>
    </row>
    <row r="97" spans="1:22" ht="14.25" x14ac:dyDescent="0.2">
      <c r="A97" s="12"/>
      <c r="B97" s="12"/>
      <c r="C97" s="13"/>
      <c r="D97" s="13" t="s">
        <v>27</v>
      </c>
      <c r="E97" s="6" t="s">
        <v>25</v>
      </c>
      <c r="F97" s="14">
        <f>175</f>
        <v>175</v>
      </c>
      <c r="G97" s="15"/>
      <c r="H97" s="6"/>
      <c r="I97" s="14"/>
      <c r="J97" s="10">
        <f>ROUND(J96*(F97/100), 2)</f>
        <v>0.12</v>
      </c>
      <c r="K97" s="14">
        <f>157</f>
        <v>157</v>
      </c>
      <c r="L97" s="10">
        <f>ROUND(L96*(K97/100), 2)</f>
        <v>2.5</v>
      </c>
    </row>
    <row r="98" spans="1:22" ht="15" x14ac:dyDescent="0.25">
      <c r="I98" s="525">
        <f>J97+J96</f>
        <v>0.19</v>
      </c>
      <c r="J98" s="525"/>
      <c r="K98" s="525">
        <f>L97+L96</f>
        <v>4.09</v>
      </c>
      <c r="L98" s="525"/>
      <c r="O98" s="11">
        <f>I98</f>
        <v>0.19</v>
      </c>
      <c r="P98" s="11">
        <f>K98</f>
        <v>4.09</v>
      </c>
    </row>
    <row r="100" spans="1:22" ht="15" x14ac:dyDescent="0.25">
      <c r="A100" s="37"/>
      <c r="B100" s="37"/>
      <c r="C100" s="38"/>
      <c r="D100" s="38" t="s">
        <v>32</v>
      </c>
      <c r="E100" s="39"/>
      <c r="F100" s="40"/>
      <c r="G100" s="41"/>
      <c r="H100" s="42"/>
      <c r="I100" s="524">
        <f>I93+I98</f>
        <v>1570.27</v>
      </c>
      <c r="J100" s="524"/>
      <c r="K100" s="524">
        <f>K93+K98</f>
        <v>28319.91</v>
      </c>
      <c r="L100" s="524"/>
    </row>
    <row r="101" spans="1:22" ht="42.75" x14ac:dyDescent="0.2">
      <c r="A101" s="4">
        <v>12</v>
      </c>
      <c r="B101" s="4">
        <v>58</v>
      </c>
      <c r="C101" s="5" t="str">
        <f>[81]Source!F158</f>
        <v>1.7-5-237</v>
      </c>
      <c r="D101" s="5" t="s">
        <v>121</v>
      </c>
      <c r="E101" s="6" t="str">
        <f>[81]Source!H158</f>
        <v>шт.</v>
      </c>
      <c r="F101" s="2">
        <f>[81]Source!I158</f>
        <v>152</v>
      </c>
      <c r="G101" s="7">
        <f>[81]Source!AL158</f>
        <v>69.040000000000006</v>
      </c>
      <c r="H101" s="8" t="str">
        <f>[81]Source!DD158</f>
        <v/>
      </c>
      <c r="I101" s="2">
        <f>[81]Source!AW159</f>
        <v>1</v>
      </c>
      <c r="J101" s="25">
        <f>[81]Source!P158</f>
        <v>10494.08</v>
      </c>
      <c r="K101" s="2">
        <f>IF([81]Source!BC159&lt;&gt; 0, [81]Source!BC159, 1)</f>
        <v>3.98</v>
      </c>
      <c r="L101" s="25">
        <f>[81]Source!P159</f>
        <v>41766.44</v>
      </c>
      <c r="Q101">
        <f>[81]Source!X158</f>
        <v>0</v>
      </c>
      <c r="R101">
        <f>[81]Source!X159</f>
        <v>0</v>
      </c>
      <c r="S101">
        <f>[81]Source!Y158</f>
        <v>0</v>
      </c>
      <c r="T101">
        <f>[81]Source!Y159</f>
        <v>0</v>
      </c>
      <c r="U101">
        <f>ROUND((175/100)*ROUND([81]Source!R158, 2), 2)</f>
        <v>0</v>
      </c>
      <c r="V101">
        <f>ROUND((157/100)*ROUND([81]Source!R159, 2), 2)</f>
        <v>0</v>
      </c>
    </row>
    <row r="102" spans="1:22" ht="15" x14ac:dyDescent="0.25">
      <c r="A102" s="35"/>
      <c r="B102" s="35"/>
      <c r="C102" s="35"/>
      <c r="D102" s="35"/>
      <c r="E102" s="35"/>
      <c r="F102" s="35"/>
      <c r="G102" s="35"/>
      <c r="H102" s="35"/>
      <c r="I102" s="524">
        <f>J101</f>
        <v>10494.08</v>
      </c>
      <c r="J102" s="524"/>
      <c r="K102" s="524">
        <f>L101</f>
        <v>41766.44</v>
      </c>
      <c r="L102" s="524"/>
      <c r="O102" s="11">
        <f>J101</f>
        <v>10494.08</v>
      </c>
      <c r="P102" s="11">
        <f>L101</f>
        <v>41766.44</v>
      </c>
    </row>
    <row r="103" spans="1:22" ht="57" x14ac:dyDescent="0.2">
      <c r="A103" s="4">
        <v>13</v>
      </c>
      <c r="B103" s="4">
        <v>65</v>
      </c>
      <c r="C103" s="5" t="str">
        <f>[81]Source!F172</f>
        <v>1.6-1-269</v>
      </c>
      <c r="D103" s="5" t="s">
        <v>116</v>
      </c>
      <c r="E103" s="6" t="str">
        <f>[81]Source!H172</f>
        <v>т</v>
      </c>
      <c r="F103" s="2">
        <f>[81]Source!I172</f>
        <v>0.41952</v>
      </c>
      <c r="G103" s="7">
        <f>[81]Source!AL172</f>
        <v>12416.1</v>
      </c>
      <c r="H103" s="8" t="str">
        <f>[81]Source!DD172</f>
        <v/>
      </c>
      <c r="I103" s="2">
        <f>[81]Source!AW173</f>
        <v>1</v>
      </c>
      <c r="J103" s="25">
        <f>[81]Source!P172</f>
        <v>5208.8</v>
      </c>
      <c r="K103" s="2">
        <f>IF([81]Source!BC173&lt;&gt; 0, [81]Source!BC173, 1)</f>
        <v>6.7</v>
      </c>
      <c r="L103" s="25">
        <f>[81]Source!P173</f>
        <v>34898.980000000003</v>
      </c>
      <c r="Q103">
        <f>[81]Source!X172</f>
        <v>0</v>
      </c>
      <c r="R103">
        <f>[81]Source!X173</f>
        <v>0</v>
      </c>
      <c r="S103">
        <f>[81]Source!Y172</f>
        <v>0</v>
      </c>
      <c r="T103">
        <f>[81]Source!Y173</f>
        <v>0</v>
      </c>
      <c r="U103">
        <f>ROUND((175/100)*ROUND([81]Source!R172, 2), 2)</f>
        <v>0</v>
      </c>
      <c r="V103">
        <f>ROUND((157/100)*ROUND([81]Source!R173, 2), 2)</f>
        <v>0</v>
      </c>
    </row>
    <row r="104" spans="1:22" ht="15" x14ac:dyDescent="0.25">
      <c r="A104" s="35"/>
      <c r="B104" s="35"/>
      <c r="C104" s="35"/>
      <c r="D104" s="35"/>
      <c r="E104" s="35"/>
      <c r="F104" s="35"/>
      <c r="G104" s="35"/>
      <c r="H104" s="35"/>
      <c r="I104" s="524">
        <f>J103</f>
        <v>5208.8</v>
      </c>
      <c r="J104" s="524"/>
      <c r="K104" s="524">
        <f>L103</f>
        <v>34898.980000000003</v>
      </c>
      <c r="L104" s="524"/>
      <c r="O104" s="11">
        <f>J103</f>
        <v>5208.8</v>
      </c>
      <c r="P104" s="11">
        <f>L103</f>
        <v>34898.980000000003</v>
      </c>
    </row>
    <row r="105" spans="1:22" ht="28.5" x14ac:dyDescent="0.2">
      <c r="A105" s="4">
        <v>14</v>
      </c>
      <c r="B105" s="4">
        <v>69</v>
      </c>
      <c r="C105" s="5" t="str">
        <f>[81]Source!F180</f>
        <v>3.9-72-2</v>
      </c>
      <c r="D105" s="5" t="s">
        <v>120</v>
      </c>
      <c r="E105" s="6" t="str">
        <f>[81]Source!H180</f>
        <v>100 шт.</v>
      </c>
      <c r="F105" s="2">
        <f>[81]Source!I180</f>
        <v>3.68</v>
      </c>
      <c r="G105" s="7"/>
      <c r="H105" s="8"/>
      <c r="I105" s="2"/>
      <c r="J105" s="25"/>
      <c r="K105" s="2"/>
      <c r="L105" s="25"/>
      <c r="Q105">
        <f>[81]Source!X180</f>
        <v>1132.0899999999999</v>
      </c>
      <c r="R105">
        <f>[81]Source!X181</f>
        <v>21806.34</v>
      </c>
      <c r="S105">
        <f>[81]Source!Y180</f>
        <v>1366.31</v>
      </c>
      <c r="T105">
        <f>[81]Source!Y181</f>
        <v>15575.96</v>
      </c>
      <c r="U105">
        <f>ROUND((175/100)*ROUND([81]Source!R180, 2), 2)</f>
        <v>0.7</v>
      </c>
      <c r="V105">
        <f>ROUND((157/100)*ROUND([81]Source!R181, 2), 2)</f>
        <v>15.07</v>
      </c>
    </row>
    <row r="106" spans="1:22" ht="14.25" x14ac:dyDescent="0.2">
      <c r="A106" s="4"/>
      <c r="B106" s="4"/>
      <c r="C106" s="5"/>
      <c r="D106" s="5" t="s">
        <v>20</v>
      </c>
      <c r="E106" s="6"/>
      <c r="F106" s="2"/>
      <c r="G106" s="7">
        <f>[81]Source!AO180</f>
        <v>194.79</v>
      </c>
      <c r="H106" s="8" t="str">
        <f>[81]Source!DG180</f>
        <v>)*1,67</v>
      </c>
      <c r="I106" s="2">
        <f>[81]Source!AV181</f>
        <v>1.087</v>
      </c>
      <c r="J106" s="25">
        <f>[81]Source!S180</f>
        <v>1301.25</v>
      </c>
      <c r="K106" s="2">
        <f>IF([81]Source!BA181&lt;&gt; 0, [81]Source!BA181, 1)</f>
        <v>23.94</v>
      </c>
      <c r="L106" s="25">
        <f>[81]Source!S181</f>
        <v>31151.91</v>
      </c>
    </row>
    <row r="107" spans="1:22" ht="14.25" x14ac:dyDescent="0.2">
      <c r="A107" s="4"/>
      <c r="B107" s="4"/>
      <c r="C107" s="5"/>
      <c r="D107" s="5" t="s">
        <v>21</v>
      </c>
      <c r="E107" s="6"/>
      <c r="F107" s="2"/>
      <c r="G107" s="7">
        <f>[81]Source!AM180</f>
        <v>0.3</v>
      </c>
      <c r="H107" s="8" t="str">
        <f>[81]Source!DE180</f>
        <v/>
      </c>
      <c r="I107" s="2">
        <f>[81]Source!AV181</f>
        <v>1.087</v>
      </c>
      <c r="J107" s="25">
        <f>[81]Source!Q180-J115</f>
        <v>1.2</v>
      </c>
      <c r="K107" s="2">
        <f>IF([81]Source!BB181&lt;&gt; 0, [81]Source!BB181, 1)</f>
        <v>9.07</v>
      </c>
      <c r="L107" s="25">
        <f>[81]Source!Q181-L115</f>
        <v>10.88</v>
      </c>
    </row>
    <row r="108" spans="1:22" ht="14.25" x14ac:dyDescent="0.2">
      <c r="A108" s="4"/>
      <c r="B108" s="4"/>
      <c r="C108" s="5"/>
      <c r="D108" s="5" t="s">
        <v>22</v>
      </c>
      <c r="E108" s="6"/>
      <c r="F108" s="2"/>
      <c r="G108" s="7">
        <f>[81]Source!AN180</f>
        <v>0.06</v>
      </c>
      <c r="H108" s="8" t="str">
        <f>[81]Source!DE180</f>
        <v/>
      </c>
      <c r="I108" s="2">
        <f>[81]Source!AV181</f>
        <v>1.087</v>
      </c>
      <c r="J108" s="10">
        <f>[81]Source!R180-J116</f>
        <v>0.24</v>
      </c>
      <c r="K108" s="2">
        <f>IF([81]Source!BS181&lt;&gt; 0, [81]Source!BS181, 1)</f>
        <v>23.94</v>
      </c>
      <c r="L108" s="10">
        <f>[81]Source!R181-L116</f>
        <v>5.75</v>
      </c>
    </row>
    <row r="109" spans="1:22" ht="14.25" x14ac:dyDescent="0.2">
      <c r="A109" s="4"/>
      <c r="B109" s="4"/>
      <c r="C109" s="5"/>
      <c r="D109" s="5" t="s">
        <v>24</v>
      </c>
      <c r="E109" s="6" t="s">
        <v>25</v>
      </c>
      <c r="F109" s="2">
        <f>[81]Source!DN181</f>
        <v>87</v>
      </c>
      <c r="G109" s="7"/>
      <c r="H109" s="8"/>
      <c r="I109" s="2"/>
      <c r="J109" s="25">
        <f>SUM(Q105:Q108)</f>
        <v>1132.0899999999999</v>
      </c>
      <c r="K109" s="2">
        <f>[81]Source!BZ181</f>
        <v>70</v>
      </c>
      <c r="L109" s="25">
        <f>SUM(R105:R108)</f>
        <v>21806.34</v>
      </c>
    </row>
    <row r="110" spans="1:22" ht="14.25" x14ac:dyDescent="0.2">
      <c r="A110" s="4"/>
      <c r="B110" s="4"/>
      <c r="C110" s="5"/>
      <c r="D110" s="5" t="s">
        <v>26</v>
      </c>
      <c r="E110" s="6" t="s">
        <v>25</v>
      </c>
      <c r="F110" s="2">
        <f>[81]Source!DO181</f>
        <v>105</v>
      </c>
      <c r="G110" s="7"/>
      <c r="H110" s="8"/>
      <c r="I110" s="2"/>
      <c r="J110" s="25">
        <f>SUM(S105:S109)</f>
        <v>1366.31</v>
      </c>
      <c r="K110" s="2">
        <f>[81]Source!CA181</f>
        <v>50</v>
      </c>
      <c r="L110" s="25">
        <f>SUM(T105:T109)</f>
        <v>15575.96</v>
      </c>
    </row>
    <row r="111" spans="1:22" ht="14.25" x14ac:dyDescent="0.2">
      <c r="A111" s="4"/>
      <c r="B111" s="4"/>
      <c r="C111" s="5"/>
      <c r="D111" s="5" t="s">
        <v>27</v>
      </c>
      <c r="E111" s="6" t="s">
        <v>25</v>
      </c>
      <c r="F111" s="2">
        <f>175</f>
        <v>175</v>
      </c>
      <c r="G111" s="7"/>
      <c r="H111" s="8"/>
      <c r="I111" s="2"/>
      <c r="J111" s="25">
        <f>SUM(U105:U110)-J117</f>
        <v>0.42</v>
      </c>
      <c r="K111" s="2">
        <f>157</f>
        <v>157</v>
      </c>
      <c r="L111" s="25">
        <f>SUM(V105:V110)-L117</f>
        <v>9.0299999999999994</v>
      </c>
    </row>
    <row r="112" spans="1:22" ht="14.25" x14ac:dyDescent="0.2">
      <c r="A112" s="4"/>
      <c r="B112" s="4"/>
      <c r="C112" s="5"/>
      <c r="D112" s="5" t="s">
        <v>28</v>
      </c>
      <c r="E112" s="6" t="s">
        <v>29</v>
      </c>
      <c r="F112" s="2">
        <f>[81]Source!AQ180</f>
        <v>13.4</v>
      </c>
      <c r="G112" s="7"/>
      <c r="H112" s="8" t="str">
        <f>[81]Source!DI180</f>
        <v/>
      </c>
      <c r="I112" s="2">
        <f>[81]Source!AV181</f>
        <v>1.087</v>
      </c>
      <c r="J112" s="25">
        <f>[81]Source!U180</f>
        <v>53.6</v>
      </c>
      <c r="K112" s="2"/>
      <c r="L112" s="25"/>
    </row>
    <row r="113" spans="1:32" ht="15" x14ac:dyDescent="0.25">
      <c r="I113" s="525">
        <f>J106+J107+J109+J110+J111</f>
        <v>3801.27</v>
      </c>
      <c r="J113" s="525"/>
      <c r="K113" s="525">
        <f>L106+L107+L109+L110+L111</f>
        <v>68554.12</v>
      </c>
      <c r="L113" s="525"/>
      <c r="O113" s="11">
        <f>J106+J107+J109+J110+J111</f>
        <v>3801.27</v>
      </c>
      <c r="P113" s="11">
        <f>L106+L107+L109+L110+L111</f>
        <v>68554.12</v>
      </c>
    </row>
    <row r="114" spans="1:32" ht="28.5" x14ac:dyDescent="0.2">
      <c r="A114" s="12"/>
      <c r="B114" s="12"/>
      <c r="C114" s="13"/>
      <c r="D114" s="13" t="s">
        <v>30</v>
      </c>
      <c r="E114" s="6"/>
      <c r="F114" s="14"/>
      <c r="G114" s="15"/>
      <c r="H114" s="6"/>
      <c r="I114" s="14"/>
      <c r="J114" s="10"/>
      <c r="K114" s="14"/>
      <c r="L114" s="10"/>
    </row>
    <row r="115" spans="1:32" ht="14.25" x14ac:dyDescent="0.2">
      <c r="A115" s="12"/>
      <c r="B115" s="12"/>
      <c r="C115" s="13"/>
      <c r="D115" s="13" t="s">
        <v>21</v>
      </c>
      <c r="E115" s="6"/>
      <c r="F115" s="14"/>
      <c r="G115" s="15">
        <f t="shared" ref="G115:L115" si="4">G116</f>
        <v>0.06</v>
      </c>
      <c r="H115" s="16" t="str">
        <f t="shared" si="4"/>
        <v>)*(1.67-1)</v>
      </c>
      <c r="I115" s="14">
        <f t="shared" si="4"/>
        <v>1.087</v>
      </c>
      <c r="J115" s="10">
        <f t="shared" si="4"/>
        <v>0.16</v>
      </c>
      <c r="K115" s="14">
        <f t="shared" si="4"/>
        <v>23.94</v>
      </c>
      <c r="L115" s="10">
        <f t="shared" si="4"/>
        <v>3.85</v>
      </c>
    </row>
    <row r="116" spans="1:32" ht="14.25" x14ac:dyDescent="0.2">
      <c r="A116" s="12"/>
      <c r="B116" s="12"/>
      <c r="C116" s="13"/>
      <c r="D116" s="13" t="s">
        <v>22</v>
      </c>
      <c r="E116" s="6"/>
      <c r="F116" s="14"/>
      <c r="G116" s="15">
        <f>[81]Source!AN180</f>
        <v>0.06</v>
      </c>
      <c r="H116" s="16" t="s">
        <v>31</v>
      </c>
      <c r="I116" s="14">
        <f>[81]Source!AV181</f>
        <v>1.087</v>
      </c>
      <c r="J116" s="10">
        <f>ROUND(F105*G116*I116*(1.67-1), 2)</f>
        <v>0.16</v>
      </c>
      <c r="K116" s="14">
        <f>IF([81]Source!BS181&lt;&gt; 0, [81]Source!BS181, 1)</f>
        <v>23.94</v>
      </c>
      <c r="L116" s="10">
        <f>ROUND(F105*G116*I116*(1.67-1)*K116, 2)</f>
        <v>3.85</v>
      </c>
    </row>
    <row r="117" spans="1:32" ht="14.25" x14ac:dyDescent="0.2">
      <c r="A117" s="12"/>
      <c r="B117" s="12"/>
      <c r="C117" s="13"/>
      <c r="D117" s="13" t="s">
        <v>27</v>
      </c>
      <c r="E117" s="6" t="s">
        <v>25</v>
      </c>
      <c r="F117" s="14">
        <f>175</f>
        <v>175</v>
      </c>
      <c r="G117" s="15"/>
      <c r="H117" s="6"/>
      <c r="I117" s="14"/>
      <c r="J117" s="10">
        <f>ROUND(J116*(F117/100), 2)</f>
        <v>0.28000000000000003</v>
      </c>
      <c r="K117" s="14">
        <f>157</f>
        <v>157</v>
      </c>
      <c r="L117" s="10">
        <f>ROUND(L116*(K117/100), 2)</f>
        <v>6.04</v>
      </c>
    </row>
    <row r="118" spans="1:32" ht="15" x14ac:dyDescent="0.25">
      <c r="I118" s="525">
        <f>J117+J116</f>
        <v>0.44</v>
      </c>
      <c r="J118" s="525"/>
      <c r="K118" s="525">
        <f>L117+L116</f>
        <v>9.89</v>
      </c>
      <c r="L118" s="525"/>
      <c r="O118" s="11">
        <f>I118</f>
        <v>0.44</v>
      </c>
      <c r="P118" s="11">
        <f>K118</f>
        <v>9.89</v>
      </c>
    </row>
    <row r="120" spans="1:32" ht="15" x14ac:dyDescent="0.25">
      <c r="A120" s="37"/>
      <c r="B120" s="37"/>
      <c r="C120" s="38"/>
      <c r="D120" s="38" t="s">
        <v>32</v>
      </c>
      <c r="E120" s="39"/>
      <c r="F120" s="40"/>
      <c r="G120" s="41"/>
      <c r="H120" s="42"/>
      <c r="I120" s="524">
        <f>I113+I118</f>
        <v>3801.71</v>
      </c>
      <c r="J120" s="524"/>
      <c r="K120" s="524">
        <f>K113+K118</f>
        <v>68564.009999999995</v>
      </c>
      <c r="L120" s="524"/>
    </row>
    <row r="121" spans="1:32" ht="42.75" x14ac:dyDescent="0.2">
      <c r="A121" s="4">
        <v>15</v>
      </c>
      <c r="B121" s="4">
        <v>70</v>
      </c>
      <c r="C121" s="5" t="str">
        <f>[81]Source!F182</f>
        <v>1.7-5-237</v>
      </c>
      <c r="D121" s="5" t="s">
        <v>121</v>
      </c>
      <c r="E121" s="6" t="str">
        <f>[81]Source!H182</f>
        <v>шт.</v>
      </c>
      <c r="F121" s="2">
        <f>[81]Source!I182</f>
        <v>368</v>
      </c>
      <c r="G121" s="7">
        <f>[81]Source!AL182</f>
        <v>69.040000000000006</v>
      </c>
      <c r="H121" s="8" t="str">
        <f>[81]Source!DD182</f>
        <v/>
      </c>
      <c r="I121" s="2">
        <f>[81]Source!AW183</f>
        <v>1</v>
      </c>
      <c r="J121" s="25">
        <f>[81]Source!P182</f>
        <v>25406.720000000001</v>
      </c>
      <c r="K121" s="2">
        <f>IF([81]Source!BC183&lt;&gt; 0, [81]Source!BC183, 1)</f>
        <v>3.98</v>
      </c>
      <c r="L121" s="25">
        <f>[81]Source!P183</f>
        <v>101118.75</v>
      </c>
      <c r="Q121">
        <f>[81]Source!X182</f>
        <v>0</v>
      </c>
      <c r="R121">
        <f>[81]Source!X183</f>
        <v>0</v>
      </c>
      <c r="S121">
        <f>[81]Source!Y182</f>
        <v>0</v>
      </c>
      <c r="T121">
        <f>[81]Source!Y183</f>
        <v>0</v>
      </c>
      <c r="U121">
        <f>ROUND((175/100)*ROUND([81]Source!R182, 2), 2)</f>
        <v>0</v>
      </c>
      <c r="V121">
        <f>ROUND((157/100)*ROUND([81]Source!R183, 2), 2)</f>
        <v>0</v>
      </c>
    </row>
    <row r="122" spans="1:32" ht="15" x14ac:dyDescent="0.25">
      <c r="A122" s="35"/>
      <c r="B122" s="35"/>
      <c r="C122" s="35"/>
      <c r="D122" s="35"/>
      <c r="E122" s="35"/>
      <c r="F122" s="35"/>
      <c r="G122" s="35"/>
      <c r="H122" s="35"/>
      <c r="I122" s="524">
        <f>J121</f>
        <v>25406.720000000001</v>
      </c>
      <c r="J122" s="524"/>
      <c r="K122" s="524">
        <f>L121</f>
        <v>101118.75</v>
      </c>
      <c r="L122" s="524"/>
      <c r="O122" s="11">
        <f>J121</f>
        <v>25406.720000000001</v>
      </c>
      <c r="P122" s="11">
        <f>L121</f>
        <v>101118.75</v>
      </c>
    </row>
    <row r="124" spans="1:32" ht="30" x14ac:dyDescent="0.25">
      <c r="A124" s="528" t="str">
        <f>CONCATENATE("Итого по разделу: ",IF([81]Source!G231&lt;&gt;"Новый раздел", [81]Source!G231,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  <c r="B124" s="528"/>
      <c r="C124" s="528"/>
      <c r="D124" s="528"/>
      <c r="E124" s="528"/>
      <c r="F124" s="528"/>
      <c r="G124" s="528"/>
      <c r="H124" s="528"/>
      <c r="I124" s="526">
        <f>SUM(O20:O123)</f>
        <v>204725.95</v>
      </c>
      <c r="J124" s="527"/>
      <c r="K124" s="526">
        <f>SUM(P20:P123)</f>
        <v>933026.9</v>
      </c>
      <c r="L124" s="527"/>
      <c r="AF124" s="26" t="str">
        <f>CONCATENATE("Итого по разделу: ",IF([81]Source!G231&lt;&gt;"Новый раздел", [81]Source!G231,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</row>
    <row r="125" spans="1:32" hidden="1" x14ac:dyDescent="0.2">
      <c r="A125" t="s">
        <v>48</v>
      </c>
      <c r="J125">
        <f>SUM(W20:W124)</f>
        <v>0</v>
      </c>
      <c r="K125">
        <f>SUM(X20:X124)</f>
        <v>0</v>
      </c>
    </row>
    <row r="126" spans="1:32" hidden="1" x14ac:dyDescent="0.2">
      <c r="A126" t="s">
        <v>49</v>
      </c>
      <c r="J126">
        <f>SUM(Y20:Y125)</f>
        <v>0</v>
      </c>
      <c r="K126">
        <f>SUM(Z20:Z125)</f>
        <v>0</v>
      </c>
    </row>
    <row r="128" spans="1:32" ht="15" x14ac:dyDescent="0.25">
      <c r="A128" s="528" t="str">
        <f>CONCATENATE("Итого по локальной смете: ",IF([81]Source!G414&lt;&gt;"Новая локальная смета", [81]Source!G414, ""))</f>
        <v xml:space="preserve">Итого по локальной смете: </v>
      </c>
      <c r="B128" s="528"/>
      <c r="C128" s="528"/>
      <c r="D128" s="528"/>
      <c r="E128" s="528"/>
      <c r="F128" s="528"/>
      <c r="G128" s="528"/>
      <c r="H128" s="528"/>
      <c r="I128" s="526">
        <f>SUM(O19:O127)</f>
        <v>204725.95</v>
      </c>
      <c r="J128" s="527"/>
      <c r="K128" s="526">
        <f>SUM(P19:P127)</f>
        <v>933026.9</v>
      </c>
      <c r="L128" s="527"/>
    </row>
    <row r="129" spans="1:256" hidden="1" x14ac:dyDescent="0.2">
      <c r="A129" t="s">
        <v>48</v>
      </c>
      <c r="J129">
        <f>SUM(W19:W128)</f>
        <v>0</v>
      </c>
      <c r="K129">
        <f>SUM(X19:X128)</f>
        <v>0</v>
      </c>
    </row>
    <row r="130" spans="1:256" hidden="1" x14ac:dyDescent="0.2">
      <c r="A130" t="s">
        <v>49</v>
      </c>
      <c r="J130">
        <f>SUM(Y19:Y129)</f>
        <v>0</v>
      </c>
      <c r="K130">
        <f>SUM(Z19:Z129)</f>
        <v>0</v>
      </c>
    </row>
    <row r="131" spans="1:256" ht="14.25" x14ac:dyDescent="0.2">
      <c r="D131" s="550" t="str">
        <f>[81]Source!H420</f>
        <v>Стоимость материалов (всего)</v>
      </c>
      <c r="E131" s="550"/>
      <c r="F131" s="550"/>
      <c r="G131" s="550"/>
      <c r="H131" s="550"/>
      <c r="I131" s="551">
        <f>[81]Source!F420</f>
        <v>191319.84</v>
      </c>
      <c r="J131" s="551"/>
      <c r="K131" s="551">
        <f>[81]Source!P420</f>
        <v>691386.3</v>
      </c>
      <c r="L131" s="551"/>
    </row>
    <row r="132" spans="1:256" ht="14.25" x14ac:dyDescent="0.2">
      <c r="D132" s="550" t="str">
        <f>[81]Source!H428</f>
        <v>ЗП машинистов</v>
      </c>
      <c r="E132" s="550"/>
      <c r="F132" s="550"/>
      <c r="G132" s="550"/>
      <c r="H132" s="550"/>
      <c r="I132" s="551">
        <f>[81]Source!F428</f>
        <v>82.68</v>
      </c>
      <c r="J132" s="551"/>
      <c r="K132" s="551">
        <f>[81]Source!P428</f>
        <v>1979.14</v>
      </c>
      <c r="L132" s="551"/>
    </row>
    <row r="133" spans="1:256" ht="14.25" x14ac:dyDescent="0.2">
      <c r="D133" s="550" t="str">
        <f>[81]Source!H429</f>
        <v>Основная ЗП рабочих</v>
      </c>
      <c r="E133" s="550"/>
      <c r="F133" s="550"/>
      <c r="G133" s="550"/>
      <c r="H133" s="550"/>
      <c r="I133" s="551">
        <f>[81]Source!F429</f>
        <v>4196.04</v>
      </c>
      <c r="J133" s="551"/>
      <c r="K133" s="551">
        <f>[81]Source!P429</f>
        <v>100453.28</v>
      </c>
      <c r="L133" s="551"/>
    </row>
    <row r="135" spans="1:256" x14ac:dyDescent="0.2">
      <c r="A135" s="74"/>
      <c r="B135" s="74"/>
      <c r="C135" s="74"/>
      <c r="D135" s="543" t="s">
        <v>207</v>
      </c>
      <c r="E135" s="543"/>
      <c r="F135" s="543"/>
      <c r="G135" s="543"/>
      <c r="H135" s="543"/>
      <c r="I135" s="75"/>
      <c r="J135" s="76">
        <v>0</v>
      </c>
      <c r="K135" s="76"/>
      <c r="L135" s="76">
        <v>0</v>
      </c>
      <c r="M135" s="77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  <c r="DS135" s="74"/>
      <c r="DT135" s="74"/>
      <c r="DU135" s="74"/>
      <c r="DV135" s="74"/>
      <c r="DW135" s="74"/>
      <c r="DX135" s="74"/>
      <c r="DY135" s="74"/>
      <c r="DZ135" s="74"/>
      <c r="EA135" s="74"/>
      <c r="EB135" s="74"/>
      <c r="EC135" s="74"/>
      <c r="ED135" s="74"/>
      <c r="EE135" s="74"/>
      <c r="EF135" s="74"/>
      <c r="EG135" s="74"/>
      <c r="EH135" s="74"/>
      <c r="EI135" s="74"/>
      <c r="EJ135" s="74"/>
      <c r="EK135" s="74"/>
      <c r="EL135" s="74"/>
      <c r="EM135" s="74"/>
      <c r="EN135" s="74"/>
      <c r="EO135" s="74"/>
      <c r="EP135" s="74"/>
      <c r="EQ135" s="74"/>
      <c r="ER135" s="74"/>
      <c r="ES135" s="74"/>
      <c r="ET135" s="74"/>
      <c r="EU135" s="74"/>
      <c r="EV135" s="74"/>
      <c r="EW135" s="74"/>
      <c r="EX135" s="74"/>
      <c r="EY135" s="74"/>
      <c r="EZ135" s="74"/>
      <c r="FA135" s="74"/>
      <c r="FB135" s="74"/>
      <c r="FC135" s="74"/>
      <c r="FD135" s="74"/>
      <c r="FE135" s="74"/>
      <c r="FF135" s="74"/>
      <c r="FG135" s="74"/>
      <c r="FH135" s="74"/>
      <c r="FI135" s="74"/>
      <c r="FJ135" s="74"/>
      <c r="FK135" s="74"/>
      <c r="FL135" s="74"/>
      <c r="FM135" s="74"/>
      <c r="FN135" s="74"/>
      <c r="FO135" s="74"/>
      <c r="FP135" s="74"/>
      <c r="FQ135" s="74"/>
      <c r="FR135" s="74"/>
      <c r="FS135" s="74"/>
      <c r="FT135" s="74"/>
      <c r="FU135" s="74"/>
      <c r="FV135" s="74"/>
      <c r="FW135" s="74"/>
      <c r="FX135" s="74"/>
      <c r="FY135" s="74"/>
      <c r="FZ135" s="74"/>
      <c r="GA135" s="74"/>
      <c r="GB135" s="74"/>
      <c r="GC135" s="74"/>
      <c r="GD135" s="74"/>
      <c r="GE135" s="74"/>
      <c r="GF135" s="74"/>
      <c r="GG135" s="74"/>
      <c r="GH135" s="74"/>
      <c r="GI135" s="74"/>
      <c r="GJ135" s="74"/>
      <c r="GK135" s="74"/>
      <c r="GL135" s="74"/>
      <c r="GM135" s="74"/>
      <c r="GN135" s="74"/>
      <c r="GO135" s="74"/>
      <c r="GP135" s="74"/>
      <c r="GQ135" s="74"/>
      <c r="GR135" s="74"/>
      <c r="GS135" s="74"/>
      <c r="GT135" s="74"/>
      <c r="GU135" s="74"/>
      <c r="GV135" s="74"/>
      <c r="GW135" s="74"/>
      <c r="GX135" s="74"/>
      <c r="GY135" s="74"/>
      <c r="GZ135" s="74"/>
      <c r="HA135" s="74"/>
      <c r="HB135" s="74"/>
      <c r="HC135" s="74"/>
      <c r="HD135" s="74"/>
      <c r="HE135" s="74"/>
      <c r="HF135" s="74"/>
      <c r="HG135" s="74"/>
      <c r="HH135" s="74"/>
      <c r="HI135" s="74"/>
      <c r="HJ135" s="74"/>
      <c r="HK135" s="74"/>
      <c r="HL135" s="74"/>
      <c r="HM135" s="74"/>
      <c r="HN135" s="74"/>
      <c r="HO135" s="74"/>
      <c r="HP135" s="74"/>
      <c r="HQ135" s="74"/>
      <c r="HR135" s="74"/>
      <c r="HS135" s="74"/>
      <c r="HT135" s="74"/>
      <c r="HU135" s="74"/>
      <c r="HV135" s="74"/>
      <c r="HW135" s="74"/>
      <c r="HX135" s="74"/>
      <c r="HY135" s="74"/>
      <c r="HZ135" s="74"/>
      <c r="IA135" s="74"/>
      <c r="IB135" s="74"/>
      <c r="IC135" s="74"/>
      <c r="ID135" s="74"/>
      <c r="IE135" s="74"/>
      <c r="IF135" s="74"/>
      <c r="IG135" s="74"/>
      <c r="IH135" s="74"/>
      <c r="II135" s="74"/>
      <c r="IJ135" s="74"/>
      <c r="IK135" s="74"/>
      <c r="IL135" s="74"/>
      <c r="IM135" s="74"/>
      <c r="IN135" s="74"/>
      <c r="IO135" s="74"/>
      <c r="IP135" s="74"/>
      <c r="IQ135" s="74"/>
      <c r="IR135" s="74"/>
      <c r="IS135" s="74"/>
      <c r="IT135" s="74"/>
      <c r="IU135" s="74"/>
      <c r="IV135" s="74"/>
    </row>
    <row r="136" spans="1:256" x14ac:dyDescent="0.2">
      <c r="A136" s="78"/>
      <c r="B136" s="78"/>
      <c r="C136" s="78"/>
      <c r="D136" s="543" t="s">
        <v>208</v>
      </c>
      <c r="E136" s="543"/>
      <c r="F136" s="543"/>
      <c r="G136" s="543"/>
      <c r="H136" s="543"/>
      <c r="I136" s="75"/>
      <c r="J136" s="76">
        <f>I129</f>
        <v>0</v>
      </c>
      <c r="K136" s="79"/>
      <c r="L136" s="76">
        <f>K129</f>
        <v>0</v>
      </c>
      <c r="M136" s="77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  <c r="CT136" s="80"/>
      <c r="CU136" s="80"/>
      <c r="CV136" s="80"/>
      <c r="CW136" s="80"/>
      <c r="CX136" s="80"/>
      <c r="CY136" s="80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  <c r="DR136" s="80"/>
      <c r="DS136" s="80"/>
      <c r="DT136" s="80"/>
      <c r="DU136" s="80"/>
      <c r="DV136" s="80"/>
      <c r="DW136" s="80"/>
      <c r="DX136" s="80"/>
      <c r="DY136" s="80"/>
      <c r="DZ136" s="80"/>
      <c r="EA136" s="80"/>
      <c r="EB136" s="80"/>
      <c r="EC136" s="80"/>
      <c r="ED136" s="80"/>
      <c r="EE136" s="80"/>
      <c r="EF136" s="80"/>
      <c r="EG136" s="80"/>
      <c r="EH136" s="80"/>
      <c r="EI136" s="80"/>
      <c r="EJ136" s="80"/>
      <c r="EK136" s="80"/>
      <c r="EL136" s="80"/>
      <c r="EM136" s="80"/>
      <c r="EN136" s="80"/>
      <c r="EO136" s="80"/>
      <c r="EP136" s="80"/>
      <c r="EQ136" s="80"/>
      <c r="ER136" s="80"/>
      <c r="ES136" s="80"/>
      <c r="ET136" s="80"/>
      <c r="EU136" s="80"/>
      <c r="EV136" s="80"/>
      <c r="EW136" s="80"/>
      <c r="EX136" s="80"/>
      <c r="EY136" s="80"/>
      <c r="EZ136" s="80"/>
      <c r="FA136" s="80"/>
      <c r="FB136" s="80"/>
      <c r="FC136" s="80"/>
      <c r="FD136" s="80"/>
      <c r="FE136" s="80"/>
      <c r="FF136" s="80"/>
      <c r="FG136" s="80"/>
      <c r="FH136" s="80"/>
      <c r="FI136" s="80"/>
      <c r="FJ136" s="80"/>
      <c r="FK136" s="80"/>
      <c r="FL136" s="80"/>
      <c r="FM136" s="80"/>
      <c r="FN136" s="80"/>
      <c r="FO136" s="80"/>
      <c r="FP136" s="80"/>
      <c r="FQ136" s="80"/>
      <c r="FR136" s="80"/>
      <c r="FS136" s="80"/>
      <c r="FT136" s="80"/>
      <c r="FU136" s="80"/>
      <c r="FV136" s="80"/>
      <c r="FW136" s="80"/>
      <c r="FX136" s="80"/>
      <c r="FY136" s="80"/>
      <c r="FZ136" s="80"/>
      <c r="GA136" s="80"/>
      <c r="GB136" s="80"/>
      <c r="GC136" s="80"/>
      <c r="GD136" s="80"/>
      <c r="GE136" s="80"/>
      <c r="GF136" s="80"/>
      <c r="GG136" s="80"/>
      <c r="GH136" s="80"/>
      <c r="GI136" s="80"/>
      <c r="GJ136" s="80"/>
      <c r="GK136" s="80"/>
      <c r="GL136" s="80"/>
      <c r="GM136" s="80"/>
      <c r="GN136" s="80"/>
      <c r="GO136" s="80"/>
      <c r="GP136" s="80"/>
      <c r="GQ136" s="80"/>
      <c r="GR136" s="80"/>
      <c r="GS136" s="80"/>
      <c r="GT136" s="80"/>
      <c r="GU136" s="80"/>
      <c r="GV136" s="80"/>
      <c r="GW136" s="80"/>
      <c r="GX136" s="80"/>
      <c r="GY136" s="80"/>
      <c r="GZ136" s="80"/>
      <c r="HA136" s="80"/>
      <c r="HB136" s="80"/>
      <c r="HC136" s="80"/>
      <c r="HD136" s="80"/>
      <c r="HE136" s="80"/>
      <c r="HF136" s="80"/>
      <c r="HG136" s="80"/>
      <c r="HH136" s="80"/>
      <c r="HI136" s="80"/>
      <c r="HJ136" s="80"/>
      <c r="HK136" s="80"/>
      <c r="HL136" s="80"/>
      <c r="HM136" s="80"/>
      <c r="HN136" s="80"/>
      <c r="HO136" s="80"/>
      <c r="HP136" s="80"/>
      <c r="HQ136" s="80"/>
      <c r="HR136" s="80"/>
      <c r="HS136" s="80"/>
      <c r="HT136" s="80"/>
      <c r="HU136" s="80"/>
      <c r="HV136" s="80"/>
      <c r="HW136" s="80"/>
      <c r="HX136" s="80"/>
      <c r="HY136" s="80"/>
      <c r="HZ136" s="80"/>
      <c r="IA136" s="80"/>
      <c r="IB136" s="80"/>
      <c r="IC136" s="80"/>
      <c r="ID136" s="80"/>
      <c r="IE136" s="80"/>
      <c r="IF136" s="80"/>
      <c r="IG136" s="80"/>
      <c r="IH136" s="80"/>
      <c r="II136" s="80"/>
      <c r="IJ136" s="80"/>
      <c r="IK136" s="80"/>
      <c r="IL136" s="80"/>
      <c r="IM136" s="80"/>
      <c r="IN136" s="80"/>
      <c r="IO136" s="80"/>
      <c r="IP136" s="80"/>
      <c r="IQ136" s="80"/>
      <c r="IR136" s="80"/>
      <c r="IS136" s="80"/>
      <c r="IT136" s="80"/>
      <c r="IU136" s="80"/>
      <c r="IV136" s="80"/>
    </row>
    <row r="137" spans="1:256" x14ac:dyDescent="0.2">
      <c r="A137" s="78"/>
      <c r="B137" s="78"/>
      <c r="C137" s="78"/>
      <c r="D137" s="79" t="s">
        <v>209</v>
      </c>
      <c r="E137" s="79"/>
      <c r="F137" s="79"/>
      <c r="G137" s="79"/>
      <c r="H137" s="79"/>
      <c r="I137" s="79"/>
      <c r="J137" s="76">
        <f>SUM(J135:J136)</f>
        <v>0</v>
      </c>
      <c r="K137" s="79"/>
      <c r="L137" s="76">
        <f>SUM(L135:L136)</f>
        <v>0</v>
      </c>
      <c r="M137" s="77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  <c r="CT137" s="80"/>
      <c r="CU137" s="80"/>
      <c r="CV137" s="80"/>
      <c r="CW137" s="80"/>
      <c r="CX137" s="80"/>
      <c r="CY137" s="80"/>
      <c r="CZ137" s="80"/>
      <c r="DA137" s="80"/>
      <c r="DB137" s="80"/>
      <c r="DC137" s="80"/>
      <c r="DD137" s="80"/>
      <c r="DE137" s="80"/>
      <c r="DF137" s="80"/>
      <c r="DG137" s="80"/>
      <c r="DH137" s="80"/>
      <c r="DI137" s="80"/>
      <c r="DJ137" s="80"/>
      <c r="DK137" s="80"/>
      <c r="DL137" s="80"/>
      <c r="DM137" s="80"/>
      <c r="DN137" s="80"/>
      <c r="DO137" s="80"/>
      <c r="DP137" s="80"/>
      <c r="DQ137" s="80"/>
      <c r="DR137" s="80"/>
      <c r="DS137" s="80"/>
      <c r="DT137" s="80"/>
      <c r="DU137" s="80"/>
      <c r="DV137" s="80"/>
      <c r="DW137" s="80"/>
      <c r="DX137" s="80"/>
      <c r="DY137" s="80"/>
      <c r="DZ137" s="80"/>
      <c r="EA137" s="80"/>
      <c r="EB137" s="80"/>
      <c r="EC137" s="80"/>
      <c r="ED137" s="80"/>
      <c r="EE137" s="80"/>
      <c r="EF137" s="80"/>
      <c r="EG137" s="80"/>
      <c r="EH137" s="80"/>
      <c r="EI137" s="80"/>
      <c r="EJ137" s="80"/>
      <c r="EK137" s="80"/>
      <c r="EL137" s="80"/>
      <c r="EM137" s="80"/>
      <c r="EN137" s="80"/>
      <c r="EO137" s="80"/>
      <c r="EP137" s="80"/>
      <c r="EQ137" s="80"/>
      <c r="ER137" s="80"/>
      <c r="ES137" s="80"/>
      <c r="ET137" s="80"/>
      <c r="EU137" s="80"/>
      <c r="EV137" s="80"/>
      <c r="EW137" s="80"/>
      <c r="EX137" s="80"/>
      <c r="EY137" s="80"/>
      <c r="EZ137" s="80"/>
      <c r="FA137" s="80"/>
      <c r="FB137" s="80"/>
      <c r="FC137" s="80"/>
      <c r="FD137" s="80"/>
      <c r="FE137" s="80"/>
      <c r="FF137" s="80"/>
      <c r="FG137" s="80"/>
      <c r="FH137" s="80"/>
      <c r="FI137" s="80"/>
      <c r="FJ137" s="80"/>
      <c r="FK137" s="80"/>
      <c r="FL137" s="80"/>
      <c r="FM137" s="80"/>
      <c r="FN137" s="80"/>
      <c r="FO137" s="80"/>
      <c r="FP137" s="80"/>
      <c r="FQ137" s="80"/>
      <c r="FR137" s="80"/>
      <c r="FS137" s="80"/>
      <c r="FT137" s="80"/>
      <c r="FU137" s="80"/>
      <c r="FV137" s="80"/>
      <c r="FW137" s="80"/>
      <c r="FX137" s="80"/>
      <c r="FY137" s="80"/>
      <c r="FZ137" s="80"/>
      <c r="GA137" s="80"/>
      <c r="GB137" s="80"/>
      <c r="GC137" s="80"/>
      <c r="GD137" s="80"/>
      <c r="GE137" s="80"/>
      <c r="GF137" s="80"/>
      <c r="GG137" s="80"/>
      <c r="GH137" s="80"/>
      <c r="GI137" s="80"/>
      <c r="GJ137" s="80"/>
      <c r="GK137" s="80"/>
      <c r="GL137" s="80"/>
      <c r="GM137" s="80"/>
      <c r="GN137" s="80"/>
      <c r="GO137" s="80"/>
      <c r="GP137" s="80"/>
      <c r="GQ137" s="80"/>
      <c r="GR137" s="80"/>
      <c r="GS137" s="80"/>
      <c r="GT137" s="80"/>
      <c r="GU137" s="80"/>
      <c r="GV137" s="80"/>
      <c r="GW137" s="80"/>
      <c r="GX137" s="80"/>
      <c r="GY137" s="80"/>
      <c r="GZ137" s="80"/>
      <c r="HA137" s="80"/>
      <c r="HB137" s="80"/>
      <c r="HC137" s="80"/>
      <c r="HD137" s="80"/>
      <c r="HE137" s="80"/>
      <c r="HF137" s="80"/>
      <c r="HG137" s="80"/>
      <c r="HH137" s="80"/>
      <c r="HI137" s="80"/>
      <c r="HJ137" s="80"/>
      <c r="HK137" s="80"/>
      <c r="HL137" s="80"/>
      <c r="HM137" s="80"/>
      <c r="HN137" s="80"/>
      <c r="HO137" s="80"/>
      <c r="HP137" s="80"/>
      <c r="HQ137" s="80"/>
      <c r="HR137" s="80"/>
      <c r="HS137" s="80"/>
      <c r="HT137" s="80"/>
      <c r="HU137" s="80"/>
      <c r="HV137" s="80"/>
      <c r="HW137" s="80"/>
      <c r="HX137" s="80"/>
      <c r="HY137" s="80"/>
      <c r="HZ137" s="80"/>
      <c r="IA137" s="80"/>
      <c r="IB137" s="80"/>
      <c r="IC137" s="80"/>
      <c r="ID137" s="80"/>
      <c r="IE137" s="80"/>
      <c r="IF137" s="80"/>
      <c r="IG137" s="80"/>
      <c r="IH137" s="80"/>
      <c r="II137" s="80"/>
      <c r="IJ137" s="80"/>
      <c r="IK137" s="80"/>
      <c r="IL137" s="80"/>
      <c r="IM137" s="80"/>
      <c r="IN137" s="80"/>
      <c r="IO137" s="80"/>
      <c r="IP137" s="80"/>
      <c r="IQ137" s="80"/>
      <c r="IR137" s="80"/>
      <c r="IS137" s="80"/>
      <c r="IT137" s="80"/>
      <c r="IU137" s="80"/>
      <c r="IV137" s="80"/>
    </row>
    <row r="138" spans="1:256" x14ac:dyDescent="0.2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2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  <c r="DT138" s="81"/>
      <c r="DU138" s="81"/>
      <c r="DV138" s="81"/>
      <c r="DW138" s="81"/>
      <c r="DX138" s="81"/>
      <c r="DY138" s="81"/>
      <c r="DZ138" s="81"/>
      <c r="EA138" s="81"/>
      <c r="EB138" s="81"/>
      <c r="EC138" s="81"/>
      <c r="ED138" s="81"/>
      <c r="EE138" s="81"/>
      <c r="EF138" s="81"/>
      <c r="EG138" s="81"/>
      <c r="EH138" s="81"/>
      <c r="EI138" s="81"/>
      <c r="EJ138" s="81"/>
      <c r="EK138" s="81"/>
      <c r="EL138" s="81"/>
      <c r="EM138" s="81"/>
      <c r="EN138" s="81"/>
      <c r="EO138" s="81"/>
      <c r="EP138" s="81"/>
      <c r="EQ138" s="81"/>
      <c r="ER138" s="81"/>
      <c r="ES138" s="81"/>
      <c r="ET138" s="81"/>
      <c r="EU138" s="81"/>
      <c r="EV138" s="81"/>
      <c r="EW138" s="81"/>
      <c r="EX138" s="81"/>
      <c r="EY138" s="81"/>
      <c r="EZ138" s="81"/>
      <c r="FA138" s="81"/>
      <c r="FB138" s="81"/>
      <c r="FC138" s="81"/>
      <c r="FD138" s="81"/>
      <c r="FE138" s="81"/>
      <c r="FF138" s="81"/>
      <c r="FG138" s="81"/>
      <c r="FH138" s="81"/>
      <c r="FI138" s="81"/>
      <c r="FJ138" s="81"/>
      <c r="FK138" s="81"/>
      <c r="FL138" s="81"/>
      <c r="FM138" s="81"/>
      <c r="FN138" s="81"/>
      <c r="FO138" s="81"/>
      <c r="FP138" s="81"/>
      <c r="FQ138" s="81"/>
      <c r="FR138" s="81"/>
      <c r="FS138" s="81"/>
      <c r="FT138" s="81"/>
      <c r="FU138" s="81"/>
      <c r="FV138" s="81"/>
      <c r="FW138" s="81"/>
      <c r="FX138" s="81"/>
      <c r="FY138" s="81"/>
      <c r="FZ138" s="81"/>
      <c r="GA138" s="81"/>
      <c r="GB138" s="81"/>
      <c r="GC138" s="81"/>
      <c r="GD138" s="81"/>
      <c r="GE138" s="81"/>
      <c r="GF138" s="81"/>
      <c r="GG138" s="81"/>
      <c r="GH138" s="81"/>
      <c r="GI138" s="81"/>
      <c r="GJ138" s="81"/>
      <c r="GK138" s="81"/>
      <c r="GL138" s="81"/>
      <c r="GM138" s="81"/>
      <c r="GN138" s="81"/>
      <c r="GO138" s="81"/>
      <c r="GP138" s="81"/>
      <c r="GQ138" s="81"/>
      <c r="GR138" s="81"/>
      <c r="GS138" s="81"/>
      <c r="GT138" s="81"/>
      <c r="GU138" s="81"/>
      <c r="GV138" s="81"/>
      <c r="GW138" s="81"/>
      <c r="GX138" s="81"/>
      <c r="GY138" s="81"/>
      <c r="GZ138" s="81"/>
      <c r="HA138" s="81"/>
      <c r="HB138" s="81"/>
      <c r="HC138" s="81"/>
      <c r="HD138" s="81"/>
      <c r="HE138" s="81"/>
      <c r="HF138" s="81"/>
      <c r="HG138" s="81"/>
      <c r="HH138" s="81"/>
      <c r="HI138" s="81"/>
      <c r="HJ138" s="81"/>
      <c r="HK138" s="81"/>
      <c r="HL138" s="81"/>
      <c r="HM138" s="81"/>
      <c r="HN138" s="81"/>
      <c r="HO138" s="81"/>
      <c r="HP138" s="81"/>
      <c r="HQ138" s="81"/>
      <c r="HR138" s="81"/>
      <c r="HS138" s="81"/>
      <c r="HT138" s="81"/>
      <c r="HU138" s="81"/>
      <c r="HV138" s="81"/>
      <c r="HW138" s="81"/>
      <c r="HX138" s="81"/>
      <c r="HY138" s="81"/>
      <c r="HZ138" s="81"/>
      <c r="IA138" s="81"/>
      <c r="IB138" s="81"/>
      <c r="IC138" s="81"/>
      <c r="ID138" s="81"/>
      <c r="IE138" s="81"/>
      <c r="IF138" s="81"/>
      <c r="IG138" s="81"/>
      <c r="IH138" s="81"/>
      <c r="II138" s="81"/>
      <c r="IJ138" s="81"/>
      <c r="IK138" s="81"/>
      <c r="IL138" s="81"/>
      <c r="IM138" s="81"/>
      <c r="IN138" s="81"/>
      <c r="IO138" s="81"/>
      <c r="IP138" s="81"/>
      <c r="IQ138" s="81"/>
      <c r="IR138" s="81"/>
      <c r="IS138" s="81"/>
      <c r="IT138" s="81"/>
      <c r="IU138" s="81"/>
      <c r="IV138" s="81"/>
    </row>
    <row r="139" spans="1:256" ht="30" x14ac:dyDescent="0.25">
      <c r="A139" s="78"/>
      <c r="B139" s="78"/>
      <c r="C139" s="78"/>
      <c r="D139" s="83" t="s">
        <v>210</v>
      </c>
      <c r="E139" s="83"/>
      <c r="F139" s="83"/>
      <c r="G139" s="83"/>
      <c r="H139" s="83"/>
      <c r="I139" s="84"/>
      <c r="J139" s="85">
        <f>I128</f>
        <v>204725.95</v>
      </c>
      <c r="K139" s="86"/>
      <c r="L139" s="85">
        <f>K128</f>
        <v>933026.9</v>
      </c>
      <c r="M139" s="82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  <c r="DS139" s="80"/>
      <c r="DT139" s="80"/>
      <c r="DU139" s="80"/>
      <c r="DV139" s="80"/>
      <c r="DW139" s="80"/>
      <c r="DX139" s="80"/>
      <c r="DY139" s="80"/>
      <c r="DZ139" s="80"/>
      <c r="EA139" s="80"/>
      <c r="EB139" s="80"/>
      <c r="EC139" s="80"/>
      <c r="ED139" s="80"/>
      <c r="EE139" s="80"/>
      <c r="EF139" s="80"/>
      <c r="EG139" s="80"/>
      <c r="EH139" s="80"/>
      <c r="EI139" s="80"/>
      <c r="EJ139" s="80"/>
      <c r="EK139" s="80"/>
      <c r="EL139" s="80"/>
      <c r="EM139" s="80"/>
      <c r="EN139" s="80"/>
      <c r="EO139" s="80"/>
      <c r="EP139" s="80"/>
      <c r="EQ139" s="80"/>
      <c r="ER139" s="80"/>
      <c r="ES139" s="80"/>
      <c r="ET139" s="80"/>
      <c r="EU139" s="80"/>
      <c r="EV139" s="80"/>
      <c r="EW139" s="80"/>
      <c r="EX139" s="80"/>
      <c r="EY139" s="80"/>
      <c r="EZ139" s="80"/>
      <c r="FA139" s="80"/>
      <c r="FB139" s="80"/>
      <c r="FC139" s="80"/>
      <c r="FD139" s="80"/>
      <c r="FE139" s="80"/>
      <c r="FF139" s="80"/>
      <c r="FG139" s="80"/>
      <c r="FH139" s="80"/>
      <c r="FI139" s="80"/>
      <c r="FJ139" s="80"/>
      <c r="FK139" s="80"/>
      <c r="FL139" s="80"/>
      <c r="FM139" s="80"/>
      <c r="FN139" s="80"/>
      <c r="FO139" s="80"/>
      <c r="FP139" s="80"/>
      <c r="FQ139" s="80"/>
      <c r="FR139" s="80"/>
      <c r="FS139" s="80"/>
      <c r="FT139" s="80"/>
      <c r="FU139" s="80"/>
      <c r="FV139" s="80"/>
      <c r="FW139" s="80"/>
      <c r="FX139" s="80"/>
      <c r="FY139" s="80"/>
      <c r="FZ139" s="80"/>
      <c r="GA139" s="80"/>
      <c r="GB139" s="80"/>
      <c r="GC139" s="80"/>
      <c r="GD139" s="80"/>
      <c r="GE139" s="80"/>
      <c r="GF139" s="80"/>
      <c r="GG139" s="80"/>
      <c r="GH139" s="80"/>
      <c r="GI139" s="80"/>
      <c r="GJ139" s="80"/>
      <c r="GK139" s="80"/>
      <c r="GL139" s="80"/>
      <c r="GM139" s="80"/>
      <c r="GN139" s="80"/>
      <c r="GO139" s="80"/>
      <c r="GP139" s="80"/>
      <c r="GQ139" s="80"/>
      <c r="GR139" s="80"/>
      <c r="GS139" s="80"/>
      <c r="GT139" s="80"/>
      <c r="GU139" s="80"/>
      <c r="GV139" s="80"/>
      <c r="GW139" s="80"/>
      <c r="GX139" s="80"/>
      <c r="GY139" s="80"/>
      <c r="GZ139" s="80"/>
      <c r="HA139" s="80"/>
      <c r="HB139" s="80"/>
      <c r="HC139" s="80"/>
      <c r="HD139" s="80"/>
      <c r="HE139" s="80"/>
      <c r="HF139" s="80"/>
      <c r="HG139" s="80"/>
      <c r="HH139" s="80"/>
      <c r="HI139" s="80"/>
      <c r="HJ139" s="80"/>
      <c r="HK139" s="80"/>
      <c r="HL139" s="80"/>
      <c r="HM139" s="80"/>
      <c r="HN139" s="80"/>
      <c r="HO139" s="80"/>
      <c r="HP139" s="80"/>
      <c r="HQ139" s="80"/>
      <c r="HR139" s="80"/>
      <c r="HS139" s="80"/>
      <c r="HT139" s="80"/>
      <c r="HU139" s="80"/>
      <c r="HV139" s="80"/>
      <c r="HW139" s="80"/>
      <c r="HX139" s="80"/>
      <c r="HY139" s="80"/>
      <c r="HZ139" s="80"/>
      <c r="IA139" s="80"/>
      <c r="IB139" s="80"/>
      <c r="IC139" s="80"/>
      <c r="ID139" s="80"/>
      <c r="IE139" s="80"/>
      <c r="IF139" s="80"/>
      <c r="IG139" s="80"/>
      <c r="IH139" s="80"/>
      <c r="II139" s="80"/>
      <c r="IJ139" s="80"/>
      <c r="IK139" s="80"/>
      <c r="IL139" s="80"/>
      <c r="IM139" s="80"/>
      <c r="IN139" s="80"/>
      <c r="IO139" s="80"/>
      <c r="IP139" s="80"/>
      <c r="IQ139" s="80"/>
      <c r="IR139" s="80"/>
      <c r="IS139" s="80"/>
      <c r="IT139" s="80"/>
      <c r="IU139" s="80"/>
      <c r="IV139" s="80"/>
    </row>
    <row r="140" spans="1:256" ht="14.25" x14ac:dyDescent="0.2">
      <c r="A140" s="78"/>
      <c r="B140" s="78"/>
      <c r="C140" s="78"/>
      <c r="D140" s="87" t="s">
        <v>211</v>
      </c>
      <c r="E140" s="87"/>
      <c r="F140" s="87"/>
      <c r="G140" s="87"/>
      <c r="H140" s="87"/>
      <c r="I140" s="88"/>
      <c r="J140" s="89">
        <f>J139-J143</f>
        <v>204725.95</v>
      </c>
      <c r="K140" s="90"/>
      <c r="L140" s="89">
        <f>L139-L143</f>
        <v>933026.9</v>
      </c>
      <c r="M140" s="82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  <c r="DS140" s="80"/>
      <c r="DT140" s="80"/>
      <c r="DU140" s="80"/>
      <c r="DV140" s="80"/>
      <c r="DW140" s="80"/>
      <c r="DX140" s="80"/>
      <c r="DY140" s="80"/>
      <c r="DZ140" s="80"/>
      <c r="EA140" s="80"/>
      <c r="EB140" s="80"/>
      <c r="EC140" s="80"/>
      <c r="ED140" s="80"/>
      <c r="EE140" s="80"/>
      <c r="EF140" s="80"/>
      <c r="EG140" s="80"/>
      <c r="EH140" s="80"/>
      <c r="EI140" s="80"/>
      <c r="EJ140" s="80"/>
      <c r="EK140" s="80"/>
      <c r="EL140" s="80"/>
      <c r="EM140" s="80"/>
      <c r="EN140" s="80"/>
      <c r="EO140" s="80"/>
      <c r="EP140" s="80"/>
      <c r="EQ140" s="80"/>
      <c r="ER140" s="80"/>
      <c r="ES140" s="80"/>
      <c r="ET140" s="80"/>
      <c r="EU140" s="80"/>
      <c r="EV140" s="80"/>
      <c r="EW140" s="80"/>
      <c r="EX140" s="80"/>
      <c r="EY140" s="80"/>
      <c r="EZ140" s="80"/>
      <c r="FA140" s="80"/>
      <c r="FB140" s="80"/>
      <c r="FC140" s="80"/>
      <c r="FD140" s="80"/>
      <c r="FE140" s="80"/>
      <c r="FF140" s="80"/>
      <c r="FG140" s="80"/>
      <c r="FH140" s="80"/>
      <c r="FI140" s="80"/>
      <c r="FJ140" s="80"/>
      <c r="FK140" s="80"/>
      <c r="FL140" s="80"/>
      <c r="FM140" s="80"/>
      <c r="FN140" s="80"/>
      <c r="FO140" s="80"/>
      <c r="FP140" s="80"/>
      <c r="FQ140" s="80"/>
      <c r="FR140" s="80"/>
      <c r="FS140" s="80"/>
      <c r="FT140" s="80"/>
      <c r="FU140" s="80"/>
      <c r="FV140" s="80"/>
      <c r="FW140" s="80"/>
      <c r="FX140" s="80"/>
      <c r="FY140" s="80"/>
      <c r="FZ140" s="80"/>
      <c r="GA140" s="80"/>
      <c r="GB140" s="80"/>
      <c r="GC140" s="80"/>
      <c r="GD140" s="80"/>
      <c r="GE140" s="80"/>
      <c r="GF140" s="80"/>
      <c r="GG140" s="80"/>
      <c r="GH140" s="80"/>
      <c r="GI140" s="80"/>
      <c r="GJ140" s="80"/>
      <c r="GK140" s="80"/>
      <c r="GL140" s="80"/>
      <c r="GM140" s="80"/>
      <c r="GN140" s="80"/>
      <c r="GO140" s="80"/>
      <c r="GP140" s="80"/>
      <c r="GQ140" s="80"/>
      <c r="GR140" s="80"/>
      <c r="GS140" s="80"/>
      <c r="GT140" s="80"/>
      <c r="GU140" s="80"/>
      <c r="GV140" s="80"/>
      <c r="GW140" s="80"/>
      <c r="GX140" s="80"/>
      <c r="GY140" s="80"/>
      <c r="GZ140" s="80"/>
      <c r="HA140" s="80"/>
      <c r="HB140" s="80"/>
      <c r="HC140" s="80"/>
      <c r="HD140" s="80"/>
      <c r="HE140" s="80"/>
      <c r="HF140" s="80"/>
      <c r="HG140" s="80"/>
      <c r="HH140" s="80"/>
      <c r="HI140" s="80"/>
      <c r="HJ140" s="80"/>
      <c r="HK140" s="80"/>
      <c r="HL140" s="80"/>
      <c r="HM140" s="80"/>
      <c r="HN140" s="80"/>
      <c r="HO140" s="80"/>
      <c r="HP140" s="80"/>
      <c r="HQ140" s="80"/>
      <c r="HR140" s="80"/>
      <c r="HS140" s="80"/>
      <c r="HT140" s="80"/>
      <c r="HU140" s="80"/>
      <c r="HV140" s="80"/>
      <c r="HW140" s="80"/>
      <c r="HX140" s="80"/>
      <c r="HY140" s="80"/>
      <c r="HZ140" s="80"/>
      <c r="IA140" s="80"/>
      <c r="IB140" s="80"/>
      <c r="IC140" s="80"/>
      <c r="ID140" s="80"/>
      <c r="IE140" s="80"/>
      <c r="IF140" s="80"/>
      <c r="IG140" s="80"/>
      <c r="IH140" s="80"/>
      <c r="II140" s="80"/>
      <c r="IJ140" s="80"/>
      <c r="IK140" s="80"/>
      <c r="IL140" s="80"/>
      <c r="IM140" s="80"/>
      <c r="IN140" s="80"/>
      <c r="IO140" s="80"/>
      <c r="IP140" s="80"/>
      <c r="IQ140" s="80"/>
      <c r="IR140" s="80"/>
      <c r="IS140" s="80"/>
      <c r="IT140" s="80"/>
      <c r="IU140" s="80"/>
      <c r="IV140" s="80"/>
    </row>
    <row r="141" spans="1:256" ht="14.25" x14ac:dyDescent="0.2">
      <c r="A141" s="78"/>
      <c r="B141" s="78"/>
      <c r="C141" s="78"/>
      <c r="D141" s="87" t="s">
        <v>212</v>
      </c>
      <c r="E141" s="87"/>
      <c r="F141" s="87"/>
      <c r="G141" s="87"/>
      <c r="H141" s="87"/>
      <c r="I141" s="88"/>
      <c r="J141" s="89">
        <f>I133+I132</f>
        <v>4278.72</v>
      </c>
      <c r="K141" s="90"/>
      <c r="L141" s="89">
        <f>K132+K133</f>
        <v>102432.42</v>
      </c>
      <c r="M141" s="82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  <c r="DS141" s="80"/>
      <c r="DT141" s="80"/>
      <c r="DU141" s="80"/>
      <c r="DV141" s="80"/>
      <c r="DW141" s="80"/>
      <c r="DX141" s="80"/>
      <c r="DY141" s="80"/>
      <c r="DZ141" s="80"/>
      <c r="EA141" s="80"/>
      <c r="EB141" s="80"/>
      <c r="EC141" s="80"/>
      <c r="ED141" s="80"/>
      <c r="EE141" s="80"/>
      <c r="EF141" s="80"/>
      <c r="EG141" s="80"/>
      <c r="EH141" s="80"/>
      <c r="EI141" s="80"/>
      <c r="EJ141" s="80"/>
      <c r="EK141" s="80"/>
      <c r="EL141" s="80"/>
      <c r="EM141" s="80"/>
      <c r="EN141" s="80"/>
      <c r="EO141" s="80"/>
      <c r="EP141" s="80"/>
      <c r="EQ141" s="80"/>
      <c r="ER141" s="80"/>
      <c r="ES141" s="80"/>
      <c r="ET141" s="80"/>
      <c r="EU141" s="80"/>
      <c r="EV141" s="80"/>
      <c r="EW141" s="80"/>
      <c r="EX141" s="80"/>
      <c r="EY141" s="80"/>
      <c r="EZ141" s="80"/>
      <c r="FA141" s="80"/>
      <c r="FB141" s="80"/>
      <c r="FC141" s="80"/>
      <c r="FD141" s="80"/>
      <c r="FE141" s="80"/>
      <c r="FF141" s="80"/>
      <c r="FG141" s="80"/>
      <c r="FH141" s="80"/>
      <c r="FI141" s="80"/>
      <c r="FJ141" s="80"/>
      <c r="FK141" s="80"/>
      <c r="FL141" s="80"/>
      <c r="FM141" s="80"/>
      <c r="FN141" s="80"/>
      <c r="FO141" s="80"/>
      <c r="FP141" s="80"/>
      <c r="FQ141" s="80"/>
      <c r="FR141" s="80"/>
      <c r="FS141" s="80"/>
      <c r="FT141" s="80"/>
      <c r="FU141" s="80"/>
      <c r="FV141" s="80"/>
      <c r="FW141" s="80"/>
      <c r="FX141" s="80"/>
      <c r="FY141" s="80"/>
      <c r="FZ141" s="80"/>
      <c r="GA141" s="80"/>
      <c r="GB141" s="80"/>
      <c r="GC141" s="80"/>
      <c r="GD141" s="80"/>
      <c r="GE141" s="80"/>
      <c r="GF141" s="80"/>
      <c r="GG141" s="80"/>
      <c r="GH141" s="80"/>
      <c r="GI141" s="80"/>
      <c r="GJ141" s="80"/>
      <c r="GK141" s="80"/>
      <c r="GL141" s="80"/>
      <c r="GM141" s="80"/>
      <c r="GN141" s="80"/>
      <c r="GO141" s="80"/>
      <c r="GP141" s="80"/>
      <c r="GQ141" s="80"/>
      <c r="GR141" s="80"/>
      <c r="GS141" s="80"/>
      <c r="GT141" s="80"/>
      <c r="GU141" s="80"/>
      <c r="GV141" s="80"/>
      <c r="GW141" s="80"/>
      <c r="GX141" s="80"/>
      <c r="GY141" s="80"/>
      <c r="GZ141" s="80"/>
      <c r="HA141" s="80"/>
      <c r="HB141" s="80"/>
      <c r="HC141" s="80"/>
      <c r="HD141" s="80"/>
      <c r="HE141" s="80"/>
      <c r="HF141" s="80"/>
      <c r="HG141" s="80"/>
      <c r="HH141" s="80"/>
      <c r="HI141" s="80"/>
      <c r="HJ141" s="80"/>
      <c r="HK141" s="80"/>
      <c r="HL141" s="80"/>
      <c r="HM141" s="80"/>
      <c r="HN141" s="80"/>
      <c r="HO141" s="80"/>
      <c r="HP141" s="80"/>
      <c r="HQ141" s="80"/>
      <c r="HR141" s="80"/>
      <c r="HS141" s="80"/>
      <c r="HT141" s="80"/>
      <c r="HU141" s="80"/>
      <c r="HV141" s="80"/>
      <c r="HW141" s="80"/>
      <c r="HX141" s="80"/>
      <c r="HY141" s="80"/>
      <c r="HZ141" s="80"/>
      <c r="IA141" s="80"/>
      <c r="IB141" s="80"/>
      <c r="IC141" s="80"/>
      <c r="ID141" s="80"/>
      <c r="IE141" s="80"/>
      <c r="IF141" s="80"/>
      <c r="IG141" s="80"/>
      <c r="IH141" s="80"/>
      <c r="II141" s="80"/>
      <c r="IJ141" s="80"/>
      <c r="IK141" s="80"/>
      <c r="IL141" s="80"/>
      <c r="IM141" s="80"/>
      <c r="IN141" s="80"/>
      <c r="IO141" s="80"/>
      <c r="IP141" s="80"/>
      <c r="IQ141" s="80"/>
      <c r="IR141" s="80"/>
      <c r="IS141" s="80"/>
      <c r="IT141" s="80"/>
      <c r="IU141" s="80"/>
      <c r="IV141" s="80"/>
    </row>
    <row r="142" spans="1:256" ht="14.25" x14ac:dyDescent="0.2">
      <c r="A142" s="78"/>
      <c r="B142" s="78"/>
      <c r="C142" s="78"/>
      <c r="D142" s="87" t="s">
        <v>213</v>
      </c>
      <c r="E142" s="87"/>
      <c r="F142" s="87"/>
      <c r="G142" s="87"/>
      <c r="H142" s="87"/>
      <c r="I142" s="88"/>
      <c r="J142" s="89">
        <f>I131</f>
        <v>191319.84</v>
      </c>
      <c r="K142" s="90"/>
      <c r="L142" s="89">
        <f>K131</f>
        <v>691386.3</v>
      </c>
      <c r="M142" s="82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  <c r="DS142" s="80"/>
      <c r="DT142" s="80"/>
      <c r="DU142" s="80"/>
      <c r="DV142" s="80"/>
      <c r="DW142" s="80"/>
      <c r="DX142" s="80"/>
      <c r="DY142" s="80"/>
      <c r="DZ142" s="80"/>
      <c r="EA142" s="80"/>
      <c r="EB142" s="80"/>
      <c r="EC142" s="80"/>
      <c r="ED142" s="80"/>
      <c r="EE142" s="80"/>
      <c r="EF142" s="80"/>
      <c r="EG142" s="80"/>
      <c r="EH142" s="80"/>
      <c r="EI142" s="80"/>
      <c r="EJ142" s="80"/>
      <c r="EK142" s="80"/>
      <c r="EL142" s="80"/>
      <c r="EM142" s="80"/>
      <c r="EN142" s="80"/>
      <c r="EO142" s="80"/>
      <c r="EP142" s="80"/>
      <c r="EQ142" s="80"/>
      <c r="ER142" s="80"/>
      <c r="ES142" s="80"/>
      <c r="ET142" s="80"/>
      <c r="EU142" s="80"/>
      <c r="EV142" s="80"/>
      <c r="EW142" s="80"/>
      <c r="EX142" s="80"/>
      <c r="EY142" s="80"/>
      <c r="EZ142" s="80"/>
      <c r="FA142" s="80"/>
      <c r="FB142" s="80"/>
      <c r="FC142" s="80"/>
      <c r="FD142" s="80"/>
      <c r="FE142" s="80"/>
      <c r="FF142" s="80"/>
      <c r="FG142" s="80"/>
      <c r="FH142" s="80"/>
      <c r="FI142" s="80"/>
      <c r="FJ142" s="80"/>
      <c r="FK142" s="80"/>
      <c r="FL142" s="80"/>
      <c r="FM142" s="80"/>
      <c r="FN142" s="80"/>
      <c r="FO142" s="80"/>
      <c r="FP142" s="80"/>
      <c r="FQ142" s="80"/>
      <c r="FR142" s="80"/>
      <c r="FS142" s="80"/>
      <c r="FT142" s="80"/>
      <c r="FU142" s="80"/>
      <c r="FV142" s="80"/>
      <c r="FW142" s="80"/>
      <c r="FX142" s="80"/>
      <c r="FY142" s="80"/>
      <c r="FZ142" s="80"/>
      <c r="GA142" s="80"/>
      <c r="GB142" s="80"/>
      <c r="GC142" s="80"/>
      <c r="GD142" s="80"/>
      <c r="GE142" s="80"/>
      <c r="GF142" s="80"/>
      <c r="GG142" s="80"/>
      <c r="GH142" s="80"/>
      <c r="GI142" s="80"/>
      <c r="GJ142" s="80"/>
      <c r="GK142" s="80"/>
      <c r="GL142" s="80"/>
      <c r="GM142" s="80"/>
      <c r="GN142" s="80"/>
      <c r="GO142" s="80"/>
      <c r="GP142" s="80"/>
      <c r="GQ142" s="80"/>
      <c r="GR142" s="80"/>
      <c r="GS142" s="80"/>
      <c r="GT142" s="80"/>
      <c r="GU142" s="80"/>
      <c r="GV142" s="80"/>
      <c r="GW142" s="80"/>
      <c r="GX142" s="80"/>
      <c r="GY142" s="80"/>
      <c r="GZ142" s="80"/>
      <c r="HA142" s="80"/>
      <c r="HB142" s="80"/>
      <c r="HC142" s="80"/>
      <c r="HD142" s="80"/>
      <c r="HE142" s="80"/>
      <c r="HF142" s="80"/>
      <c r="HG142" s="80"/>
      <c r="HH142" s="80"/>
      <c r="HI142" s="80"/>
      <c r="HJ142" s="80"/>
      <c r="HK142" s="80"/>
      <c r="HL142" s="80"/>
      <c r="HM142" s="80"/>
      <c r="HN142" s="80"/>
      <c r="HO142" s="80"/>
      <c r="HP142" s="80"/>
      <c r="HQ142" s="80"/>
      <c r="HR142" s="80"/>
      <c r="HS142" s="80"/>
      <c r="HT142" s="80"/>
      <c r="HU142" s="80"/>
      <c r="HV142" s="80"/>
      <c r="HW142" s="80"/>
      <c r="HX142" s="80"/>
      <c r="HY142" s="80"/>
      <c r="HZ142" s="80"/>
      <c r="IA142" s="80"/>
      <c r="IB142" s="80"/>
      <c r="IC142" s="80"/>
      <c r="ID142" s="80"/>
      <c r="IE142" s="80"/>
      <c r="IF142" s="80"/>
      <c r="IG142" s="80"/>
      <c r="IH142" s="80"/>
      <c r="II142" s="80"/>
      <c r="IJ142" s="80"/>
      <c r="IK142" s="80"/>
      <c r="IL142" s="80"/>
      <c r="IM142" s="80"/>
      <c r="IN142" s="80"/>
      <c r="IO142" s="80"/>
      <c r="IP142" s="80"/>
      <c r="IQ142" s="80"/>
      <c r="IR142" s="80"/>
      <c r="IS142" s="80"/>
      <c r="IT142" s="80"/>
      <c r="IU142" s="80"/>
      <c r="IV142" s="80"/>
    </row>
    <row r="143" spans="1:256" ht="14.25" x14ac:dyDescent="0.2">
      <c r="A143" s="91"/>
      <c r="B143" s="91"/>
      <c r="C143" s="91"/>
      <c r="D143" s="92" t="s">
        <v>214</v>
      </c>
      <c r="E143" s="92"/>
      <c r="F143" s="92"/>
      <c r="G143" s="92"/>
      <c r="H143" s="92"/>
      <c r="I143" s="93"/>
      <c r="J143" s="94">
        <v>0</v>
      </c>
      <c r="K143" s="95"/>
      <c r="L143" s="94">
        <v>0</v>
      </c>
      <c r="M143" s="82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  <c r="BP143" s="96"/>
      <c r="BQ143" s="96"/>
      <c r="BR143" s="96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  <c r="DB143" s="96"/>
      <c r="DC143" s="96"/>
      <c r="DD143" s="96"/>
      <c r="DE143" s="96"/>
      <c r="DF143" s="96"/>
      <c r="DG143" s="96"/>
      <c r="DH143" s="96"/>
      <c r="DI143" s="96"/>
      <c r="DJ143" s="96"/>
      <c r="DK143" s="96"/>
      <c r="DL143" s="96"/>
      <c r="DM143" s="96"/>
      <c r="DN143" s="96"/>
      <c r="DO143" s="96"/>
      <c r="DP143" s="96"/>
      <c r="DQ143" s="96"/>
      <c r="DR143" s="96"/>
      <c r="DS143" s="96"/>
      <c r="DT143" s="96"/>
      <c r="DU143" s="96"/>
      <c r="DV143" s="96"/>
      <c r="DW143" s="96"/>
      <c r="DX143" s="96"/>
      <c r="DY143" s="96"/>
      <c r="DZ143" s="96"/>
      <c r="EA143" s="96"/>
      <c r="EB143" s="96"/>
      <c r="EC143" s="96"/>
      <c r="ED143" s="96"/>
      <c r="EE143" s="96"/>
      <c r="EF143" s="96"/>
      <c r="EG143" s="96"/>
      <c r="EH143" s="96"/>
      <c r="EI143" s="96"/>
      <c r="EJ143" s="96"/>
      <c r="EK143" s="96"/>
      <c r="EL143" s="96"/>
      <c r="EM143" s="96"/>
      <c r="EN143" s="96"/>
      <c r="EO143" s="96"/>
      <c r="EP143" s="96"/>
      <c r="EQ143" s="96"/>
      <c r="ER143" s="96"/>
      <c r="ES143" s="96"/>
      <c r="ET143" s="96"/>
      <c r="EU143" s="96"/>
      <c r="EV143" s="96"/>
      <c r="EW143" s="96"/>
      <c r="EX143" s="96"/>
      <c r="EY143" s="96"/>
      <c r="EZ143" s="96"/>
      <c r="FA143" s="96"/>
      <c r="FB143" s="96"/>
      <c r="FC143" s="96"/>
      <c r="FD143" s="96"/>
      <c r="FE143" s="96"/>
      <c r="FF143" s="96"/>
      <c r="FG143" s="96"/>
      <c r="FH143" s="96"/>
      <c r="FI143" s="96"/>
      <c r="FJ143" s="96"/>
      <c r="FK143" s="96"/>
      <c r="FL143" s="96"/>
      <c r="FM143" s="96"/>
      <c r="FN143" s="96"/>
      <c r="FO143" s="96"/>
      <c r="FP143" s="96"/>
      <c r="FQ143" s="96"/>
      <c r="FR143" s="96"/>
      <c r="FS143" s="96"/>
      <c r="FT143" s="96"/>
      <c r="FU143" s="96"/>
      <c r="FV143" s="96"/>
      <c r="FW143" s="96"/>
      <c r="FX143" s="96"/>
      <c r="FY143" s="96"/>
      <c r="FZ143" s="96"/>
      <c r="GA143" s="96"/>
      <c r="GB143" s="96"/>
      <c r="GC143" s="96"/>
      <c r="GD143" s="96"/>
      <c r="GE143" s="96"/>
      <c r="GF143" s="96"/>
      <c r="GG143" s="96"/>
      <c r="GH143" s="96"/>
      <c r="GI143" s="96"/>
      <c r="GJ143" s="96"/>
      <c r="GK143" s="96"/>
      <c r="GL143" s="96"/>
      <c r="GM143" s="96"/>
      <c r="GN143" s="96"/>
      <c r="GO143" s="96"/>
      <c r="GP143" s="96"/>
      <c r="GQ143" s="96"/>
      <c r="GR143" s="96"/>
      <c r="GS143" s="96"/>
      <c r="GT143" s="96"/>
      <c r="GU143" s="96"/>
      <c r="GV143" s="96"/>
      <c r="GW143" s="96"/>
      <c r="GX143" s="96"/>
      <c r="GY143" s="96"/>
      <c r="GZ143" s="96"/>
      <c r="HA143" s="96"/>
      <c r="HB143" s="96"/>
      <c r="HC143" s="96"/>
      <c r="HD143" s="96"/>
      <c r="HE143" s="96"/>
      <c r="HF143" s="96"/>
      <c r="HG143" s="96"/>
      <c r="HH143" s="96"/>
      <c r="HI143" s="96"/>
      <c r="HJ143" s="96"/>
      <c r="HK143" s="96"/>
      <c r="HL143" s="96"/>
      <c r="HM143" s="96"/>
      <c r="HN143" s="96"/>
      <c r="HO143" s="96"/>
      <c r="HP143" s="96"/>
      <c r="HQ143" s="96"/>
      <c r="HR143" s="96"/>
      <c r="HS143" s="96"/>
      <c r="HT143" s="96"/>
      <c r="HU143" s="96"/>
      <c r="HV143" s="96"/>
      <c r="HW143" s="96"/>
      <c r="HX143" s="96"/>
      <c r="HY143" s="96"/>
      <c r="HZ143" s="96"/>
      <c r="IA143" s="96"/>
      <c r="IB143" s="96"/>
      <c r="IC143" s="96"/>
      <c r="ID143" s="96"/>
      <c r="IE143" s="96"/>
      <c r="IF143" s="96"/>
      <c r="IG143" s="96"/>
      <c r="IH143" s="96"/>
      <c r="II143" s="96"/>
      <c r="IJ143" s="96"/>
      <c r="IK143" s="96"/>
      <c r="IL143" s="96"/>
      <c r="IM143" s="96"/>
      <c r="IN143" s="96"/>
      <c r="IO143" s="96"/>
      <c r="IP143" s="96"/>
      <c r="IQ143" s="96"/>
      <c r="IR143" s="96"/>
      <c r="IS143" s="96"/>
      <c r="IT143" s="96"/>
      <c r="IU143" s="96"/>
      <c r="IV143" s="96"/>
    </row>
    <row r="144" spans="1:256" x14ac:dyDescent="0.2">
      <c r="A144" s="74"/>
      <c r="B144" s="74"/>
      <c r="C144" s="74"/>
      <c r="D144" s="97" t="s">
        <v>215</v>
      </c>
      <c r="E144" s="97"/>
      <c r="F144" s="97"/>
      <c r="G144" s="97"/>
      <c r="H144" s="97"/>
      <c r="I144" s="97"/>
      <c r="J144" s="98">
        <f>J141*15%</f>
        <v>641.80999999999995</v>
      </c>
      <c r="K144" s="98"/>
      <c r="L144" s="98">
        <f>L141*15%</f>
        <v>15364.86</v>
      </c>
      <c r="M144" s="77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  <c r="DS144" s="74"/>
      <c r="DT144" s="74"/>
      <c r="DU144" s="74"/>
      <c r="DV144" s="74"/>
      <c r="DW144" s="74"/>
      <c r="DX144" s="74"/>
      <c r="DY144" s="74"/>
      <c r="DZ144" s="74"/>
      <c r="EA144" s="74"/>
      <c r="EB144" s="74"/>
      <c r="EC144" s="74"/>
      <c r="ED144" s="74"/>
      <c r="EE144" s="74"/>
      <c r="EF144" s="74"/>
      <c r="EG144" s="74"/>
      <c r="EH144" s="74"/>
      <c r="EI144" s="74"/>
      <c r="EJ144" s="74"/>
      <c r="EK144" s="74"/>
      <c r="EL144" s="74"/>
      <c r="EM144" s="74"/>
      <c r="EN144" s="74"/>
      <c r="EO144" s="74"/>
      <c r="EP144" s="74"/>
      <c r="EQ144" s="74"/>
      <c r="ER144" s="74"/>
      <c r="ES144" s="74"/>
      <c r="ET144" s="74"/>
      <c r="EU144" s="74"/>
      <c r="EV144" s="74"/>
      <c r="EW144" s="74"/>
      <c r="EX144" s="74"/>
      <c r="EY144" s="74"/>
      <c r="EZ144" s="74"/>
      <c r="FA144" s="74"/>
      <c r="FB144" s="74"/>
      <c r="FC144" s="74"/>
      <c r="FD144" s="74"/>
      <c r="FE144" s="74"/>
      <c r="FF144" s="74"/>
      <c r="FG144" s="74"/>
      <c r="FH144" s="74"/>
      <c r="FI144" s="74"/>
      <c r="FJ144" s="74"/>
      <c r="FK144" s="74"/>
      <c r="FL144" s="74"/>
      <c r="FM144" s="74"/>
      <c r="FN144" s="74"/>
      <c r="FO144" s="74"/>
      <c r="FP144" s="74"/>
      <c r="FQ144" s="74"/>
      <c r="FR144" s="74"/>
      <c r="FS144" s="74"/>
      <c r="FT144" s="74"/>
      <c r="FU144" s="74"/>
      <c r="FV144" s="74"/>
      <c r="FW144" s="74"/>
      <c r="FX144" s="74"/>
      <c r="FY144" s="74"/>
      <c r="FZ144" s="74"/>
      <c r="GA144" s="74"/>
      <c r="GB144" s="74"/>
      <c r="GC144" s="74"/>
      <c r="GD144" s="74"/>
      <c r="GE144" s="74"/>
      <c r="GF144" s="74"/>
      <c r="GG144" s="74"/>
      <c r="GH144" s="74"/>
      <c r="GI144" s="74"/>
      <c r="GJ144" s="74"/>
      <c r="GK144" s="74"/>
      <c r="GL144" s="74"/>
      <c r="GM144" s="74"/>
      <c r="GN144" s="74"/>
      <c r="GO144" s="74"/>
      <c r="GP144" s="74"/>
      <c r="GQ144" s="74"/>
      <c r="GR144" s="74"/>
      <c r="GS144" s="74"/>
      <c r="GT144" s="74"/>
      <c r="GU144" s="74"/>
      <c r="GV144" s="74"/>
      <c r="GW144" s="74"/>
      <c r="GX144" s="74"/>
      <c r="GY144" s="74"/>
      <c r="GZ144" s="74"/>
      <c r="HA144" s="74"/>
      <c r="HB144" s="74"/>
      <c r="HC144" s="74"/>
      <c r="HD144" s="74"/>
      <c r="HE144" s="74"/>
      <c r="HF144" s="74"/>
      <c r="HG144" s="74"/>
      <c r="HH144" s="74"/>
      <c r="HI144" s="74"/>
      <c r="HJ144" s="74"/>
      <c r="HK144" s="74"/>
      <c r="HL144" s="74"/>
      <c r="HM144" s="74"/>
      <c r="HN144" s="74"/>
      <c r="HO144" s="74"/>
      <c r="HP144" s="74"/>
      <c r="HQ144" s="74"/>
      <c r="HR144" s="74"/>
      <c r="HS144" s="74"/>
      <c r="HT144" s="74"/>
      <c r="HU144" s="74"/>
      <c r="HV144" s="74"/>
      <c r="HW144" s="74"/>
      <c r="HX144" s="74"/>
      <c r="HY144" s="74"/>
      <c r="HZ144" s="74"/>
      <c r="IA144" s="74"/>
      <c r="IB144" s="74"/>
      <c r="IC144" s="74"/>
      <c r="ID144" s="74"/>
      <c r="IE144" s="74"/>
      <c r="IF144" s="74"/>
      <c r="IG144" s="74"/>
      <c r="IH144" s="74"/>
      <c r="II144" s="74"/>
      <c r="IJ144" s="74"/>
      <c r="IK144" s="74"/>
      <c r="IL144" s="74"/>
      <c r="IM144" s="74"/>
      <c r="IN144" s="74"/>
      <c r="IO144" s="74"/>
      <c r="IP144" s="74"/>
      <c r="IQ144" s="74"/>
      <c r="IR144" s="74"/>
      <c r="IS144" s="74"/>
      <c r="IT144" s="74"/>
      <c r="IU144" s="74"/>
      <c r="IV144" s="74"/>
    </row>
    <row r="145" spans="1:256" x14ac:dyDescent="0.2">
      <c r="A145" s="74"/>
      <c r="B145" s="74"/>
      <c r="C145" s="74"/>
      <c r="D145" s="99" t="s">
        <v>216</v>
      </c>
      <c r="E145" s="100"/>
      <c r="F145" s="100"/>
      <c r="G145" s="100"/>
      <c r="H145" s="100"/>
      <c r="I145" s="100"/>
      <c r="J145" s="101">
        <f>J139+J144</f>
        <v>205367.76</v>
      </c>
      <c r="K145" s="101"/>
      <c r="L145" s="101">
        <f>L139+L144</f>
        <v>948391.76</v>
      </c>
      <c r="M145" s="77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  <c r="DS145" s="74"/>
      <c r="DT145" s="74"/>
      <c r="DU145" s="74"/>
      <c r="DV145" s="74"/>
      <c r="DW145" s="74"/>
      <c r="DX145" s="74"/>
      <c r="DY145" s="74"/>
      <c r="DZ145" s="74"/>
      <c r="EA145" s="74"/>
      <c r="EB145" s="74"/>
      <c r="EC145" s="74"/>
      <c r="ED145" s="74"/>
      <c r="EE145" s="74"/>
      <c r="EF145" s="74"/>
      <c r="EG145" s="74"/>
      <c r="EH145" s="74"/>
      <c r="EI145" s="74"/>
      <c r="EJ145" s="74"/>
      <c r="EK145" s="74"/>
      <c r="EL145" s="74"/>
      <c r="EM145" s="74"/>
      <c r="EN145" s="74"/>
      <c r="EO145" s="74"/>
      <c r="EP145" s="74"/>
      <c r="EQ145" s="74"/>
      <c r="ER145" s="74"/>
      <c r="ES145" s="74"/>
      <c r="ET145" s="74"/>
      <c r="EU145" s="74"/>
      <c r="EV145" s="74"/>
      <c r="EW145" s="74"/>
      <c r="EX145" s="74"/>
      <c r="EY145" s="74"/>
      <c r="EZ145" s="74"/>
      <c r="FA145" s="74"/>
      <c r="FB145" s="74"/>
      <c r="FC145" s="74"/>
      <c r="FD145" s="74"/>
      <c r="FE145" s="74"/>
      <c r="FF145" s="74"/>
      <c r="FG145" s="74"/>
      <c r="FH145" s="74"/>
      <c r="FI145" s="74"/>
      <c r="FJ145" s="74"/>
      <c r="FK145" s="74"/>
      <c r="FL145" s="74"/>
      <c r="FM145" s="74"/>
      <c r="FN145" s="74"/>
      <c r="FO145" s="74"/>
      <c r="FP145" s="74"/>
      <c r="FQ145" s="74"/>
      <c r="FR145" s="74"/>
      <c r="FS145" s="74"/>
      <c r="FT145" s="74"/>
      <c r="FU145" s="74"/>
      <c r="FV145" s="74"/>
      <c r="FW145" s="74"/>
      <c r="FX145" s="74"/>
      <c r="FY145" s="74"/>
      <c r="FZ145" s="74"/>
      <c r="GA145" s="74"/>
      <c r="GB145" s="74"/>
      <c r="GC145" s="74"/>
      <c r="GD145" s="74"/>
      <c r="GE145" s="74"/>
      <c r="GF145" s="74"/>
      <c r="GG145" s="74"/>
      <c r="GH145" s="74"/>
      <c r="GI145" s="74"/>
      <c r="GJ145" s="74"/>
      <c r="GK145" s="74"/>
      <c r="GL145" s="74"/>
      <c r="GM145" s="74"/>
      <c r="GN145" s="74"/>
      <c r="GO145" s="74"/>
      <c r="GP145" s="74"/>
      <c r="GQ145" s="74"/>
      <c r="GR145" s="74"/>
      <c r="GS145" s="74"/>
      <c r="GT145" s="74"/>
      <c r="GU145" s="74"/>
      <c r="GV145" s="74"/>
      <c r="GW145" s="74"/>
      <c r="GX145" s="74"/>
      <c r="GY145" s="74"/>
      <c r="GZ145" s="74"/>
      <c r="HA145" s="74"/>
      <c r="HB145" s="74"/>
      <c r="HC145" s="74"/>
      <c r="HD145" s="74"/>
      <c r="HE145" s="74"/>
      <c r="HF145" s="74"/>
      <c r="HG145" s="74"/>
      <c r="HH145" s="74"/>
      <c r="HI145" s="74"/>
      <c r="HJ145" s="74"/>
      <c r="HK145" s="74"/>
      <c r="HL145" s="74"/>
      <c r="HM145" s="74"/>
      <c r="HN145" s="74"/>
      <c r="HO145" s="74"/>
      <c r="HP145" s="74"/>
      <c r="HQ145" s="74"/>
      <c r="HR145" s="74"/>
      <c r="HS145" s="74"/>
      <c r="HT145" s="74"/>
      <c r="HU145" s="74"/>
      <c r="HV145" s="74"/>
      <c r="HW145" s="74"/>
      <c r="HX145" s="74"/>
      <c r="HY145" s="74"/>
      <c r="HZ145" s="74"/>
      <c r="IA145" s="74"/>
      <c r="IB145" s="74"/>
      <c r="IC145" s="74"/>
      <c r="ID145" s="74"/>
      <c r="IE145" s="74"/>
      <c r="IF145" s="74"/>
      <c r="IG145" s="74"/>
      <c r="IH145" s="74"/>
      <c r="II145" s="74"/>
      <c r="IJ145" s="74"/>
      <c r="IK145" s="74"/>
      <c r="IL145" s="74"/>
      <c r="IM145" s="74"/>
      <c r="IN145" s="74"/>
      <c r="IO145" s="74"/>
      <c r="IP145" s="74"/>
      <c r="IQ145" s="74"/>
      <c r="IR145" s="74"/>
      <c r="IS145" s="74"/>
      <c r="IT145" s="74"/>
      <c r="IU145" s="74"/>
      <c r="IV145" s="74"/>
    </row>
    <row r="146" spans="1:256" x14ac:dyDescent="0.2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2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1"/>
      <c r="DE146" s="81"/>
      <c r="DF146" s="81"/>
      <c r="DG146" s="81"/>
      <c r="DH146" s="81"/>
      <c r="DI146" s="81"/>
      <c r="DJ146" s="81"/>
      <c r="DK146" s="81"/>
      <c r="DL146" s="81"/>
      <c r="DM146" s="81"/>
      <c r="DN146" s="81"/>
      <c r="DO146" s="81"/>
      <c r="DP146" s="81"/>
      <c r="DQ146" s="81"/>
      <c r="DR146" s="81"/>
      <c r="DS146" s="81"/>
      <c r="DT146" s="81"/>
      <c r="DU146" s="81"/>
      <c r="DV146" s="81"/>
      <c r="DW146" s="81"/>
      <c r="DX146" s="81"/>
      <c r="DY146" s="81"/>
      <c r="DZ146" s="81"/>
      <c r="EA146" s="81"/>
      <c r="EB146" s="81"/>
      <c r="EC146" s="81"/>
      <c r="ED146" s="81"/>
      <c r="EE146" s="81"/>
      <c r="EF146" s="81"/>
      <c r="EG146" s="81"/>
      <c r="EH146" s="81"/>
      <c r="EI146" s="81"/>
      <c r="EJ146" s="81"/>
      <c r="EK146" s="81"/>
      <c r="EL146" s="81"/>
      <c r="EM146" s="81"/>
      <c r="EN146" s="81"/>
      <c r="EO146" s="81"/>
      <c r="EP146" s="81"/>
      <c r="EQ146" s="81"/>
      <c r="ER146" s="81"/>
      <c r="ES146" s="81"/>
      <c r="ET146" s="81"/>
      <c r="EU146" s="81"/>
      <c r="EV146" s="81"/>
      <c r="EW146" s="81"/>
      <c r="EX146" s="81"/>
      <c r="EY146" s="81"/>
      <c r="EZ146" s="81"/>
      <c r="FA146" s="81"/>
      <c r="FB146" s="81"/>
      <c r="FC146" s="81"/>
      <c r="FD146" s="81"/>
      <c r="FE146" s="81"/>
      <c r="FF146" s="81"/>
      <c r="FG146" s="81"/>
      <c r="FH146" s="81"/>
      <c r="FI146" s="81"/>
      <c r="FJ146" s="81"/>
      <c r="FK146" s="81"/>
      <c r="FL146" s="81"/>
      <c r="FM146" s="81"/>
      <c r="FN146" s="81"/>
      <c r="FO146" s="81"/>
      <c r="FP146" s="81"/>
      <c r="FQ146" s="81"/>
      <c r="FR146" s="81"/>
      <c r="FS146" s="81"/>
      <c r="FT146" s="81"/>
      <c r="FU146" s="81"/>
      <c r="FV146" s="81"/>
      <c r="FW146" s="81"/>
      <c r="FX146" s="81"/>
      <c r="FY146" s="81"/>
      <c r="FZ146" s="81"/>
      <c r="GA146" s="81"/>
      <c r="GB146" s="81"/>
      <c r="GC146" s="81"/>
      <c r="GD146" s="81"/>
      <c r="GE146" s="81"/>
      <c r="GF146" s="81"/>
      <c r="GG146" s="81"/>
      <c r="GH146" s="81"/>
      <c r="GI146" s="81"/>
      <c r="GJ146" s="81"/>
      <c r="GK146" s="81"/>
      <c r="GL146" s="81"/>
      <c r="GM146" s="81"/>
      <c r="GN146" s="81"/>
      <c r="GO146" s="81"/>
      <c r="GP146" s="81"/>
      <c r="GQ146" s="81"/>
      <c r="GR146" s="81"/>
      <c r="GS146" s="81"/>
      <c r="GT146" s="81"/>
      <c r="GU146" s="81"/>
      <c r="GV146" s="81"/>
      <c r="GW146" s="81"/>
      <c r="GX146" s="81"/>
      <c r="GY146" s="81"/>
      <c r="GZ146" s="81"/>
      <c r="HA146" s="81"/>
      <c r="HB146" s="81"/>
      <c r="HC146" s="81"/>
      <c r="HD146" s="81"/>
      <c r="HE146" s="81"/>
      <c r="HF146" s="81"/>
      <c r="HG146" s="81"/>
      <c r="HH146" s="81"/>
      <c r="HI146" s="81"/>
      <c r="HJ146" s="81"/>
      <c r="HK146" s="81"/>
      <c r="HL146" s="81"/>
      <c r="HM146" s="81"/>
      <c r="HN146" s="81"/>
      <c r="HO146" s="81"/>
      <c r="HP146" s="81"/>
      <c r="HQ146" s="81"/>
      <c r="HR146" s="81"/>
      <c r="HS146" s="81"/>
      <c r="HT146" s="81"/>
      <c r="HU146" s="81"/>
      <c r="HV146" s="81"/>
      <c r="HW146" s="81"/>
      <c r="HX146" s="81"/>
      <c r="HY146" s="81"/>
      <c r="HZ146" s="81"/>
      <c r="IA146" s="81"/>
      <c r="IB146" s="81"/>
      <c r="IC146" s="81"/>
      <c r="ID146" s="81"/>
      <c r="IE146" s="81"/>
      <c r="IF146" s="81"/>
      <c r="IG146" s="81"/>
      <c r="IH146" s="81"/>
      <c r="II146" s="81"/>
      <c r="IJ146" s="81"/>
      <c r="IK146" s="81"/>
      <c r="IL146" s="81"/>
      <c r="IM146" s="81"/>
      <c r="IN146" s="81"/>
      <c r="IO146" s="81"/>
      <c r="IP146" s="81"/>
      <c r="IQ146" s="81"/>
      <c r="IR146" s="81"/>
      <c r="IS146" s="81"/>
      <c r="IT146" s="81"/>
      <c r="IU146" s="81"/>
      <c r="IV146" s="81"/>
    </row>
    <row r="147" spans="1:256" x14ac:dyDescent="0.2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2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1"/>
      <c r="DE147" s="81"/>
      <c r="DF147" s="81"/>
      <c r="DG147" s="81"/>
      <c r="DH147" s="81"/>
      <c r="DI147" s="81"/>
      <c r="DJ147" s="81"/>
      <c r="DK147" s="81"/>
      <c r="DL147" s="81"/>
      <c r="DM147" s="81"/>
      <c r="DN147" s="81"/>
      <c r="DO147" s="81"/>
      <c r="DP147" s="81"/>
      <c r="DQ147" s="81"/>
      <c r="DR147" s="81"/>
      <c r="DS147" s="81"/>
      <c r="DT147" s="81"/>
      <c r="DU147" s="81"/>
      <c r="DV147" s="81"/>
      <c r="DW147" s="81"/>
      <c r="DX147" s="81"/>
      <c r="DY147" s="81"/>
      <c r="DZ147" s="81"/>
      <c r="EA147" s="81"/>
      <c r="EB147" s="81"/>
      <c r="EC147" s="81"/>
      <c r="ED147" s="81"/>
      <c r="EE147" s="81"/>
      <c r="EF147" s="81"/>
      <c r="EG147" s="81"/>
      <c r="EH147" s="81"/>
      <c r="EI147" s="81"/>
      <c r="EJ147" s="81"/>
      <c r="EK147" s="81"/>
      <c r="EL147" s="81"/>
      <c r="EM147" s="81"/>
      <c r="EN147" s="81"/>
      <c r="EO147" s="81"/>
      <c r="EP147" s="81"/>
      <c r="EQ147" s="81"/>
      <c r="ER147" s="81"/>
      <c r="ES147" s="81"/>
      <c r="ET147" s="81"/>
      <c r="EU147" s="81"/>
      <c r="EV147" s="81"/>
      <c r="EW147" s="81"/>
      <c r="EX147" s="81"/>
      <c r="EY147" s="81"/>
      <c r="EZ147" s="81"/>
      <c r="FA147" s="81"/>
      <c r="FB147" s="81"/>
      <c r="FC147" s="81"/>
      <c r="FD147" s="81"/>
      <c r="FE147" s="81"/>
      <c r="FF147" s="81"/>
      <c r="FG147" s="81"/>
      <c r="FH147" s="81"/>
      <c r="FI147" s="81"/>
      <c r="FJ147" s="81"/>
      <c r="FK147" s="81"/>
      <c r="FL147" s="81"/>
      <c r="FM147" s="81"/>
      <c r="FN147" s="81"/>
      <c r="FO147" s="81"/>
      <c r="FP147" s="81"/>
      <c r="FQ147" s="81"/>
      <c r="FR147" s="81"/>
      <c r="FS147" s="81"/>
      <c r="FT147" s="81"/>
      <c r="FU147" s="81"/>
      <c r="FV147" s="81"/>
      <c r="FW147" s="81"/>
      <c r="FX147" s="81"/>
      <c r="FY147" s="81"/>
      <c r="FZ147" s="81"/>
      <c r="GA147" s="81"/>
      <c r="GB147" s="81"/>
      <c r="GC147" s="81"/>
      <c r="GD147" s="81"/>
      <c r="GE147" s="81"/>
      <c r="GF147" s="81"/>
      <c r="GG147" s="81"/>
      <c r="GH147" s="81"/>
      <c r="GI147" s="81"/>
      <c r="GJ147" s="81"/>
      <c r="GK147" s="81"/>
      <c r="GL147" s="81"/>
      <c r="GM147" s="81"/>
      <c r="GN147" s="81"/>
      <c r="GO147" s="81"/>
      <c r="GP147" s="81"/>
      <c r="GQ147" s="81"/>
      <c r="GR147" s="81"/>
      <c r="GS147" s="81"/>
      <c r="GT147" s="81"/>
      <c r="GU147" s="81"/>
      <c r="GV147" s="81"/>
      <c r="GW147" s="81"/>
      <c r="GX147" s="81"/>
      <c r="GY147" s="81"/>
      <c r="GZ147" s="81"/>
      <c r="HA147" s="81"/>
      <c r="HB147" s="81"/>
      <c r="HC147" s="81"/>
      <c r="HD147" s="81"/>
      <c r="HE147" s="81"/>
      <c r="HF147" s="81"/>
      <c r="HG147" s="81"/>
      <c r="HH147" s="81"/>
      <c r="HI147" s="81"/>
      <c r="HJ147" s="81"/>
      <c r="HK147" s="81"/>
      <c r="HL147" s="81"/>
      <c r="HM147" s="81"/>
      <c r="HN147" s="81"/>
      <c r="HO147" s="81"/>
      <c r="HP147" s="81"/>
      <c r="HQ147" s="81"/>
      <c r="HR147" s="81"/>
      <c r="HS147" s="81"/>
      <c r="HT147" s="81"/>
      <c r="HU147" s="81"/>
      <c r="HV147" s="81"/>
      <c r="HW147" s="81"/>
      <c r="HX147" s="81"/>
      <c r="HY147" s="81"/>
      <c r="HZ147" s="81"/>
      <c r="IA147" s="81"/>
      <c r="IB147" s="81"/>
      <c r="IC147" s="81"/>
      <c r="ID147" s="81"/>
      <c r="IE147" s="81"/>
      <c r="IF147" s="81"/>
      <c r="IG147" s="81"/>
      <c r="IH147" s="81"/>
      <c r="II147" s="81"/>
      <c r="IJ147" s="81"/>
      <c r="IK147" s="81"/>
      <c r="IL147" s="81"/>
      <c r="IM147" s="81"/>
      <c r="IN147" s="81"/>
      <c r="IO147" s="81"/>
      <c r="IP147" s="81"/>
      <c r="IQ147" s="81"/>
      <c r="IR147" s="81"/>
      <c r="IS147" s="81"/>
      <c r="IT147" s="81"/>
      <c r="IU147" s="81"/>
      <c r="IV147" s="81"/>
    </row>
    <row r="148" spans="1:256" x14ac:dyDescent="0.2">
      <c r="A148" s="75"/>
      <c r="B148" s="75"/>
      <c r="C148" s="75"/>
      <c r="D148" s="99" t="s">
        <v>217</v>
      </c>
      <c r="E148" s="97"/>
      <c r="F148" s="97"/>
      <c r="G148" s="97"/>
      <c r="H148" s="97"/>
      <c r="I148" s="97"/>
      <c r="J148" s="102">
        <f>J139</f>
        <v>204725.95</v>
      </c>
      <c r="K148" s="102"/>
      <c r="L148" s="102">
        <f>L139*0.925</f>
        <v>863049.88</v>
      </c>
      <c r="M148" s="103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4"/>
      <c r="BG148" s="104"/>
      <c r="BH148" s="104"/>
      <c r="BI148" s="104"/>
      <c r="BJ148" s="104"/>
      <c r="BK148" s="104"/>
      <c r="BL148" s="104"/>
      <c r="BM148" s="104"/>
      <c r="BN148" s="104"/>
      <c r="BO148" s="104"/>
      <c r="BP148" s="104"/>
      <c r="BQ148" s="104"/>
      <c r="BR148" s="104"/>
      <c r="BS148" s="104"/>
      <c r="BT148" s="104"/>
      <c r="BU148" s="104"/>
      <c r="BV148" s="104"/>
      <c r="BW148" s="104"/>
      <c r="BX148" s="104"/>
      <c r="BY148" s="104"/>
      <c r="BZ148" s="104"/>
      <c r="CA148" s="104"/>
      <c r="CB148" s="104"/>
      <c r="CC148" s="104"/>
      <c r="CD148" s="104"/>
      <c r="CE148" s="104"/>
      <c r="CF148" s="104"/>
      <c r="CG148" s="104"/>
      <c r="CH148" s="104"/>
      <c r="CI148" s="104"/>
      <c r="CJ148" s="104"/>
      <c r="CK148" s="104"/>
      <c r="CL148" s="104"/>
      <c r="CM148" s="104"/>
      <c r="CN148" s="104"/>
      <c r="CO148" s="104"/>
      <c r="CP148" s="104"/>
      <c r="CQ148" s="104"/>
      <c r="CR148" s="104"/>
      <c r="CS148" s="104"/>
      <c r="CT148" s="104"/>
      <c r="CU148" s="104"/>
      <c r="CV148" s="104"/>
      <c r="CW148" s="104"/>
      <c r="CX148" s="104"/>
      <c r="CY148" s="104"/>
      <c r="CZ148" s="104"/>
      <c r="DA148" s="104"/>
      <c r="DB148" s="104"/>
      <c r="DC148" s="104"/>
      <c r="DD148" s="104"/>
      <c r="DE148" s="104"/>
      <c r="DF148" s="104"/>
      <c r="DG148" s="104"/>
      <c r="DH148" s="104"/>
      <c r="DI148" s="104"/>
      <c r="DJ148" s="104"/>
      <c r="DK148" s="104"/>
      <c r="DL148" s="104"/>
      <c r="DM148" s="104"/>
      <c r="DN148" s="104"/>
      <c r="DO148" s="104"/>
      <c r="DP148" s="104"/>
      <c r="DQ148" s="104"/>
      <c r="DR148" s="104"/>
      <c r="DS148" s="104"/>
      <c r="DT148" s="104"/>
      <c r="DU148" s="104"/>
      <c r="DV148" s="104"/>
      <c r="DW148" s="104"/>
      <c r="DX148" s="104"/>
      <c r="DY148" s="104"/>
      <c r="DZ148" s="104"/>
      <c r="EA148" s="104"/>
      <c r="EB148" s="104"/>
      <c r="EC148" s="104"/>
      <c r="ED148" s="104"/>
      <c r="EE148" s="104"/>
      <c r="EF148" s="104"/>
      <c r="EG148" s="104"/>
      <c r="EH148" s="104"/>
      <c r="EI148" s="104"/>
      <c r="EJ148" s="104"/>
      <c r="EK148" s="104"/>
      <c r="EL148" s="104"/>
      <c r="EM148" s="104"/>
      <c r="EN148" s="104"/>
      <c r="EO148" s="104"/>
      <c r="EP148" s="104"/>
      <c r="EQ148" s="104"/>
      <c r="ER148" s="104"/>
      <c r="ES148" s="104"/>
      <c r="ET148" s="104"/>
      <c r="EU148" s="104"/>
      <c r="EV148" s="104"/>
      <c r="EW148" s="104"/>
      <c r="EX148" s="104"/>
      <c r="EY148" s="104"/>
      <c r="EZ148" s="104"/>
      <c r="FA148" s="104"/>
      <c r="FB148" s="104"/>
      <c r="FC148" s="104"/>
      <c r="FD148" s="104"/>
      <c r="FE148" s="104"/>
      <c r="FF148" s="104"/>
      <c r="FG148" s="104"/>
      <c r="FH148" s="104"/>
      <c r="FI148" s="104"/>
      <c r="FJ148" s="104"/>
      <c r="FK148" s="104"/>
      <c r="FL148" s="104"/>
      <c r="FM148" s="104"/>
      <c r="FN148" s="104"/>
      <c r="FO148" s="104"/>
      <c r="FP148" s="104"/>
      <c r="FQ148" s="104"/>
      <c r="FR148" s="104"/>
      <c r="FS148" s="104"/>
      <c r="FT148" s="104"/>
      <c r="FU148" s="104"/>
      <c r="FV148" s="104"/>
      <c r="FW148" s="104"/>
      <c r="FX148" s="104"/>
      <c r="FY148" s="104"/>
      <c r="FZ148" s="104"/>
      <c r="GA148" s="104"/>
      <c r="GB148" s="104"/>
      <c r="GC148" s="104"/>
      <c r="GD148" s="104"/>
      <c r="GE148" s="104"/>
      <c r="GF148" s="104"/>
      <c r="GG148" s="104"/>
      <c r="GH148" s="104"/>
      <c r="GI148" s="104"/>
      <c r="GJ148" s="104"/>
      <c r="GK148" s="104"/>
      <c r="GL148" s="104"/>
      <c r="GM148" s="104"/>
      <c r="GN148" s="104"/>
      <c r="GO148" s="104"/>
      <c r="GP148" s="104"/>
      <c r="GQ148" s="104"/>
      <c r="GR148" s="104"/>
      <c r="GS148" s="104"/>
      <c r="GT148" s="104"/>
      <c r="GU148" s="104"/>
      <c r="GV148" s="104"/>
      <c r="GW148" s="104"/>
      <c r="GX148" s="104"/>
      <c r="GY148" s="104"/>
      <c r="GZ148" s="104"/>
      <c r="HA148" s="104"/>
      <c r="HB148" s="104"/>
      <c r="HC148" s="104"/>
      <c r="HD148" s="104"/>
      <c r="HE148" s="104"/>
      <c r="HF148" s="104"/>
      <c r="HG148" s="104"/>
      <c r="HH148" s="104"/>
      <c r="HI148" s="104"/>
      <c r="HJ148" s="104"/>
      <c r="HK148" s="104"/>
      <c r="HL148" s="104"/>
      <c r="HM148" s="104"/>
      <c r="HN148" s="104"/>
      <c r="HO148" s="104"/>
      <c r="HP148" s="104"/>
      <c r="HQ148" s="104"/>
      <c r="HR148" s="104"/>
      <c r="HS148" s="104"/>
      <c r="HT148" s="104"/>
      <c r="HU148" s="104"/>
      <c r="HV148" s="104"/>
      <c r="HW148" s="104"/>
      <c r="HX148" s="104"/>
      <c r="HY148" s="104"/>
      <c r="HZ148" s="104"/>
      <c r="IA148" s="104"/>
      <c r="IB148" s="104"/>
      <c r="IC148" s="104"/>
      <c r="ID148" s="104"/>
      <c r="IE148" s="104"/>
      <c r="IF148" s="104"/>
      <c r="IG148" s="104"/>
      <c r="IH148" s="104"/>
      <c r="II148" s="104"/>
      <c r="IJ148" s="104"/>
      <c r="IK148" s="104"/>
      <c r="IL148" s="104"/>
      <c r="IM148" s="104"/>
      <c r="IN148" s="104"/>
      <c r="IO148" s="104"/>
      <c r="IP148" s="104"/>
      <c r="IQ148" s="104"/>
      <c r="IR148" s="104"/>
      <c r="IS148" s="104"/>
      <c r="IT148" s="104"/>
      <c r="IU148" s="104"/>
      <c r="IV148" s="104"/>
    </row>
    <row r="149" spans="1:256" x14ac:dyDescent="0.2">
      <c r="A149" s="75"/>
      <c r="B149" s="75"/>
      <c r="C149" s="75"/>
      <c r="D149" s="97" t="s">
        <v>211</v>
      </c>
      <c r="E149" s="97"/>
      <c r="F149" s="97"/>
      <c r="G149" s="97"/>
      <c r="H149" s="97"/>
      <c r="I149" s="97"/>
      <c r="J149" s="98">
        <f>J148</f>
        <v>204725.95</v>
      </c>
      <c r="K149" s="98"/>
      <c r="L149" s="98">
        <f>L148</f>
        <v>863049.88</v>
      </c>
      <c r="M149" s="103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4"/>
      <c r="BG149" s="104"/>
      <c r="BH149" s="104"/>
      <c r="BI149" s="104"/>
      <c r="BJ149" s="104"/>
      <c r="BK149" s="104"/>
      <c r="BL149" s="104"/>
      <c r="BM149" s="104"/>
      <c r="BN149" s="104"/>
      <c r="BO149" s="104"/>
      <c r="BP149" s="104"/>
      <c r="BQ149" s="104"/>
      <c r="BR149" s="104"/>
      <c r="BS149" s="104"/>
      <c r="BT149" s="104"/>
      <c r="BU149" s="104"/>
      <c r="BV149" s="104"/>
      <c r="BW149" s="104"/>
      <c r="BX149" s="104"/>
      <c r="BY149" s="104"/>
      <c r="BZ149" s="104"/>
      <c r="CA149" s="104"/>
      <c r="CB149" s="104"/>
      <c r="CC149" s="104"/>
      <c r="CD149" s="104"/>
      <c r="CE149" s="104"/>
      <c r="CF149" s="104"/>
      <c r="CG149" s="104"/>
      <c r="CH149" s="104"/>
      <c r="CI149" s="104"/>
      <c r="CJ149" s="104"/>
      <c r="CK149" s="104"/>
      <c r="CL149" s="104"/>
      <c r="CM149" s="104"/>
      <c r="CN149" s="104"/>
      <c r="CO149" s="104"/>
      <c r="CP149" s="104"/>
      <c r="CQ149" s="104"/>
      <c r="CR149" s="104"/>
      <c r="CS149" s="104"/>
      <c r="CT149" s="104"/>
      <c r="CU149" s="104"/>
      <c r="CV149" s="104"/>
      <c r="CW149" s="104"/>
      <c r="CX149" s="104"/>
      <c r="CY149" s="104"/>
      <c r="CZ149" s="104"/>
      <c r="DA149" s="104"/>
      <c r="DB149" s="104"/>
      <c r="DC149" s="104"/>
      <c r="DD149" s="104"/>
      <c r="DE149" s="104"/>
      <c r="DF149" s="104"/>
      <c r="DG149" s="104"/>
      <c r="DH149" s="104"/>
      <c r="DI149" s="104"/>
      <c r="DJ149" s="104"/>
      <c r="DK149" s="104"/>
      <c r="DL149" s="104"/>
      <c r="DM149" s="104"/>
      <c r="DN149" s="104"/>
      <c r="DO149" s="104"/>
      <c r="DP149" s="104"/>
      <c r="DQ149" s="104"/>
      <c r="DR149" s="104"/>
      <c r="DS149" s="104"/>
      <c r="DT149" s="104"/>
      <c r="DU149" s="104"/>
      <c r="DV149" s="104"/>
      <c r="DW149" s="104"/>
      <c r="DX149" s="104"/>
      <c r="DY149" s="104"/>
      <c r="DZ149" s="104"/>
      <c r="EA149" s="104"/>
      <c r="EB149" s="104"/>
      <c r="EC149" s="104"/>
      <c r="ED149" s="104"/>
      <c r="EE149" s="104"/>
      <c r="EF149" s="104"/>
      <c r="EG149" s="104"/>
      <c r="EH149" s="104"/>
      <c r="EI149" s="104"/>
      <c r="EJ149" s="104"/>
      <c r="EK149" s="104"/>
      <c r="EL149" s="104"/>
      <c r="EM149" s="104"/>
      <c r="EN149" s="104"/>
      <c r="EO149" s="104"/>
      <c r="EP149" s="104"/>
      <c r="EQ149" s="104"/>
      <c r="ER149" s="104"/>
      <c r="ES149" s="104"/>
      <c r="ET149" s="104"/>
      <c r="EU149" s="104"/>
      <c r="EV149" s="104"/>
      <c r="EW149" s="104"/>
      <c r="EX149" s="104"/>
      <c r="EY149" s="104"/>
      <c r="EZ149" s="104"/>
      <c r="FA149" s="104"/>
      <c r="FB149" s="104"/>
      <c r="FC149" s="104"/>
      <c r="FD149" s="104"/>
      <c r="FE149" s="104"/>
      <c r="FF149" s="104"/>
      <c r="FG149" s="104"/>
      <c r="FH149" s="104"/>
      <c r="FI149" s="104"/>
      <c r="FJ149" s="104"/>
      <c r="FK149" s="104"/>
      <c r="FL149" s="104"/>
      <c r="FM149" s="104"/>
      <c r="FN149" s="104"/>
      <c r="FO149" s="104"/>
      <c r="FP149" s="104"/>
      <c r="FQ149" s="104"/>
      <c r="FR149" s="104"/>
      <c r="FS149" s="104"/>
      <c r="FT149" s="104"/>
      <c r="FU149" s="104"/>
      <c r="FV149" s="104"/>
      <c r="FW149" s="104"/>
      <c r="FX149" s="104"/>
      <c r="FY149" s="104"/>
      <c r="FZ149" s="104"/>
      <c r="GA149" s="104"/>
      <c r="GB149" s="104"/>
      <c r="GC149" s="104"/>
      <c r="GD149" s="104"/>
      <c r="GE149" s="104"/>
      <c r="GF149" s="104"/>
      <c r="GG149" s="104"/>
      <c r="GH149" s="104"/>
      <c r="GI149" s="104"/>
      <c r="GJ149" s="104"/>
      <c r="GK149" s="104"/>
      <c r="GL149" s="104"/>
      <c r="GM149" s="104"/>
      <c r="GN149" s="104"/>
      <c r="GO149" s="104"/>
      <c r="GP149" s="104"/>
      <c r="GQ149" s="104"/>
      <c r="GR149" s="104"/>
      <c r="GS149" s="104"/>
      <c r="GT149" s="104"/>
      <c r="GU149" s="104"/>
      <c r="GV149" s="104"/>
      <c r="GW149" s="104"/>
      <c r="GX149" s="104"/>
      <c r="GY149" s="104"/>
      <c r="GZ149" s="104"/>
      <c r="HA149" s="104"/>
      <c r="HB149" s="104"/>
      <c r="HC149" s="104"/>
      <c r="HD149" s="104"/>
      <c r="HE149" s="104"/>
      <c r="HF149" s="104"/>
      <c r="HG149" s="104"/>
      <c r="HH149" s="104"/>
      <c r="HI149" s="104"/>
      <c r="HJ149" s="104"/>
      <c r="HK149" s="104"/>
      <c r="HL149" s="104"/>
      <c r="HM149" s="104"/>
      <c r="HN149" s="104"/>
      <c r="HO149" s="104"/>
      <c r="HP149" s="104"/>
      <c r="HQ149" s="104"/>
      <c r="HR149" s="104"/>
      <c r="HS149" s="104"/>
      <c r="HT149" s="104"/>
      <c r="HU149" s="104"/>
      <c r="HV149" s="104"/>
      <c r="HW149" s="104"/>
      <c r="HX149" s="104"/>
      <c r="HY149" s="104"/>
      <c r="HZ149" s="104"/>
      <c r="IA149" s="104"/>
      <c r="IB149" s="104"/>
      <c r="IC149" s="104"/>
      <c r="ID149" s="104"/>
      <c r="IE149" s="104"/>
      <c r="IF149" s="104"/>
      <c r="IG149" s="104"/>
      <c r="IH149" s="104"/>
      <c r="II149" s="104"/>
      <c r="IJ149" s="104"/>
      <c r="IK149" s="104"/>
      <c r="IL149" s="104"/>
      <c r="IM149" s="104"/>
      <c r="IN149" s="104"/>
      <c r="IO149" s="104"/>
      <c r="IP149" s="104"/>
      <c r="IQ149" s="104"/>
      <c r="IR149" s="104"/>
      <c r="IS149" s="104"/>
      <c r="IT149" s="104"/>
      <c r="IU149" s="104"/>
      <c r="IV149" s="104"/>
    </row>
    <row r="150" spans="1:256" x14ac:dyDescent="0.2">
      <c r="A150" s="75"/>
      <c r="B150" s="75"/>
      <c r="C150" s="75"/>
      <c r="D150" s="97" t="s">
        <v>212</v>
      </c>
      <c r="E150" s="97"/>
      <c r="F150" s="97"/>
      <c r="G150" s="97"/>
      <c r="H150" s="97"/>
      <c r="I150" s="97"/>
      <c r="J150" s="98">
        <f>J141</f>
        <v>4278.72</v>
      </c>
      <c r="K150" s="98"/>
      <c r="L150" s="98">
        <f>L141*0.925</f>
        <v>94749.99</v>
      </c>
      <c r="M150" s="103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/>
      <c r="BS150" s="104"/>
      <c r="BT150" s="104"/>
      <c r="BU150" s="104"/>
      <c r="BV150" s="104"/>
      <c r="BW150" s="104"/>
      <c r="BX150" s="104"/>
      <c r="BY150" s="104"/>
      <c r="BZ150" s="104"/>
      <c r="CA150" s="104"/>
      <c r="CB150" s="104"/>
      <c r="CC150" s="104"/>
      <c r="CD150" s="104"/>
      <c r="CE150" s="104"/>
      <c r="CF150" s="104"/>
      <c r="CG150" s="104"/>
      <c r="CH150" s="104"/>
      <c r="CI150" s="104"/>
      <c r="CJ150" s="104"/>
      <c r="CK150" s="104"/>
      <c r="CL150" s="104"/>
      <c r="CM150" s="104"/>
      <c r="CN150" s="104"/>
      <c r="CO150" s="104"/>
      <c r="CP150" s="104"/>
      <c r="CQ150" s="104"/>
      <c r="CR150" s="104"/>
      <c r="CS150" s="104"/>
      <c r="CT150" s="104"/>
      <c r="CU150" s="104"/>
      <c r="CV150" s="104"/>
      <c r="CW150" s="104"/>
      <c r="CX150" s="104"/>
      <c r="CY150" s="104"/>
      <c r="CZ150" s="104"/>
      <c r="DA150" s="104"/>
      <c r="DB150" s="104"/>
      <c r="DC150" s="104"/>
      <c r="DD150" s="104"/>
      <c r="DE150" s="104"/>
      <c r="DF150" s="104"/>
      <c r="DG150" s="104"/>
      <c r="DH150" s="104"/>
      <c r="DI150" s="104"/>
      <c r="DJ150" s="104"/>
      <c r="DK150" s="104"/>
      <c r="DL150" s="104"/>
      <c r="DM150" s="104"/>
      <c r="DN150" s="104"/>
      <c r="DO150" s="104"/>
      <c r="DP150" s="104"/>
      <c r="DQ150" s="104"/>
      <c r="DR150" s="104"/>
      <c r="DS150" s="104"/>
      <c r="DT150" s="104"/>
      <c r="DU150" s="104"/>
      <c r="DV150" s="104"/>
      <c r="DW150" s="104"/>
      <c r="DX150" s="104"/>
      <c r="DY150" s="104"/>
      <c r="DZ150" s="104"/>
      <c r="EA150" s="104"/>
      <c r="EB150" s="104"/>
      <c r="EC150" s="104"/>
      <c r="ED150" s="104"/>
      <c r="EE150" s="104"/>
      <c r="EF150" s="104"/>
      <c r="EG150" s="104"/>
      <c r="EH150" s="104"/>
      <c r="EI150" s="104"/>
      <c r="EJ150" s="104"/>
      <c r="EK150" s="104"/>
      <c r="EL150" s="104"/>
      <c r="EM150" s="104"/>
      <c r="EN150" s="104"/>
      <c r="EO150" s="104"/>
      <c r="EP150" s="104"/>
      <c r="EQ150" s="104"/>
      <c r="ER150" s="104"/>
      <c r="ES150" s="104"/>
      <c r="ET150" s="104"/>
      <c r="EU150" s="104"/>
      <c r="EV150" s="104"/>
      <c r="EW150" s="104"/>
      <c r="EX150" s="104"/>
      <c r="EY150" s="104"/>
      <c r="EZ150" s="104"/>
      <c r="FA150" s="104"/>
      <c r="FB150" s="104"/>
      <c r="FC150" s="104"/>
      <c r="FD150" s="104"/>
      <c r="FE150" s="104"/>
      <c r="FF150" s="104"/>
      <c r="FG150" s="104"/>
      <c r="FH150" s="104"/>
      <c r="FI150" s="104"/>
      <c r="FJ150" s="104"/>
      <c r="FK150" s="104"/>
      <c r="FL150" s="104"/>
      <c r="FM150" s="104"/>
      <c r="FN150" s="104"/>
      <c r="FO150" s="104"/>
      <c r="FP150" s="104"/>
      <c r="FQ150" s="104"/>
      <c r="FR150" s="104"/>
      <c r="FS150" s="104"/>
      <c r="FT150" s="104"/>
      <c r="FU150" s="104"/>
      <c r="FV150" s="104"/>
      <c r="FW150" s="104"/>
      <c r="FX150" s="104"/>
      <c r="FY150" s="104"/>
      <c r="FZ150" s="104"/>
      <c r="GA150" s="104"/>
      <c r="GB150" s="104"/>
      <c r="GC150" s="104"/>
      <c r="GD150" s="104"/>
      <c r="GE150" s="104"/>
      <c r="GF150" s="104"/>
      <c r="GG150" s="104"/>
      <c r="GH150" s="104"/>
      <c r="GI150" s="104"/>
      <c r="GJ150" s="104"/>
      <c r="GK150" s="104"/>
      <c r="GL150" s="104"/>
      <c r="GM150" s="104"/>
      <c r="GN150" s="104"/>
      <c r="GO150" s="104"/>
      <c r="GP150" s="104"/>
      <c r="GQ150" s="104"/>
      <c r="GR150" s="104"/>
      <c r="GS150" s="104"/>
      <c r="GT150" s="104"/>
      <c r="GU150" s="104"/>
      <c r="GV150" s="104"/>
      <c r="GW150" s="104"/>
      <c r="GX150" s="104"/>
      <c r="GY150" s="104"/>
      <c r="GZ150" s="104"/>
      <c r="HA150" s="104"/>
      <c r="HB150" s="104"/>
      <c r="HC150" s="104"/>
      <c r="HD150" s="104"/>
      <c r="HE150" s="104"/>
      <c r="HF150" s="104"/>
      <c r="HG150" s="104"/>
      <c r="HH150" s="104"/>
      <c r="HI150" s="104"/>
      <c r="HJ150" s="104"/>
      <c r="HK150" s="104"/>
      <c r="HL150" s="104"/>
      <c r="HM150" s="104"/>
      <c r="HN150" s="104"/>
      <c r="HO150" s="104"/>
      <c r="HP150" s="104"/>
      <c r="HQ150" s="104"/>
      <c r="HR150" s="104"/>
      <c r="HS150" s="104"/>
      <c r="HT150" s="104"/>
      <c r="HU150" s="104"/>
      <c r="HV150" s="104"/>
      <c r="HW150" s="104"/>
      <c r="HX150" s="104"/>
      <c r="HY150" s="104"/>
      <c r="HZ150" s="104"/>
      <c r="IA150" s="104"/>
      <c r="IB150" s="104"/>
      <c r="IC150" s="104"/>
      <c r="ID150" s="104"/>
      <c r="IE150" s="104"/>
      <c r="IF150" s="104"/>
      <c r="IG150" s="104"/>
      <c r="IH150" s="104"/>
      <c r="II150" s="104"/>
      <c r="IJ150" s="104"/>
      <c r="IK150" s="104"/>
      <c r="IL150" s="104"/>
      <c r="IM150" s="104"/>
      <c r="IN150" s="104"/>
      <c r="IO150" s="104"/>
      <c r="IP150" s="104"/>
      <c r="IQ150" s="104"/>
      <c r="IR150" s="104"/>
      <c r="IS150" s="104"/>
      <c r="IT150" s="104"/>
      <c r="IU150" s="104"/>
      <c r="IV150" s="104"/>
    </row>
    <row r="151" spans="1:256" x14ac:dyDescent="0.2">
      <c r="A151" s="75"/>
      <c r="B151" s="75"/>
      <c r="C151" s="75"/>
      <c r="D151" s="97" t="s">
        <v>213</v>
      </c>
      <c r="E151" s="97"/>
      <c r="F151" s="97"/>
      <c r="G151" s="97"/>
      <c r="H151" s="97"/>
      <c r="I151" s="97"/>
      <c r="J151" s="98">
        <f>J142</f>
        <v>191319.84</v>
      </c>
      <c r="K151" s="98"/>
      <c r="L151" s="98">
        <f>L142*0.925</f>
        <v>639532.32999999996</v>
      </c>
      <c r="M151" s="103"/>
    </row>
    <row r="152" spans="1:256" x14ac:dyDescent="0.2">
      <c r="A152" s="75"/>
      <c r="B152" s="75"/>
      <c r="C152" s="75"/>
      <c r="D152" s="105" t="s">
        <v>214</v>
      </c>
      <c r="E152" s="97"/>
      <c r="F152" s="97"/>
      <c r="G152" s="97"/>
      <c r="H152" s="97"/>
      <c r="I152" s="97"/>
      <c r="J152" s="106">
        <v>0</v>
      </c>
      <c r="K152" s="98"/>
      <c r="L152" s="106">
        <v>0</v>
      </c>
      <c r="M152" s="103"/>
    </row>
    <row r="153" spans="1:256" x14ac:dyDescent="0.2">
      <c r="A153" s="75"/>
      <c r="B153" s="75"/>
      <c r="C153" s="75"/>
      <c r="D153" s="97" t="s">
        <v>215</v>
      </c>
      <c r="E153" s="97"/>
      <c r="F153" s="97"/>
      <c r="G153" s="97"/>
      <c r="H153" s="97"/>
      <c r="I153" s="97"/>
      <c r="J153" s="98">
        <f>J150*0.15</f>
        <v>641.80999999999995</v>
      </c>
      <c r="K153" s="98"/>
      <c r="L153" s="98">
        <f>L150*0.15</f>
        <v>14212.5</v>
      </c>
      <c r="M153" s="103"/>
    </row>
    <row r="154" spans="1:256" x14ac:dyDescent="0.2">
      <c r="A154" s="75"/>
      <c r="B154" s="75"/>
      <c r="C154" s="75"/>
      <c r="D154" s="99" t="s">
        <v>218</v>
      </c>
      <c r="E154" s="100"/>
      <c r="F154" s="100"/>
      <c r="G154" s="100"/>
      <c r="H154" s="100"/>
      <c r="I154" s="100"/>
      <c r="J154" s="102">
        <f>J153+J148</f>
        <v>205367.76</v>
      </c>
      <c r="K154" s="100"/>
      <c r="L154" s="102">
        <f>L153+L148</f>
        <v>877262.38</v>
      </c>
      <c r="M154" s="103"/>
    </row>
    <row r="155" spans="1:256" x14ac:dyDescent="0.2">
      <c r="A155" s="75"/>
      <c r="B155" s="75"/>
      <c r="C155" s="75"/>
      <c r="D155" s="107"/>
      <c r="E155" s="107"/>
      <c r="F155" s="107"/>
      <c r="G155" s="107"/>
      <c r="H155" s="107"/>
      <c r="I155" s="107"/>
      <c r="J155" s="107"/>
      <c r="K155" s="107"/>
      <c r="L155" s="107"/>
      <c r="M155" s="103"/>
    </row>
    <row r="156" spans="1:256" x14ac:dyDescent="0.2">
      <c r="A156" s="75"/>
      <c r="B156" s="75"/>
      <c r="C156" s="75"/>
      <c r="D156" s="107"/>
      <c r="E156" s="107"/>
      <c r="F156" s="107"/>
      <c r="G156" s="107"/>
      <c r="H156" s="107"/>
      <c r="I156" s="107"/>
      <c r="J156" s="107"/>
      <c r="K156" s="107"/>
      <c r="L156" s="107"/>
      <c r="M156" s="103"/>
    </row>
    <row r="157" spans="1:256" x14ac:dyDescent="0.2">
      <c r="A157" s="75"/>
      <c r="B157" s="75"/>
      <c r="C157" s="75"/>
      <c r="D157" s="108" t="s">
        <v>219</v>
      </c>
      <c r="E157" s="109"/>
      <c r="F157" s="109"/>
      <c r="G157" s="109"/>
      <c r="H157" s="109"/>
      <c r="I157" s="110"/>
      <c r="J157" s="111">
        <f>J154</f>
        <v>205367.76</v>
      </c>
      <c r="K157" s="112"/>
      <c r="L157" s="111">
        <f>L154</f>
        <v>877262.38</v>
      </c>
      <c r="M157" s="103"/>
    </row>
    <row r="158" spans="1:256" x14ac:dyDescent="0.2">
      <c r="A158" s="75"/>
      <c r="B158" s="75"/>
      <c r="C158" s="75"/>
      <c r="D158" s="113" t="s">
        <v>220</v>
      </c>
      <c r="E158" s="114"/>
      <c r="F158" s="114"/>
      <c r="G158" s="114"/>
      <c r="H158" s="114"/>
      <c r="I158" s="115"/>
      <c r="J158" s="116">
        <f>J149</f>
        <v>204725.95</v>
      </c>
      <c r="K158" s="117"/>
      <c r="L158" s="116">
        <f>L149</f>
        <v>863049.88</v>
      </c>
      <c r="M158" s="103"/>
    </row>
    <row r="159" spans="1:256" x14ac:dyDescent="0.2">
      <c r="A159" s="75"/>
      <c r="B159" s="75"/>
      <c r="C159" s="75"/>
      <c r="D159" s="113" t="s">
        <v>221</v>
      </c>
      <c r="E159" s="114"/>
      <c r="F159" s="114"/>
      <c r="G159" s="114"/>
      <c r="H159" s="114"/>
      <c r="I159" s="115"/>
      <c r="J159" s="116">
        <f>J153</f>
        <v>641.80999999999995</v>
      </c>
      <c r="K159" s="118"/>
      <c r="L159" s="116">
        <f>L153</f>
        <v>14212.5</v>
      </c>
      <c r="M159" s="103"/>
    </row>
    <row r="160" spans="1:256" x14ac:dyDescent="0.2">
      <c r="A160" s="75"/>
      <c r="B160" s="75"/>
      <c r="C160" s="75"/>
      <c r="D160" s="113" t="s">
        <v>222</v>
      </c>
      <c r="E160" s="114"/>
      <c r="F160" s="114"/>
      <c r="G160" s="114"/>
      <c r="H160" s="114"/>
      <c r="I160" s="115"/>
      <c r="J160" s="116">
        <v>0</v>
      </c>
      <c r="K160" s="116"/>
      <c r="L160" s="116">
        <v>0</v>
      </c>
      <c r="M160" s="103"/>
    </row>
    <row r="161" spans="1:14" x14ac:dyDescent="0.2">
      <c r="A161" s="75"/>
      <c r="B161" s="75"/>
      <c r="C161" s="75"/>
      <c r="D161" s="113" t="s">
        <v>223</v>
      </c>
      <c r="E161" s="114"/>
      <c r="F161" s="114"/>
      <c r="G161" s="114"/>
      <c r="H161" s="114"/>
      <c r="I161" s="115"/>
      <c r="J161" s="119">
        <v>0</v>
      </c>
      <c r="K161" s="119"/>
      <c r="L161" s="119">
        <v>0</v>
      </c>
      <c r="M161" s="103"/>
    </row>
    <row r="165" spans="1:14" x14ac:dyDescent="0.2">
      <c r="A165" s="544" t="s">
        <v>224</v>
      </c>
      <c r="B165" s="544"/>
      <c r="C165" s="544"/>
      <c r="D165" s="544"/>
      <c r="E165" s="544"/>
      <c r="F165" s="544"/>
      <c r="G165" s="544"/>
      <c r="H165" s="544"/>
      <c r="I165" s="544"/>
      <c r="J165" s="120"/>
      <c r="K165" s="545" t="s">
        <v>228</v>
      </c>
      <c r="L165" s="545"/>
      <c r="M165" s="103"/>
      <c r="N165" s="104"/>
    </row>
    <row r="166" spans="1:14" x14ac:dyDescent="0.2">
      <c r="A166" s="107"/>
      <c r="B166" s="107"/>
      <c r="C166" s="107"/>
      <c r="D166" s="546"/>
      <c r="E166" s="546"/>
      <c r="F166" s="107"/>
      <c r="G166" s="107"/>
      <c r="H166" s="547"/>
      <c r="I166" s="547"/>
      <c r="J166" s="547"/>
      <c r="K166" s="547"/>
      <c r="L166" s="547"/>
      <c r="M166" s="103"/>
      <c r="N166" s="104"/>
    </row>
    <row r="167" spans="1:14" x14ac:dyDescent="0.2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2"/>
      <c r="N167" s="123"/>
    </row>
    <row r="168" spans="1:14" x14ac:dyDescent="0.2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2"/>
      <c r="N168" s="123"/>
    </row>
    <row r="169" spans="1:14" x14ac:dyDescent="0.2">
      <c r="A169" s="124" t="s">
        <v>225</v>
      </c>
      <c r="B169" s="124"/>
      <c r="C169" s="124"/>
      <c r="D169" s="124"/>
      <c r="E169" s="124"/>
      <c r="F169" s="124"/>
      <c r="G169" s="124"/>
      <c r="H169" s="124"/>
      <c r="I169" s="124"/>
      <c r="J169" s="545" t="s">
        <v>226</v>
      </c>
      <c r="K169" s="545"/>
      <c r="L169" s="545"/>
      <c r="M169" s="103"/>
      <c r="N169" s="104"/>
    </row>
  </sheetData>
  <mergeCells count="93">
    <mergeCell ref="J169:L169"/>
    <mergeCell ref="D135:H135"/>
    <mergeCell ref="D136:H136"/>
    <mergeCell ref="A165:I165"/>
    <mergeCell ref="K165:L165"/>
    <mergeCell ref="D166:E166"/>
    <mergeCell ref="H166:L166"/>
    <mergeCell ref="A124:H124"/>
    <mergeCell ref="I124:J124"/>
    <mergeCell ref="K124:L124"/>
    <mergeCell ref="A12:L12"/>
    <mergeCell ref="A13:L13"/>
    <mergeCell ref="A14:L14"/>
    <mergeCell ref="A15:L15"/>
    <mergeCell ref="A16:L16"/>
    <mergeCell ref="I120:J120"/>
    <mergeCell ref="K120:L120"/>
    <mergeCell ref="I122:J122"/>
    <mergeCell ref="K122:L122"/>
    <mergeCell ref="A17:L17"/>
    <mergeCell ref="I104:J104"/>
    <mergeCell ref="K104:L104"/>
    <mergeCell ref="I113:J113"/>
    <mergeCell ref="A128:H128"/>
    <mergeCell ref="I128:J128"/>
    <mergeCell ref="K128:L128"/>
    <mergeCell ref="D131:H131"/>
    <mergeCell ref="I131:J131"/>
    <mergeCell ref="K131:L131"/>
    <mergeCell ref="D132:H132"/>
    <mergeCell ref="I132:J132"/>
    <mergeCell ref="K132:L132"/>
    <mergeCell ref="D133:H133"/>
    <mergeCell ref="I133:J133"/>
    <mergeCell ref="K133:L133"/>
    <mergeCell ref="I118:J118"/>
    <mergeCell ref="K118:L118"/>
    <mergeCell ref="I98:J98"/>
    <mergeCell ref="K98:L98"/>
    <mergeCell ref="I100:J100"/>
    <mergeCell ref="K100:L100"/>
    <mergeCell ref="I102:J102"/>
    <mergeCell ref="K102:L102"/>
    <mergeCell ref="I84:J84"/>
    <mergeCell ref="K84:L84"/>
    <mergeCell ref="I93:J93"/>
    <mergeCell ref="K93:L93"/>
    <mergeCell ref="K113:L113"/>
    <mergeCell ref="I78:J78"/>
    <mergeCell ref="K78:L78"/>
    <mergeCell ref="I80:J80"/>
    <mergeCell ref="K80:L80"/>
    <mergeCell ref="I82:J82"/>
    <mergeCell ref="K82:L82"/>
    <mergeCell ref="I69:J69"/>
    <mergeCell ref="K69:L69"/>
    <mergeCell ref="I74:J74"/>
    <mergeCell ref="K74:L74"/>
    <mergeCell ref="I76:J76"/>
    <mergeCell ref="K76:L76"/>
    <mergeCell ref="I54:J54"/>
    <mergeCell ref="K54:L54"/>
    <mergeCell ref="I56:J56"/>
    <mergeCell ref="K56:L56"/>
    <mergeCell ref="I58:J58"/>
    <mergeCell ref="K58:L58"/>
    <mergeCell ref="I37:J37"/>
    <mergeCell ref="K37:L37"/>
    <mergeCell ref="I39:J39"/>
    <mergeCell ref="K39:L39"/>
    <mergeCell ref="I49:J49"/>
    <mergeCell ref="K49:L49"/>
    <mergeCell ref="J5:J9"/>
    <mergeCell ref="K5:K9"/>
    <mergeCell ref="L5:L9"/>
    <mergeCell ref="I35:J35"/>
    <mergeCell ref="K35:L35"/>
    <mergeCell ref="A1:L1"/>
    <mergeCell ref="A2:L2"/>
    <mergeCell ref="A6:A9"/>
    <mergeCell ref="B6:B9"/>
    <mergeCell ref="I30:J30"/>
    <mergeCell ref="K30:L30"/>
    <mergeCell ref="A20:L20"/>
    <mergeCell ref="A4:L4"/>
    <mergeCell ref="A5:B5"/>
    <mergeCell ref="C5:C9"/>
    <mergeCell ref="D5:D9"/>
    <mergeCell ref="E5:E9"/>
    <mergeCell ref="F5:F9"/>
    <mergeCell ref="G5:G9"/>
    <mergeCell ref="H5:H9"/>
    <mergeCell ref="I5:I9"/>
  </mergeCells>
  <pageMargins left="0.39370078740157483" right="0.19685039370078741" top="0.19685039370078741" bottom="0.39370078740157483" header="0.19685039370078741" footer="0.19685039370078741"/>
  <pageSetup paperSize="9" scale="62" firstPageNumber="7" fitToHeight="0" orientation="portrait" useFirstPageNumber="1" r:id="rId1"/>
  <headerFooter>
    <oddHeader>&amp;L&amp;8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6"/>
  <sheetViews>
    <sheetView view="pageBreakPreview" topLeftCell="A31" zoomScale="70" zoomScaleNormal="100" zoomScaleSheetLayoutView="70" workbookViewId="0">
      <selection activeCell="K60" sqref="K60"/>
    </sheetView>
  </sheetViews>
  <sheetFormatPr defaultRowHeight="12.75" x14ac:dyDescent="0.2"/>
  <cols>
    <col min="1" max="2" width="5.7109375" customWidth="1"/>
    <col min="3" max="3" width="11.7109375" customWidth="1"/>
    <col min="4" max="4" width="46.140625" customWidth="1"/>
    <col min="5" max="6" width="11.7109375" customWidth="1"/>
    <col min="7" max="7" width="14.7109375" customWidth="1"/>
    <col min="8" max="8" width="12.7109375" customWidth="1"/>
    <col min="9" max="9" width="10.7109375" customWidth="1"/>
    <col min="10" max="11" width="12.7109375" customWidth="1"/>
    <col min="12" max="12" width="14.5703125" customWidth="1"/>
    <col min="13" max="13" width="21.28515625" bestFit="1" customWidth="1"/>
    <col min="15" max="31" width="0" hidden="1" customWidth="1"/>
    <col min="32" max="32" width="109.7109375" hidden="1" customWidth="1"/>
    <col min="33" max="36" width="0" hidden="1" customWidth="1"/>
  </cols>
  <sheetData>
    <row r="1" spans="1:12" ht="15" x14ac:dyDescent="0.25">
      <c r="A1" s="533" t="s">
        <v>392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1:12" ht="30" customHeight="1" x14ac:dyDescent="0.2">
      <c r="A2" s="534" t="s">
        <v>276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25" x14ac:dyDescent="0.2">
      <c r="A4" s="519" t="s">
        <v>107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ht="14.25" x14ac:dyDescent="0.2">
      <c r="A5" s="520" t="s">
        <v>7</v>
      </c>
      <c r="B5" s="520"/>
      <c r="C5" s="520" t="s">
        <v>8</v>
      </c>
      <c r="D5" s="520" t="s">
        <v>9</v>
      </c>
      <c r="E5" s="520" t="s">
        <v>10</v>
      </c>
      <c r="F5" s="520" t="s">
        <v>11</v>
      </c>
      <c r="G5" s="520" t="s">
        <v>12</v>
      </c>
      <c r="H5" s="521" t="s">
        <v>13</v>
      </c>
      <c r="I5" s="521" t="s">
        <v>14</v>
      </c>
      <c r="J5" s="520" t="s">
        <v>15</v>
      </c>
      <c r="K5" s="520" t="s">
        <v>16</v>
      </c>
      <c r="L5" s="520" t="s">
        <v>17</v>
      </c>
    </row>
    <row r="6" spans="1:12" x14ac:dyDescent="0.2">
      <c r="A6" s="521" t="s">
        <v>18</v>
      </c>
      <c r="B6" s="521" t="s">
        <v>19</v>
      </c>
      <c r="C6" s="520"/>
      <c r="D6" s="520"/>
      <c r="E6" s="520"/>
      <c r="F6" s="520"/>
      <c r="G6" s="520"/>
      <c r="H6" s="522"/>
      <c r="I6" s="522"/>
      <c r="J6" s="520"/>
      <c r="K6" s="520"/>
      <c r="L6" s="520"/>
    </row>
    <row r="7" spans="1:12" x14ac:dyDescent="0.2">
      <c r="A7" s="522"/>
      <c r="B7" s="522"/>
      <c r="C7" s="520"/>
      <c r="D7" s="520"/>
      <c r="E7" s="520"/>
      <c r="F7" s="520"/>
      <c r="G7" s="520"/>
      <c r="H7" s="522"/>
      <c r="I7" s="522"/>
      <c r="J7" s="520"/>
      <c r="K7" s="520"/>
      <c r="L7" s="520"/>
    </row>
    <row r="8" spans="1:12" ht="20.100000000000001" customHeight="1" x14ac:dyDescent="0.2">
      <c r="A8" s="522"/>
      <c r="B8" s="522"/>
      <c r="C8" s="520"/>
      <c r="D8" s="520"/>
      <c r="E8" s="520"/>
      <c r="F8" s="520"/>
      <c r="G8" s="520"/>
      <c r="H8" s="522"/>
      <c r="I8" s="522"/>
      <c r="J8" s="520"/>
      <c r="K8" s="520"/>
      <c r="L8" s="520"/>
    </row>
    <row r="9" spans="1:12" ht="20.100000000000001" customHeight="1" x14ac:dyDescent="0.2">
      <c r="A9" s="523"/>
      <c r="B9" s="523"/>
      <c r="C9" s="520"/>
      <c r="D9" s="520"/>
      <c r="E9" s="520"/>
      <c r="F9" s="520"/>
      <c r="G9" s="520"/>
      <c r="H9" s="523"/>
      <c r="I9" s="523"/>
      <c r="J9" s="520"/>
      <c r="K9" s="520"/>
      <c r="L9" s="520"/>
    </row>
    <row r="10" spans="1:12" ht="14.25" x14ac:dyDescent="0.2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  <c r="J10" s="28">
        <v>10</v>
      </c>
      <c r="K10" s="28">
        <v>11</v>
      </c>
      <c r="L10" s="28">
        <v>12</v>
      </c>
    </row>
    <row r="12" spans="1:12" s="32" customFormat="1" ht="15.75" x14ac:dyDescent="0.25">
      <c r="A12" s="515" t="s">
        <v>57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1:12" s="32" customFormat="1" ht="15.75" x14ac:dyDescent="0.25">
      <c r="A13" s="515" t="s">
        <v>275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1:12" s="32" customFormat="1" ht="15.75" x14ac:dyDescent="0.25">
      <c r="A14" s="515" t="s">
        <v>162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1:12" s="32" customFormat="1" ht="15.75" hidden="1" x14ac:dyDescent="0.25">
      <c r="A15" s="516" t="s">
        <v>60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</row>
    <row r="16" spans="1:12" s="32" customFormat="1" ht="15.75" hidden="1" x14ac:dyDescent="0.2">
      <c r="A16" s="549" t="s">
        <v>61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49"/>
      <c r="L16" s="549"/>
    </row>
    <row r="17" spans="1:22" s="32" customFormat="1" ht="15.75" hidden="1" x14ac:dyDescent="0.2">
      <c r="A17" s="549" t="s">
        <v>62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</row>
    <row r="18" spans="1:22" s="32" customFormat="1" ht="14.25" x14ac:dyDescent="0.2">
      <c r="A18" s="33" t="s">
        <v>63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22" ht="16.5" x14ac:dyDescent="0.25">
      <c r="A19" s="514" t="str">
        <f>CONCATENATE("Раздел: ",IF([82]Source!G62&lt;&gt;"Новый раздел", [82]Source!G62, ""))</f>
        <v>Раздел: Вентиляция</v>
      </c>
      <c r="B19" s="514"/>
      <c r="C19" s="514"/>
      <c r="D19" s="514"/>
      <c r="E19" s="514"/>
      <c r="F19" s="514"/>
      <c r="G19" s="514"/>
      <c r="H19" s="514"/>
      <c r="I19" s="514"/>
      <c r="J19" s="514"/>
      <c r="K19" s="514"/>
      <c r="L19" s="514"/>
    </row>
    <row r="20" spans="1:22" ht="14.25" x14ac:dyDescent="0.2">
      <c r="A20" s="4">
        <v>1</v>
      </c>
      <c r="B20" s="4" t="str">
        <f>[82]Source!E78</f>
        <v>9</v>
      </c>
      <c r="C20" s="5" t="str">
        <f>[82]Source!F78</f>
        <v>4.21-35-2</v>
      </c>
      <c r="D20" s="5" t="s">
        <v>161</v>
      </c>
      <c r="E20" s="6" t="str">
        <f>[82]Source!H78</f>
        <v>1  ШТ.</v>
      </c>
      <c r="F20" s="2">
        <f>[82]Source!I78</f>
        <v>2</v>
      </c>
      <c r="G20" s="7"/>
      <c r="H20" s="8"/>
      <c r="I20" s="2"/>
      <c r="J20" s="25"/>
      <c r="K20" s="2"/>
      <c r="L20" s="25"/>
      <c r="Q20">
        <f>[82]Source!X78</f>
        <v>1967.76</v>
      </c>
      <c r="R20">
        <f>[82]Source!X79</f>
        <v>40548.720000000001</v>
      </c>
      <c r="S20">
        <f>[82]Source!Y78</f>
        <v>1743.58</v>
      </c>
      <c r="T20">
        <f>[82]Source!Y79</f>
        <v>25641.1</v>
      </c>
      <c r="U20">
        <f>ROUND((175/100)*ROUND([82]Source!R78, 2), 2)</f>
        <v>148.44</v>
      </c>
      <c r="V20">
        <f>ROUND((157/100)*ROUND([82]Source!R79, 2), 2)</f>
        <v>3188.03</v>
      </c>
    </row>
    <row r="21" spans="1:22" ht="14.25" x14ac:dyDescent="0.2">
      <c r="A21" s="4"/>
      <c r="B21" s="4"/>
      <c r="C21" s="5"/>
      <c r="D21" s="5" t="s">
        <v>20</v>
      </c>
      <c r="E21" s="6"/>
      <c r="F21" s="2"/>
      <c r="G21" s="7">
        <f>[82]Source!AO78</f>
        <v>698.93</v>
      </c>
      <c r="H21" s="8" t="str">
        <f>[82]Source!DG78</f>
        <v>)*1,67</v>
      </c>
      <c r="I21" s="2">
        <f>[82]Source!AV79</f>
        <v>1.0669999999999999</v>
      </c>
      <c r="J21" s="25">
        <f>[82]Source!S78</f>
        <v>2490.83</v>
      </c>
      <c r="K21" s="2">
        <f>IF([82]Source!BA79&lt;&gt; 0, [82]Source!BA79, 1)</f>
        <v>23.94</v>
      </c>
      <c r="L21" s="25">
        <f>[82]Source!S79</f>
        <v>59630.47</v>
      </c>
    </row>
    <row r="22" spans="1:22" ht="14.25" x14ac:dyDescent="0.2">
      <c r="A22" s="4"/>
      <c r="B22" s="4"/>
      <c r="C22" s="5"/>
      <c r="D22" s="5" t="s">
        <v>21</v>
      </c>
      <c r="E22" s="6"/>
      <c r="F22" s="2"/>
      <c r="G22" s="7">
        <f>[82]Source!AM78</f>
        <v>310.57</v>
      </c>
      <c r="H22" s="8" t="str">
        <f>[82]Source!DE78</f>
        <v/>
      </c>
      <c r="I22" s="2">
        <f>[82]Source!AV79</f>
        <v>1.0669999999999999</v>
      </c>
      <c r="J22" s="25">
        <f>[82]Source!Q78-J31</f>
        <v>662.76</v>
      </c>
      <c r="K22" s="2">
        <f>IF([82]Source!BB79&lt;&gt; 0, [82]Source!BB79, 1)</f>
        <v>6.77</v>
      </c>
      <c r="L22" s="25">
        <f>[82]Source!Q79-L31</f>
        <v>4486.92</v>
      </c>
    </row>
    <row r="23" spans="1:22" ht="14.25" x14ac:dyDescent="0.2">
      <c r="A23" s="4"/>
      <c r="B23" s="4"/>
      <c r="C23" s="5"/>
      <c r="D23" s="5" t="s">
        <v>22</v>
      </c>
      <c r="E23" s="6"/>
      <c r="F23" s="2"/>
      <c r="G23" s="7">
        <f>[82]Source!AN78</f>
        <v>23.8</v>
      </c>
      <c r="H23" s="8" t="str">
        <f>[82]Source!DE78</f>
        <v/>
      </c>
      <c r="I23" s="2">
        <f>[82]Source!AV79</f>
        <v>1.0669999999999999</v>
      </c>
      <c r="J23" s="10">
        <f>[82]Source!R78-J32</f>
        <v>50.79</v>
      </c>
      <c r="K23" s="2">
        <f>IF([82]Source!BS79&lt;&gt; 0, [82]Source!BS79, 1)</f>
        <v>23.94</v>
      </c>
      <c r="L23" s="10">
        <f>[82]Source!R79-L32</f>
        <v>1215.94</v>
      </c>
    </row>
    <row r="24" spans="1:22" ht="14.25" x14ac:dyDescent="0.2">
      <c r="A24" s="4"/>
      <c r="B24" s="4"/>
      <c r="C24" s="5"/>
      <c r="D24" s="5" t="s">
        <v>23</v>
      </c>
      <c r="E24" s="6"/>
      <c r="F24" s="2"/>
      <c r="G24" s="7">
        <f>[82]Source!AL78</f>
        <v>2006.34</v>
      </c>
      <c r="H24" s="8" t="str">
        <f>[82]Source!DD78</f>
        <v/>
      </c>
      <c r="I24" s="2">
        <f>[82]Source!AW79</f>
        <v>1.028</v>
      </c>
      <c r="J24" s="25">
        <f>[82]Source!P78</f>
        <v>4125.04</v>
      </c>
      <c r="K24" s="2">
        <f>IF([82]Source!BC79&lt;&gt; 0, [82]Source!BC79, 1)</f>
        <v>5.54</v>
      </c>
      <c r="L24" s="25">
        <f>[82]Source!P79</f>
        <v>22852.720000000001</v>
      </c>
    </row>
    <row r="25" spans="1:22" ht="14.25" x14ac:dyDescent="0.2">
      <c r="A25" s="4"/>
      <c r="B25" s="4"/>
      <c r="C25" s="5"/>
      <c r="D25" s="5" t="s">
        <v>24</v>
      </c>
      <c r="E25" s="6" t="s">
        <v>25</v>
      </c>
      <c r="F25" s="2">
        <f>[82]Source!DN79</f>
        <v>79</v>
      </c>
      <c r="G25" s="7"/>
      <c r="H25" s="8"/>
      <c r="I25" s="2"/>
      <c r="J25" s="25">
        <f>SUM(Q20:Q24)</f>
        <v>1967.76</v>
      </c>
      <c r="K25" s="2">
        <f>[82]Source!BZ79</f>
        <v>68</v>
      </c>
      <c r="L25" s="25">
        <f>SUM(R20:R24)</f>
        <v>40548.720000000001</v>
      </c>
    </row>
    <row r="26" spans="1:22" ht="14.25" x14ac:dyDescent="0.2">
      <c r="A26" s="4"/>
      <c r="B26" s="4"/>
      <c r="C26" s="5"/>
      <c r="D26" s="5" t="s">
        <v>26</v>
      </c>
      <c r="E26" s="6" t="s">
        <v>25</v>
      </c>
      <c r="F26" s="2">
        <f>[82]Source!DO79</f>
        <v>70</v>
      </c>
      <c r="G26" s="7"/>
      <c r="H26" s="8"/>
      <c r="I26" s="2"/>
      <c r="J26" s="25">
        <f>SUM(S20:S25)</f>
        <v>1743.58</v>
      </c>
      <c r="K26" s="2">
        <f>[82]Source!CA79</f>
        <v>43</v>
      </c>
      <c r="L26" s="25">
        <f>SUM(T20:T25)</f>
        <v>25641.1</v>
      </c>
    </row>
    <row r="27" spans="1:22" ht="14.25" x14ac:dyDescent="0.2">
      <c r="A27" s="4"/>
      <c r="B27" s="4"/>
      <c r="C27" s="5"/>
      <c r="D27" s="5" t="s">
        <v>27</v>
      </c>
      <c r="E27" s="6" t="s">
        <v>25</v>
      </c>
      <c r="F27" s="2">
        <f>175</f>
        <v>175</v>
      </c>
      <c r="G27" s="7"/>
      <c r="H27" s="8"/>
      <c r="I27" s="2"/>
      <c r="J27" s="25">
        <f>SUM(U20:U26)-J33</f>
        <v>88.89</v>
      </c>
      <c r="K27" s="2">
        <f>157</f>
        <v>157</v>
      </c>
      <c r="L27" s="25">
        <f>SUM(V20:V26)-L33</f>
        <v>1909.03</v>
      </c>
    </row>
    <row r="28" spans="1:22" ht="14.25" x14ac:dyDescent="0.2">
      <c r="A28" s="4"/>
      <c r="B28" s="4"/>
      <c r="C28" s="5"/>
      <c r="D28" s="5" t="s">
        <v>28</v>
      </c>
      <c r="E28" s="6" t="s">
        <v>29</v>
      </c>
      <c r="F28" s="2">
        <f>[82]Source!AQ78</f>
        <v>55.42</v>
      </c>
      <c r="G28" s="7"/>
      <c r="H28" s="8" t="str">
        <f>[82]Source!DI78</f>
        <v/>
      </c>
      <c r="I28" s="2">
        <f>[82]Source!AV79</f>
        <v>1.0669999999999999</v>
      </c>
      <c r="J28" s="25">
        <f>[82]Source!U78</f>
        <v>118.27</v>
      </c>
      <c r="K28" s="2"/>
      <c r="L28" s="25"/>
    </row>
    <row r="29" spans="1:22" ht="15" x14ac:dyDescent="0.25">
      <c r="I29" s="525">
        <f>J21+J22+J24+J25+J26+J27</f>
        <v>11078.86</v>
      </c>
      <c r="J29" s="525"/>
      <c r="K29" s="525">
        <f>L21+L22+L24+L25+L26+L27</f>
        <v>155068.96</v>
      </c>
      <c r="L29" s="525"/>
      <c r="O29" s="11">
        <f>J21+J22+J24+J25+J26+J27</f>
        <v>11078.86</v>
      </c>
      <c r="P29" s="11">
        <f>L21+L22+L24+L25+L26+L27</f>
        <v>155068.96</v>
      </c>
    </row>
    <row r="30" spans="1:22" ht="28.5" x14ac:dyDescent="0.2">
      <c r="A30" s="12"/>
      <c r="B30" s="12"/>
      <c r="C30" s="13"/>
      <c r="D30" s="13" t="s">
        <v>30</v>
      </c>
      <c r="E30" s="6"/>
      <c r="F30" s="14"/>
      <c r="G30" s="15"/>
      <c r="H30" s="6"/>
      <c r="I30" s="14"/>
      <c r="J30" s="10"/>
      <c r="K30" s="14"/>
      <c r="L30" s="10"/>
    </row>
    <row r="31" spans="1:22" ht="14.25" x14ac:dyDescent="0.2">
      <c r="A31" s="12"/>
      <c r="B31" s="12"/>
      <c r="C31" s="13"/>
      <c r="D31" s="13" t="s">
        <v>21</v>
      </c>
      <c r="E31" s="6"/>
      <c r="F31" s="14"/>
      <c r="G31" s="15">
        <f t="shared" ref="G31:L31" si="0">G32</f>
        <v>23.8</v>
      </c>
      <c r="H31" s="16" t="str">
        <f t="shared" si="0"/>
        <v>)*(1.67-1)</v>
      </c>
      <c r="I31" s="14">
        <f t="shared" si="0"/>
        <v>1.0669999999999999</v>
      </c>
      <c r="J31" s="10">
        <f t="shared" si="0"/>
        <v>34.03</v>
      </c>
      <c r="K31" s="14">
        <f t="shared" si="0"/>
        <v>23.94</v>
      </c>
      <c r="L31" s="10">
        <f t="shared" si="0"/>
        <v>814.65</v>
      </c>
    </row>
    <row r="32" spans="1:22" ht="14.25" x14ac:dyDescent="0.2">
      <c r="A32" s="12"/>
      <c r="B32" s="12"/>
      <c r="C32" s="13"/>
      <c r="D32" s="13" t="s">
        <v>22</v>
      </c>
      <c r="E32" s="6"/>
      <c r="F32" s="14"/>
      <c r="G32" s="15">
        <f>[82]Source!AN78</f>
        <v>23.8</v>
      </c>
      <c r="H32" s="16" t="s">
        <v>31</v>
      </c>
      <c r="I32" s="14">
        <f>[82]Source!AV79</f>
        <v>1.0669999999999999</v>
      </c>
      <c r="J32" s="10">
        <f>ROUND(F20*G32*I32*(1.67-1), 2)</f>
        <v>34.03</v>
      </c>
      <c r="K32" s="14">
        <f>IF([82]Source!BS79&lt;&gt; 0, [82]Source!BS79, 1)</f>
        <v>23.94</v>
      </c>
      <c r="L32" s="10">
        <f>ROUND(F20*G32*I32*(1.67-1)*K32, 2)</f>
        <v>814.65</v>
      </c>
    </row>
    <row r="33" spans="1:47" ht="14.25" x14ac:dyDescent="0.2">
      <c r="A33" s="12"/>
      <c r="B33" s="12"/>
      <c r="C33" s="13"/>
      <c r="D33" s="13" t="s">
        <v>27</v>
      </c>
      <c r="E33" s="6" t="s">
        <v>25</v>
      </c>
      <c r="F33" s="14">
        <f>175</f>
        <v>175</v>
      </c>
      <c r="G33" s="15"/>
      <c r="H33" s="6"/>
      <c r="I33" s="14"/>
      <c r="J33" s="10">
        <f>ROUND(J32*(F33/100), 2)</f>
        <v>59.55</v>
      </c>
      <c r="K33" s="14">
        <f>157</f>
        <v>157</v>
      </c>
      <c r="L33" s="10">
        <f>ROUND(L32*(K33/100), 2)</f>
        <v>1279</v>
      </c>
    </row>
    <row r="34" spans="1:47" ht="15" x14ac:dyDescent="0.25">
      <c r="I34" s="525">
        <f>J33+J32</f>
        <v>93.58</v>
      </c>
      <c r="J34" s="525"/>
      <c r="K34" s="525">
        <f>L33+L32</f>
        <v>2093.65</v>
      </c>
      <c r="L34" s="525"/>
      <c r="O34" s="11">
        <f>I34</f>
        <v>93.58</v>
      </c>
      <c r="P34" s="11">
        <f>K34</f>
        <v>2093.65</v>
      </c>
    </row>
    <row r="36" spans="1:47" ht="15" x14ac:dyDescent="0.25">
      <c r="A36" s="37"/>
      <c r="B36" s="37"/>
      <c r="C36" s="38"/>
      <c r="D36" s="38" t="s">
        <v>32</v>
      </c>
      <c r="E36" s="39"/>
      <c r="F36" s="40"/>
      <c r="G36" s="41"/>
      <c r="H36" s="42"/>
      <c r="I36" s="524">
        <f>I29+I34</f>
        <v>11172.44</v>
      </c>
      <c r="J36" s="524"/>
      <c r="K36" s="524">
        <f>K29+K34</f>
        <v>157162.60999999999</v>
      </c>
      <c r="L36" s="524"/>
    </row>
    <row r="37" spans="1:47" s="68" customFormat="1" ht="159.75" customHeight="1" x14ac:dyDescent="0.2">
      <c r="A37" s="62">
        <v>2</v>
      </c>
      <c r="B37" s="62" t="str">
        <f>[82]Source!E80</f>
        <v>10</v>
      </c>
      <c r="C37" s="63" t="s">
        <v>373</v>
      </c>
      <c r="D37" s="63" t="s">
        <v>383</v>
      </c>
      <c r="E37" s="64" t="str">
        <f>[82]Source!H80</f>
        <v>шт.</v>
      </c>
      <c r="F37" s="65">
        <f>[82]Source!I80</f>
        <v>2</v>
      </c>
      <c r="G37" s="323">
        <f>J37/F37</f>
        <v>266265.49</v>
      </c>
      <c r="H37" s="66"/>
      <c r="I37" s="65">
        <f>[82]Source!AW81</f>
        <v>1</v>
      </c>
      <c r="J37" s="67">
        <f>L37/K37</f>
        <v>532530.97</v>
      </c>
      <c r="K37" s="65">
        <f>IF([82]Source!BC81&lt;&gt; 0, [82]Source!BC81, 1)</f>
        <v>4.47</v>
      </c>
      <c r="L37" s="67">
        <f>2380413.42</f>
        <v>2380413.42</v>
      </c>
      <c r="Q37" s="68">
        <f>[82]Source!X80</f>
        <v>0</v>
      </c>
      <c r="R37" s="68">
        <f>[82]Source!X81</f>
        <v>0</v>
      </c>
      <c r="S37" s="68">
        <f>[82]Source!Y80</f>
        <v>0</v>
      </c>
      <c r="T37" s="68">
        <f>[82]Source!Y81</f>
        <v>0</v>
      </c>
      <c r="U37" s="68">
        <f>ROUND((175/100)*ROUND([82]Source!R80, 2), 2)</f>
        <v>0</v>
      </c>
      <c r="V37" s="68">
        <f>ROUND((157/100)*ROUND([82]Source!R81, 2), 2)</f>
        <v>0</v>
      </c>
      <c r="AU37" s="333" t="s">
        <v>384</v>
      </c>
    </row>
    <row r="38" spans="1:47" ht="15" x14ac:dyDescent="0.25">
      <c r="A38" s="35"/>
      <c r="B38" s="35"/>
      <c r="C38" s="35"/>
      <c r="D38" s="35"/>
      <c r="E38" s="35"/>
      <c r="F38" s="35"/>
      <c r="G38" s="35"/>
      <c r="H38" s="35"/>
      <c r="I38" s="524">
        <f>J37</f>
        <v>532530.97</v>
      </c>
      <c r="J38" s="524"/>
      <c r="K38" s="524">
        <f>L37</f>
        <v>2380413.42</v>
      </c>
      <c r="L38" s="524"/>
      <c r="O38" s="11">
        <f>J37</f>
        <v>532530.97</v>
      </c>
      <c r="P38" s="11">
        <f>L37</f>
        <v>2380413.42</v>
      </c>
    </row>
    <row r="40" spans="1:47" ht="15" x14ac:dyDescent="0.25">
      <c r="A40" s="528" t="str">
        <f>CONCATENATE("Итого по разделу: ",IF([82]Source!G131&lt;&gt;"Новый раздел", [82]Source!G131, ""))</f>
        <v>Итого по разделу: Вентиляция</v>
      </c>
      <c r="B40" s="528"/>
      <c r="C40" s="528"/>
      <c r="D40" s="528"/>
      <c r="E40" s="528"/>
      <c r="F40" s="528"/>
      <c r="G40" s="528"/>
      <c r="H40" s="528"/>
      <c r="I40" s="526">
        <f>SUM(O19:O39)</f>
        <v>543703.41</v>
      </c>
      <c r="J40" s="527"/>
      <c r="K40" s="526">
        <f>SUM(P19:P39)</f>
        <v>2537576.0299999998</v>
      </c>
      <c r="L40" s="527"/>
    </row>
    <row r="41" spans="1:47" hidden="1" x14ac:dyDescent="0.2">
      <c r="A41" t="s">
        <v>48</v>
      </c>
      <c r="J41">
        <f>SUM(W19:W40)</f>
        <v>0</v>
      </c>
      <c r="K41">
        <f>SUM(X19:X40)</f>
        <v>0</v>
      </c>
    </row>
    <row r="42" spans="1:47" hidden="1" x14ac:dyDescent="0.2">
      <c r="A42" t="s">
        <v>49</v>
      </c>
      <c r="J42">
        <f>SUM(Y19:Y41)</f>
        <v>0</v>
      </c>
      <c r="K42">
        <f>SUM(Z19:Z41)</f>
        <v>0</v>
      </c>
    </row>
    <row r="44" spans="1:47" ht="30" x14ac:dyDescent="0.25">
      <c r="A44" s="528" t="str">
        <f>CONCATENATE("Итого по локальной смете: ",IF([82]Source!G464&lt;&gt;"Новая локальная смета", [82]Source!G464, ""))</f>
        <v>Итого по локальной смете: Тоннельная вентиляция. Венткамера ВШ №3 на ст. "Мичуринский проспект"</v>
      </c>
      <c r="B44" s="528"/>
      <c r="C44" s="528"/>
      <c r="D44" s="528"/>
      <c r="E44" s="528"/>
      <c r="F44" s="528"/>
      <c r="G44" s="528"/>
      <c r="H44" s="528"/>
      <c r="I44" s="526">
        <f>SUM(O19:O43)</f>
        <v>543703.41</v>
      </c>
      <c r="J44" s="527"/>
      <c r="K44" s="526">
        <f>SUM(P19:P43)</f>
        <v>2537576.0299999998</v>
      </c>
      <c r="L44" s="527"/>
      <c r="AF44" s="26" t="str">
        <f>CONCATENATE("Итого по локальной смете: ",IF([82]Source!G464&lt;&gt;"Новая локальная смета", [82]Source!G464, ""))</f>
        <v>Итого по локальной смете: Тоннельная вентиляция. Венткамера ВШ №3 на ст. "Мичуринский проспект"</v>
      </c>
    </row>
    <row r="45" spans="1:47" hidden="1" x14ac:dyDescent="0.2">
      <c r="A45" t="s">
        <v>48</v>
      </c>
      <c r="J45">
        <f>SUM(W19:W44)</f>
        <v>0</v>
      </c>
      <c r="K45">
        <f>SUM(X19:X44)</f>
        <v>0</v>
      </c>
    </row>
    <row r="46" spans="1:47" hidden="1" x14ac:dyDescent="0.2">
      <c r="A46" t="s">
        <v>49</v>
      </c>
      <c r="J46">
        <f>SUM(Y19:Y45)</f>
        <v>0</v>
      </c>
      <c r="K46">
        <f>SUM(Z19:Z45)</f>
        <v>0</v>
      </c>
    </row>
    <row r="47" spans="1:47" ht="14.25" x14ac:dyDescent="0.2">
      <c r="D47" s="550" t="str">
        <f>[82]Source!H470</f>
        <v>Стоимость материалов (всего)</v>
      </c>
      <c r="E47" s="550"/>
      <c r="F47" s="550"/>
      <c r="G47" s="550"/>
      <c r="H47" s="550"/>
      <c r="I47" s="551">
        <f>[82]Source!F470</f>
        <v>4125.04</v>
      </c>
      <c r="J47" s="551"/>
      <c r="K47" s="551">
        <f>[82]Source!P470</f>
        <v>22852.720000000001</v>
      </c>
      <c r="L47" s="551"/>
    </row>
    <row r="48" spans="1:47" s="68" customFormat="1" ht="14.25" x14ac:dyDescent="0.2">
      <c r="D48" s="553" t="str">
        <f>[82]Source!H473</f>
        <v>Стоимость оборудования (всего)</v>
      </c>
      <c r="E48" s="553"/>
      <c r="F48" s="553"/>
      <c r="G48" s="553"/>
      <c r="H48" s="553"/>
      <c r="I48" s="554">
        <f>J37</f>
        <v>532530.97</v>
      </c>
      <c r="J48" s="554"/>
      <c r="K48" s="554">
        <f>L37</f>
        <v>2380413.42</v>
      </c>
      <c r="L48" s="554"/>
    </row>
    <row r="49" spans="1:256" ht="14.25" x14ac:dyDescent="0.2">
      <c r="D49" s="550" t="str">
        <f>[82]Source!H478</f>
        <v>ЗП машинистов</v>
      </c>
      <c r="E49" s="550"/>
      <c r="F49" s="550"/>
      <c r="G49" s="550"/>
      <c r="H49" s="550"/>
      <c r="I49" s="551">
        <f>[82]Source!F478</f>
        <v>84.82</v>
      </c>
      <c r="J49" s="551"/>
      <c r="K49" s="551">
        <f>[82]Source!P478</f>
        <v>2030.59</v>
      </c>
      <c r="L49" s="551"/>
    </row>
    <row r="50" spans="1:256" ht="14.25" x14ac:dyDescent="0.2">
      <c r="D50" s="550" t="str">
        <f>[82]Source!H479</f>
        <v>Основная ЗП рабочих</v>
      </c>
      <c r="E50" s="550"/>
      <c r="F50" s="550"/>
      <c r="G50" s="550"/>
      <c r="H50" s="550"/>
      <c r="I50" s="551">
        <f>[82]Source!F479</f>
        <v>2490.83</v>
      </c>
      <c r="J50" s="551"/>
      <c r="K50" s="551">
        <f>[82]Source!P479</f>
        <v>59630.47</v>
      </c>
      <c r="L50" s="551"/>
    </row>
    <row r="52" spans="1:256" x14ac:dyDescent="0.2">
      <c r="A52" s="74"/>
      <c r="B52" s="74"/>
      <c r="C52" s="74"/>
      <c r="D52" s="543" t="s">
        <v>207</v>
      </c>
      <c r="E52" s="543"/>
      <c r="F52" s="543"/>
      <c r="G52" s="543"/>
      <c r="H52" s="543"/>
      <c r="I52" s="75"/>
      <c r="J52" s="76">
        <v>0</v>
      </c>
      <c r="K52" s="76"/>
      <c r="L52" s="76">
        <v>0</v>
      </c>
      <c r="M52" s="77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  <c r="FV52" s="74"/>
      <c r="FW52" s="74"/>
      <c r="FX52" s="74"/>
      <c r="FY52" s="74"/>
      <c r="FZ52" s="74"/>
      <c r="GA52" s="74"/>
      <c r="GB52" s="74"/>
      <c r="GC52" s="74"/>
      <c r="GD52" s="74"/>
      <c r="GE52" s="74"/>
      <c r="GF52" s="74"/>
      <c r="GG52" s="74"/>
      <c r="GH52" s="74"/>
      <c r="GI52" s="74"/>
      <c r="GJ52" s="74"/>
      <c r="GK52" s="74"/>
      <c r="GL52" s="74"/>
      <c r="GM52" s="74"/>
      <c r="GN52" s="74"/>
      <c r="GO52" s="74"/>
      <c r="GP52" s="74"/>
      <c r="GQ52" s="74"/>
      <c r="GR52" s="74"/>
      <c r="GS52" s="74"/>
      <c r="GT52" s="74"/>
      <c r="GU52" s="74"/>
      <c r="GV52" s="74"/>
      <c r="GW52" s="74"/>
      <c r="GX52" s="74"/>
      <c r="GY52" s="74"/>
      <c r="GZ52" s="74"/>
      <c r="HA52" s="74"/>
      <c r="HB52" s="74"/>
      <c r="HC52" s="74"/>
      <c r="HD52" s="74"/>
      <c r="HE52" s="74"/>
      <c r="HF52" s="74"/>
      <c r="HG52" s="74"/>
      <c r="HH52" s="74"/>
      <c r="HI52" s="74"/>
      <c r="HJ52" s="74"/>
      <c r="HK52" s="74"/>
      <c r="HL52" s="74"/>
      <c r="HM52" s="74"/>
      <c r="HN52" s="74"/>
      <c r="HO52" s="74"/>
      <c r="HP52" s="74"/>
      <c r="HQ52" s="74"/>
      <c r="HR52" s="74"/>
      <c r="HS52" s="74"/>
      <c r="HT52" s="74"/>
      <c r="HU52" s="74"/>
      <c r="HV52" s="74"/>
      <c r="HW52" s="74"/>
      <c r="HX52" s="74"/>
      <c r="HY52" s="74"/>
      <c r="HZ52" s="74"/>
      <c r="IA52" s="74"/>
      <c r="IB52" s="74"/>
      <c r="IC52" s="74"/>
      <c r="ID52" s="74"/>
      <c r="IE52" s="74"/>
      <c r="IF52" s="74"/>
      <c r="IG52" s="74"/>
      <c r="IH52" s="74"/>
      <c r="II52" s="74"/>
      <c r="IJ52" s="74"/>
      <c r="IK52" s="74"/>
      <c r="IL52" s="74"/>
      <c r="IM52" s="74"/>
      <c r="IN52" s="74"/>
      <c r="IO52" s="74"/>
      <c r="IP52" s="74"/>
      <c r="IQ52" s="74"/>
      <c r="IR52" s="74"/>
      <c r="IS52" s="74"/>
      <c r="IT52" s="74"/>
      <c r="IU52" s="74"/>
      <c r="IV52" s="74"/>
    </row>
    <row r="53" spans="1:256" x14ac:dyDescent="0.2">
      <c r="A53" s="78"/>
      <c r="B53" s="78"/>
      <c r="C53" s="78"/>
      <c r="D53" s="543" t="s">
        <v>208</v>
      </c>
      <c r="E53" s="543"/>
      <c r="F53" s="543"/>
      <c r="G53" s="543"/>
      <c r="H53" s="543"/>
      <c r="I53" s="75"/>
      <c r="J53" s="76">
        <f>I48</f>
        <v>532530.97</v>
      </c>
      <c r="K53" s="79"/>
      <c r="L53" s="76">
        <f>K48</f>
        <v>2380413.42</v>
      </c>
      <c r="M53" s="77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  <c r="CR53" s="80"/>
      <c r="CS53" s="80"/>
      <c r="CT53" s="80"/>
      <c r="CU53" s="80"/>
      <c r="CV53" s="80"/>
      <c r="CW53" s="80"/>
      <c r="CX53" s="80"/>
      <c r="CY53" s="80"/>
      <c r="CZ53" s="80"/>
      <c r="DA53" s="80"/>
      <c r="DB53" s="80"/>
      <c r="DC53" s="80"/>
      <c r="DD53" s="80"/>
      <c r="DE53" s="80"/>
      <c r="DF53" s="80"/>
      <c r="DG53" s="80"/>
      <c r="DH53" s="80"/>
      <c r="DI53" s="80"/>
      <c r="DJ53" s="80"/>
      <c r="DK53" s="80"/>
      <c r="DL53" s="80"/>
      <c r="DM53" s="80"/>
      <c r="DN53" s="80"/>
      <c r="DO53" s="80"/>
      <c r="DP53" s="80"/>
      <c r="DQ53" s="80"/>
      <c r="DR53" s="80"/>
      <c r="DS53" s="80"/>
      <c r="DT53" s="80"/>
      <c r="DU53" s="80"/>
      <c r="DV53" s="80"/>
      <c r="DW53" s="80"/>
      <c r="DX53" s="80"/>
      <c r="DY53" s="80"/>
      <c r="DZ53" s="80"/>
      <c r="EA53" s="80"/>
      <c r="EB53" s="80"/>
      <c r="EC53" s="80"/>
      <c r="ED53" s="80"/>
      <c r="EE53" s="80"/>
      <c r="EF53" s="80"/>
      <c r="EG53" s="80"/>
      <c r="EH53" s="80"/>
      <c r="EI53" s="80"/>
      <c r="EJ53" s="80"/>
      <c r="EK53" s="80"/>
      <c r="EL53" s="80"/>
      <c r="EM53" s="80"/>
      <c r="EN53" s="80"/>
      <c r="EO53" s="80"/>
      <c r="EP53" s="80"/>
      <c r="EQ53" s="80"/>
      <c r="ER53" s="80"/>
      <c r="ES53" s="80"/>
      <c r="ET53" s="80"/>
      <c r="EU53" s="80"/>
      <c r="EV53" s="80"/>
      <c r="EW53" s="80"/>
      <c r="EX53" s="80"/>
      <c r="EY53" s="80"/>
      <c r="EZ53" s="80"/>
      <c r="FA53" s="80"/>
      <c r="FB53" s="80"/>
      <c r="FC53" s="80"/>
      <c r="FD53" s="80"/>
      <c r="FE53" s="80"/>
      <c r="FF53" s="80"/>
      <c r="FG53" s="80"/>
      <c r="FH53" s="80"/>
      <c r="FI53" s="80"/>
      <c r="FJ53" s="80"/>
      <c r="FK53" s="80"/>
      <c r="FL53" s="80"/>
      <c r="FM53" s="80"/>
      <c r="FN53" s="80"/>
      <c r="FO53" s="80"/>
      <c r="FP53" s="80"/>
      <c r="FQ53" s="80"/>
      <c r="FR53" s="80"/>
      <c r="FS53" s="80"/>
      <c r="FT53" s="80"/>
      <c r="FU53" s="80"/>
      <c r="FV53" s="80"/>
      <c r="FW53" s="80"/>
      <c r="FX53" s="80"/>
      <c r="FY53" s="80"/>
      <c r="FZ53" s="80"/>
      <c r="GA53" s="80"/>
      <c r="GB53" s="80"/>
      <c r="GC53" s="80"/>
      <c r="GD53" s="80"/>
      <c r="GE53" s="80"/>
      <c r="GF53" s="80"/>
      <c r="GG53" s="80"/>
      <c r="GH53" s="80"/>
      <c r="GI53" s="80"/>
      <c r="GJ53" s="80"/>
      <c r="GK53" s="80"/>
      <c r="GL53" s="80"/>
      <c r="GM53" s="80"/>
      <c r="GN53" s="80"/>
      <c r="GO53" s="80"/>
      <c r="GP53" s="80"/>
      <c r="GQ53" s="80"/>
      <c r="GR53" s="80"/>
      <c r="GS53" s="80"/>
      <c r="GT53" s="80"/>
      <c r="GU53" s="80"/>
      <c r="GV53" s="80"/>
      <c r="GW53" s="80"/>
      <c r="GX53" s="80"/>
      <c r="GY53" s="80"/>
      <c r="GZ53" s="80"/>
      <c r="HA53" s="80"/>
      <c r="HB53" s="80"/>
      <c r="HC53" s="80"/>
      <c r="HD53" s="80"/>
      <c r="HE53" s="80"/>
      <c r="HF53" s="80"/>
      <c r="HG53" s="80"/>
      <c r="HH53" s="80"/>
      <c r="HI53" s="80"/>
      <c r="HJ53" s="80"/>
      <c r="HK53" s="80"/>
      <c r="HL53" s="80"/>
      <c r="HM53" s="80"/>
      <c r="HN53" s="80"/>
      <c r="HO53" s="80"/>
      <c r="HP53" s="80"/>
      <c r="HQ53" s="80"/>
      <c r="HR53" s="80"/>
      <c r="HS53" s="80"/>
      <c r="HT53" s="80"/>
      <c r="HU53" s="80"/>
      <c r="HV53" s="80"/>
      <c r="HW53" s="80"/>
      <c r="HX53" s="80"/>
      <c r="HY53" s="80"/>
      <c r="HZ53" s="80"/>
      <c r="IA53" s="80"/>
      <c r="IB53" s="80"/>
      <c r="IC53" s="80"/>
      <c r="ID53" s="80"/>
      <c r="IE53" s="80"/>
      <c r="IF53" s="80"/>
      <c r="IG53" s="80"/>
      <c r="IH53" s="80"/>
      <c r="II53" s="80"/>
      <c r="IJ53" s="80"/>
      <c r="IK53" s="80"/>
      <c r="IL53" s="80"/>
      <c r="IM53" s="80"/>
      <c r="IN53" s="80"/>
      <c r="IO53" s="80"/>
      <c r="IP53" s="80"/>
      <c r="IQ53" s="80"/>
      <c r="IR53" s="80"/>
      <c r="IS53" s="80"/>
      <c r="IT53" s="80"/>
      <c r="IU53" s="80"/>
      <c r="IV53" s="80"/>
    </row>
    <row r="54" spans="1:256" x14ac:dyDescent="0.2">
      <c r="A54" s="78"/>
      <c r="B54" s="78"/>
      <c r="C54" s="78"/>
      <c r="D54" s="79" t="s">
        <v>209</v>
      </c>
      <c r="E54" s="79"/>
      <c r="F54" s="79"/>
      <c r="G54" s="79"/>
      <c r="H54" s="79"/>
      <c r="I54" s="79"/>
      <c r="J54" s="76">
        <f>SUM(J52:J53)</f>
        <v>532530.97</v>
      </c>
      <c r="K54" s="79"/>
      <c r="L54" s="76">
        <f>SUM(L52:L53)</f>
        <v>2380413.42</v>
      </c>
      <c r="M54" s="77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80"/>
      <c r="CY54" s="80"/>
      <c r="CZ54" s="80"/>
      <c r="DA54" s="80"/>
      <c r="DB54" s="80"/>
      <c r="DC54" s="80"/>
      <c r="DD54" s="80"/>
      <c r="DE54" s="80"/>
      <c r="DF54" s="80"/>
      <c r="DG54" s="80"/>
      <c r="DH54" s="80"/>
      <c r="DI54" s="80"/>
      <c r="DJ54" s="80"/>
      <c r="DK54" s="80"/>
      <c r="DL54" s="80"/>
      <c r="DM54" s="80"/>
      <c r="DN54" s="80"/>
      <c r="DO54" s="80"/>
      <c r="DP54" s="80"/>
      <c r="DQ54" s="80"/>
      <c r="DR54" s="80"/>
      <c r="DS54" s="80"/>
      <c r="DT54" s="80"/>
      <c r="DU54" s="80"/>
      <c r="DV54" s="80"/>
      <c r="DW54" s="80"/>
      <c r="DX54" s="80"/>
      <c r="DY54" s="80"/>
      <c r="DZ54" s="80"/>
      <c r="EA54" s="80"/>
      <c r="EB54" s="80"/>
      <c r="EC54" s="80"/>
      <c r="ED54" s="80"/>
      <c r="EE54" s="80"/>
      <c r="EF54" s="80"/>
      <c r="EG54" s="80"/>
      <c r="EH54" s="80"/>
      <c r="EI54" s="80"/>
      <c r="EJ54" s="80"/>
      <c r="EK54" s="80"/>
      <c r="EL54" s="80"/>
      <c r="EM54" s="80"/>
      <c r="EN54" s="80"/>
      <c r="EO54" s="80"/>
      <c r="EP54" s="80"/>
      <c r="EQ54" s="80"/>
      <c r="ER54" s="80"/>
      <c r="ES54" s="80"/>
      <c r="ET54" s="80"/>
      <c r="EU54" s="80"/>
      <c r="EV54" s="80"/>
      <c r="EW54" s="80"/>
      <c r="EX54" s="80"/>
      <c r="EY54" s="80"/>
      <c r="EZ54" s="80"/>
      <c r="FA54" s="80"/>
      <c r="FB54" s="80"/>
      <c r="FC54" s="80"/>
      <c r="FD54" s="80"/>
      <c r="FE54" s="80"/>
      <c r="FF54" s="80"/>
      <c r="FG54" s="80"/>
      <c r="FH54" s="80"/>
      <c r="FI54" s="80"/>
      <c r="FJ54" s="80"/>
      <c r="FK54" s="80"/>
      <c r="FL54" s="80"/>
      <c r="FM54" s="80"/>
      <c r="FN54" s="80"/>
      <c r="FO54" s="80"/>
      <c r="FP54" s="80"/>
      <c r="FQ54" s="80"/>
      <c r="FR54" s="80"/>
      <c r="FS54" s="80"/>
      <c r="FT54" s="80"/>
      <c r="FU54" s="80"/>
      <c r="FV54" s="80"/>
      <c r="FW54" s="80"/>
      <c r="FX54" s="80"/>
      <c r="FY54" s="80"/>
      <c r="FZ54" s="80"/>
      <c r="GA54" s="80"/>
      <c r="GB54" s="80"/>
      <c r="GC54" s="80"/>
      <c r="GD54" s="80"/>
      <c r="GE54" s="80"/>
      <c r="GF54" s="80"/>
      <c r="GG54" s="80"/>
      <c r="GH54" s="80"/>
      <c r="GI54" s="80"/>
      <c r="GJ54" s="80"/>
      <c r="GK54" s="80"/>
      <c r="GL54" s="80"/>
      <c r="GM54" s="80"/>
      <c r="GN54" s="80"/>
      <c r="GO54" s="80"/>
      <c r="GP54" s="80"/>
      <c r="GQ54" s="80"/>
      <c r="GR54" s="80"/>
      <c r="GS54" s="80"/>
      <c r="GT54" s="80"/>
      <c r="GU54" s="80"/>
      <c r="GV54" s="80"/>
      <c r="GW54" s="80"/>
      <c r="GX54" s="80"/>
      <c r="GY54" s="80"/>
      <c r="GZ54" s="80"/>
      <c r="HA54" s="80"/>
      <c r="HB54" s="80"/>
      <c r="HC54" s="80"/>
      <c r="HD54" s="80"/>
      <c r="HE54" s="80"/>
      <c r="HF54" s="80"/>
      <c r="HG54" s="80"/>
      <c r="HH54" s="80"/>
      <c r="HI54" s="80"/>
      <c r="HJ54" s="80"/>
      <c r="HK54" s="80"/>
      <c r="HL54" s="80"/>
      <c r="HM54" s="80"/>
      <c r="HN54" s="80"/>
      <c r="HO54" s="80"/>
      <c r="HP54" s="80"/>
      <c r="HQ54" s="80"/>
      <c r="HR54" s="80"/>
      <c r="HS54" s="80"/>
      <c r="HT54" s="80"/>
      <c r="HU54" s="80"/>
      <c r="HV54" s="80"/>
      <c r="HW54" s="80"/>
      <c r="HX54" s="80"/>
      <c r="HY54" s="80"/>
      <c r="HZ54" s="80"/>
      <c r="IA54" s="80"/>
      <c r="IB54" s="80"/>
      <c r="IC54" s="80"/>
      <c r="ID54" s="80"/>
      <c r="IE54" s="80"/>
      <c r="IF54" s="80"/>
      <c r="IG54" s="80"/>
      <c r="IH54" s="80"/>
      <c r="II54" s="80"/>
      <c r="IJ54" s="80"/>
      <c r="IK54" s="80"/>
      <c r="IL54" s="80"/>
      <c r="IM54" s="80"/>
      <c r="IN54" s="80"/>
      <c r="IO54" s="80"/>
      <c r="IP54" s="80"/>
      <c r="IQ54" s="80"/>
      <c r="IR54" s="80"/>
      <c r="IS54" s="80"/>
      <c r="IT54" s="80"/>
      <c r="IU54" s="80"/>
      <c r="IV54" s="80"/>
    </row>
    <row r="55" spans="1:256" x14ac:dyDescent="0.2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2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  <c r="DT55" s="81"/>
      <c r="DU55" s="81"/>
      <c r="DV55" s="81"/>
      <c r="DW55" s="81"/>
      <c r="DX55" s="81"/>
      <c r="DY55" s="81"/>
      <c r="DZ55" s="81"/>
      <c r="EA55" s="81"/>
      <c r="EB55" s="81"/>
      <c r="EC55" s="81"/>
      <c r="ED55" s="81"/>
      <c r="EE55" s="81"/>
      <c r="EF55" s="81"/>
      <c r="EG55" s="81"/>
      <c r="EH55" s="81"/>
      <c r="EI55" s="81"/>
      <c r="EJ55" s="81"/>
      <c r="EK55" s="81"/>
      <c r="EL55" s="81"/>
      <c r="EM55" s="81"/>
      <c r="EN55" s="81"/>
      <c r="EO55" s="81"/>
      <c r="EP55" s="81"/>
      <c r="EQ55" s="81"/>
      <c r="ER55" s="81"/>
      <c r="ES55" s="81"/>
      <c r="ET55" s="81"/>
      <c r="EU55" s="81"/>
      <c r="EV55" s="81"/>
      <c r="EW55" s="81"/>
      <c r="EX55" s="81"/>
      <c r="EY55" s="81"/>
      <c r="EZ55" s="81"/>
      <c r="FA55" s="81"/>
      <c r="FB55" s="81"/>
      <c r="FC55" s="81"/>
      <c r="FD55" s="81"/>
      <c r="FE55" s="81"/>
      <c r="FF55" s="81"/>
      <c r="FG55" s="81"/>
      <c r="FH55" s="81"/>
      <c r="FI55" s="81"/>
      <c r="FJ55" s="81"/>
      <c r="FK55" s="81"/>
      <c r="FL55" s="81"/>
      <c r="FM55" s="81"/>
      <c r="FN55" s="81"/>
      <c r="FO55" s="81"/>
      <c r="FP55" s="81"/>
      <c r="FQ55" s="81"/>
      <c r="FR55" s="81"/>
      <c r="FS55" s="81"/>
      <c r="FT55" s="81"/>
      <c r="FU55" s="81"/>
      <c r="FV55" s="81"/>
      <c r="FW55" s="81"/>
      <c r="FX55" s="81"/>
      <c r="FY55" s="81"/>
      <c r="FZ55" s="81"/>
      <c r="GA55" s="81"/>
      <c r="GB55" s="81"/>
      <c r="GC55" s="81"/>
      <c r="GD55" s="81"/>
      <c r="GE55" s="81"/>
      <c r="GF55" s="81"/>
      <c r="GG55" s="81"/>
      <c r="GH55" s="81"/>
      <c r="GI55" s="81"/>
      <c r="GJ55" s="81"/>
      <c r="GK55" s="81"/>
      <c r="GL55" s="81"/>
      <c r="GM55" s="81"/>
      <c r="GN55" s="81"/>
      <c r="GO55" s="81"/>
      <c r="GP55" s="81"/>
      <c r="GQ55" s="81"/>
      <c r="GR55" s="81"/>
      <c r="GS55" s="81"/>
      <c r="GT55" s="81"/>
      <c r="GU55" s="81"/>
      <c r="GV55" s="81"/>
      <c r="GW55" s="81"/>
      <c r="GX55" s="81"/>
      <c r="GY55" s="81"/>
      <c r="GZ55" s="81"/>
      <c r="HA55" s="81"/>
      <c r="HB55" s="81"/>
      <c r="HC55" s="81"/>
      <c r="HD55" s="81"/>
      <c r="HE55" s="81"/>
      <c r="HF55" s="81"/>
      <c r="HG55" s="81"/>
      <c r="HH55" s="81"/>
      <c r="HI55" s="81"/>
      <c r="HJ55" s="81"/>
      <c r="HK55" s="81"/>
      <c r="HL55" s="81"/>
      <c r="HM55" s="81"/>
      <c r="HN55" s="81"/>
      <c r="HO55" s="81"/>
      <c r="HP55" s="81"/>
      <c r="HQ55" s="81"/>
      <c r="HR55" s="81"/>
      <c r="HS55" s="81"/>
      <c r="HT55" s="81"/>
      <c r="HU55" s="81"/>
      <c r="HV55" s="81"/>
      <c r="HW55" s="81"/>
      <c r="HX55" s="81"/>
      <c r="HY55" s="81"/>
      <c r="HZ55" s="81"/>
      <c r="IA55" s="81"/>
      <c r="IB55" s="81"/>
      <c r="IC55" s="81"/>
      <c r="ID55" s="81"/>
      <c r="IE55" s="81"/>
      <c r="IF55" s="81"/>
      <c r="IG55" s="81"/>
      <c r="IH55" s="81"/>
      <c r="II55" s="81"/>
      <c r="IJ55" s="81"/>
      <c r="IK55" s="81"/>
      <c r="IL55" s="81"/>
      <c r="IM55" s="81"/>
      <c r="IN55" s="81"/>
      <c r="IO55" s="81"/>
      <c r="IP55" s="81"/>
      <c r="IQ55" s="81"/>
      <c r="IR55" s="81"/>
      <c r="IS55" s="81"/>
      <c r="IT55" s="81"/>
      <c r="IU55" s="81"/>
      <c r="IV55" s="81"/>
    </row>
    <row r="56" spans="1:256" ht="30" x14ac:dyDescent="0.25">
      <c r="A56" s="78"/>
      <c r="B56" s="78"/>
      <c r="C56" s="78"/>
      <c r="D56" s="83" t="s">
        <v>210</v>
      </c>
      <c r="E56" s="83"/>
      <c r="F56" s="83"/>
      <c r="G56" s="83"/>
      <c r="H56" s="83"/>
      <c r="I56" s="84"/>
      <c r="J56" s="85">
        <f>I44-J54</f>
        <v>11172.44</v>
      </c>
      <c r="K56" s="86"/>
      <c r="L56" s="85">
        <f>K44-L54</f>
        <v>157162.60999999999</v>
      </c>
      <c r="M56" s="82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  <c r="CR56" s="80"/>
      <c r="CS56" s="80"/>
      <c r="CT56" s="80"/>
      <c r="CU56" s="80"/>
      <c r="CV56" s="80"/>
      <c r="CW56" s="80"/>
      <c r="CX56" s="80"/>
      <c r="CY56" s="80"/>
      <c r="CZ56" s="80"/>
      <c r="DA56" s="80"/>
      <c r="DB56" s="80"/>
      <c r="DC56" s="80"/>
      <c r="DD56" s="80"/>
      <c r="DE56" s="80"/>
      <c r="DF56" s="80"/>
      <c r="DG56" s="80"/>
      <c r="DH56" s="80"/>
      <c r="DI56" s="80"/>
      <c r="DJ56" s="80"/>
      <c r="DK56" s="80"/>
      <c r="DL56" s="80"/>
      <c r="DM56" s="80"/>
      <c r="DN56" s="80"/>
      <c r="DO56" s="80"/>
      <c r="DP56" s="80"/>
      <c r="DQ56" s="80"/>
      <c r="DR56" s="80"/>
      <c r="DS56" s="80"/>
      <c r="DT56" s="80"/>
      <c r="DU56" s="80"/>
      <c r="DV56" s="80"/>
      <c r="DW56" s="80"/>
      <c r="DX56" s="80"/>
      <c r="DY56" s="80"/>
      <c r="DZ56" s="80"/>
      <c r="EA56" s="80"/>
      <c r="EB56" s="80"/>
      <c r="EC56" s="80"/>
      <c r="ED56" s="80"/>
      <c r="EE56" s="80"/>
      <c r="EF56" s="80"/>
      <c r="EG56" s="80"/>
      <c r="EH56" s="80"/>
      <c r="EI56" s="80"/>
      <c r="EJ56" s="80"/>
      <c r="EK56" s="80"/>
      <c r="EL56" s="80"/>
      <c r="EM56" s="80"/>
      <c r="EN56" s="80"/>
      <c r="EO56" s="80"/>
      <c r="EP56" s="80"/>
      <c r="EQ56" s="80"/>
      <c r="ER56" s="80"/>
      <c r="ES56" s="80"/>
      <c r="ET56" s="80"/>
      <c r="EU56" s="80"/>
      <c r="EV56" s="80"/>
      <c r="EW56" s="80"/>
      <c r="EX56" s="80"/>
      <c r="EY56" s="80"/>
      <c r="EZ56" s="80"/>
      <c r="FA56" s="80"/>
      <c r="FB56" s="80"/>
      <c r="FC56" s="80"/>
      <c r="FD56" s="80"/>
      <c r="FE56" s="80"/>
      <c r="FF56" s="80"/>
      <c r="FG56" s="80"/>
      <c r="FH56" s="80"/>
      <c r="FI56" s="80"/>
      <c r="FJ56" s="80"/>
      <c r="FK56" s="80"/>
      <c r="FL56" s="80"/>
      <c r="FM56" s="80"/>
      <c r="FN56" s="80"/>
      <c r="FO56" s="80"/>
      <c r="FP56" s="80"/>
      <c r="FQ56" s="80"/>
      <c r="FR56" s="80"/>
      <c r="FS56" s="80"/>
      <c r="FT56" s="80"/>
      <c r="FU56" s="80"/>
      <c r="FV56" s="80"/>
      <c r="FW56" s="80"/>
      <c r="FX56" s="80"/>
      <c r="FY56" s="80"/>
      <c r="FZ56" s="80"/>
      <c r="GA56" s="80"/>
      <c r="GB56" s="80"/>
      <c r="GC56" s="80"/>
      <c r="GD56" s="80"/>
      <c r="GE56" s="80"/>
      <c r="GF56" s="80"/>
      <c r="GG56" s="80"/>
      <c r="GH56" s="80"/>
      <c r="GI56" s="80"/>
      <c r="GJ56" s="80"/>
      <c r="GK56" s="80"/>
      <c r="GL56" s="80"/>
      <c r="GM56" s="80"/>
      <c r="GN56" s="80"/>
      <c r="GO56" s="80"/>
      <c r="GP56" s="80"/>
      <c r="GQ56" s="80"/>
      <c r="GR56" s="80"/>
      <c r="GS56" s="80"/>
      <c r="GT56" s="80"/>
      <c r="GU56" s="80"/>
      <c r="GV56" s="80"/>
      <c r="GW56" s="80"/>
      <c r="GX56" s="80"/>
      <c r="GY56" s="80"/>
      <c r="GZ56" s="80"/>
      <c r="HA56" s="80"/>
      <c r="HB56" s="80"/>
      <c r="HC56" s="80"/>
      <c r="HD56" s="80"/>
      <c r="HE56" s="80"/>
      <c r="HF56" s="80"/>
      <c r="HG56" s="80"/>
      <c r="HH56" s="80"/>
      <c r="HI56" s="80"/>
      <c r="HJ56" s="80"/>
      <c r="HK56" s="80"/>
      <c r="HL56" s="80"/>
      <c r="HM56" s="80"/>
      <c r="HN56" s="80"/>
      <c r="HO56" s="80"/>
      <c r="HP56" s="80"/>
      <c r="HQ56" s="80"/>
      <c r="HR56" s="80"/>
      <c r="HS56" s="80"/>
      <c r="HT56" s="80"/>
      <c r="HU56" s="80"/>
      <c r="HV56" s="80"/>
      <c r="HW56" s="80"/>
      <c r="HX56" s="80"/>
      <c r="HY56" s="80"/>
      <c r="HZ56" s="80"/>
      <c r="IA56" s="80"/>
      <c r="IB56" s="80"/>
      <c r="IC56" s="80"/>
      <c r="ID56" s="80"/>
      <c r="IE56" s="80"/>
      <c r="IF56" s="80"/>
      <c r="IG56" s="80"/>
      <c r="IH56" s="80"/>
      <c r="II56" s="80"/>
      <c r="IJ56" s="80"/>
      <c r="IK56" s="80"/>
      <c r="IL56" s="80"/>
      <c r="IM56" s="80"/>
      <c r="IN56" s="80"/>
      <c r="IO56" s="80"/>
      <c r="IP56" s="80"/>
      <c r="IQ56" s="80"/>
      <c r="IR56" s="80"/>
      <c r="IS56" s="80"/>
      <c r="IT56" s="80"/>
      <c r="IU56" s="80"/>
      <c r="IV56" s="80"/>
    </row>
    <row r="57" spans="1:256" ht="14.25" x14ac:dyDescent="0.2">
      <c r="A57" s="78"/>
      <c r="B57" s="78"/>
      <c r="C57" s="78"/>
      <c r="D57" s="87" t="s">
        <v>211</v>
      </c>
      <c r="E57" s="87"/>
      <c r="F57" s="87"/>
      <c r="G57" s="87"/>
      <c r="H57" s="87"/>
      <c r="I57" s="88"/>
      <c r="J57" s="89">
        <f>J56-J60</f>
        <v>11172.44</v>
      </c>
      <c r="K57" s="90"/>
      <c r="L57" s="89">
        <f>L56-L60</f>
        <v>157162.60999999999</v>
      </c>
      <c r="M57" s="82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/>
      <c r="DW57" s="80"/>
      <c r="DX57" s="80"/>
      <c r="DY57" s="80"/>
      <c r="DZ57" s="80"/>
      <c r="EA57" s="80"/>
      <c r="EB57" s="80"/>
      <c r="EC57" s="80"/>
      <c r="ED57" s="80"/>
      <c r="EE57" s="80"/>
      <c r="EF57" s="80"/>
      <c r="EG57" s="80"/>
      <c r="EH57" s="80"/>
      <c r="EI57" s="80"/>
      <c r="EJ57" s="80"/>
      <c r="EK57" s="80"/>
      <c r="EL57" s="80"/>
      <c r="EM57" s="80"/>
      <c r="EN57" s="80"/>
      <c r="EO57" s="80"/>
      <c r="EP57" s="80"/>
      <c r="EQ57" s="80"/>
      <c r="ER57" s="80"/>
      <c r="ES57" s="80"/>
      <c r="ET57" s="80"/>
      <c r="EU57" s="80"/>
      <c r="EV57" s="80"/>
      <c r="EW57" s="80"/>
      <c r="EX57" s="80"/>
      <c r="EY57" s="80"/>
      <c r="EZ57" s="80"/>
      <c r="FA57" s="80"/>
      <c r="FB57" s="80"/>
      <c r="FC57" s="80"/>
      <c r="FD57" s="80"/>
      <c r="FE57" s="80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FZ57" s="80"/>
      <c r="GA57" s="80"/>
      <c r="GB57" s="80"/>
      <c r="GC57" s="80"/>
      <c r="GD57" s="80"/>
      <c r="GE57" s="80"/>
      <c r="GF57" s="80"/>
      <c r="GG57" s="80"/>
      <c r="GH57" s="80"/>
      <c r="GI57" s="80"/>
      <c r="GJ57" s="80"/>
      <c r="GK57" s="80"/>
      <c r="GL57" s="80"/>
      <c r="GM57" s="80"/>
      <c r="GN57" s="80"/>
      <c r="GO57" s="80"/>
      <c r="GP57" s="80"/>
      <c r="GQ57" s="80"/>
      <c r="GR57" s="80"/>
      <c r="GS57" s="80"/>
      <c r="GT57" s="80"/>
      <c r="GU57" s="80"/>
      <c r="GV57" s="80"/>
      <c r="GW57" s="80"/>
      <c r="GX57" s="80"/>
      <c r="GY57" s="80"/>
      <c r="GZ57" s="80"/>
      <c r="HA57" s="80"/>
      <c r="HB57" s="80"/>
      <c r="HC57" s="80"/>
      <c r="HD57" s="80"/>
      <c r="HE57" s="80"/>
      <c r="HF57" s="80"/>
      <c r="HG57" s="80"/>
      <c r="HH57" s="80"/>
      <c r="HI57" s="80"/>
      <c r="HJ57" s="80"/>
      <c r="HK57" s="80"/>
      <c r="HL57" s="80"/>
      <c r="HM57" s="80"/>
      <c r="HN57" s="80"/>
      <c r="HO57" s="80"/>
      <c r="HP57" s="80"/>
      <c r="HQ57" s="80"/>
      <c r="HR57" s="80"/>
      <c r="HS57" s="80"/>
      <c r="HT57" s="80"/>
      <c r="HU57" s="80"/>
      <c r="HV57" s="80"/>
      <c r="HW57" s="80"/>
      <c r="HX57" s="80"/>
      <c r="HY57" s="80"/>
      <c r="HZ57" s="80"/>
      <c r="IA57" s="80"/>
      <c r="IB57" s="80"/>
      <c r="IC57" s="80"/>
      <c r="ID57" s="80"/>
      <c r="IE57" s="80"/>
      <c r="IF57" s="80"/>
      <c r="IG57" s="80"/>
      <c r="IH57" s="80"/>
      <c r="II57" s="80"/>
      <c r="IJ57" s="80"/>
      <c r="IK57" s="80"/>
      <c r="IL57" s="80"/>
      <c r="IM57" s="80"/>
      <c r="IN57" s="80"/>
      <c r="IO57" s="80"/>
      <c r="IP57" s="80"/>
      <c r="IQ57" s="80"/>
      <c r="IR57" s="80"/>
      <c r="IS57" s="80"/>
      <c r="IT57" s="80"/>
      <c r="IU57" s="80"/>
      <c r="IV57" s="80"/>
    </row>
    <row r="58" spans="1:256" ht="14.25" x14ac:dyDescent="0.2">
      <c r="A58" s="78"/>
      <c r="B58" s="78"/>
      <c r="C58" s="78"/>
      <c r="D58" s="87" t="s">
        <v>212</v>
      </c>
      <c r="E58" s="87"/>
      <c r="F58" s="87"/>
      <c r="G58" s="87"/>
      <c r="H58" s="87"/>
      <c r="I58" s="88"/>
      <c r="J58" s="89">
        <f>I50+I49</f>
        <v>2575.65</v>
      </c>
      <c r="K58" s="90"/>
      <c r="L58" s="89">
        <f>K49+K50</f>
        <v>61661.06</v>
      </c>
      <c r="M58" s="82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  <c r="CR58" s="80"/>
      <c r="CS58" s="80"/>
      <c r="CT58" s="80"/>
      <c r="CU58" s="80"/>
      <c r="CV58" s="80"/>
      <c r="CW58" s="80"/>
      <c r="CX58" s="80"/>
      <c r="CY58" s="80"/>
      <c r="CZ58" s="80"/>
      <c r="DA58" s="80"/>
      <c r="DB58" s="80"/>
      <c r="DC58" s="80"/>
      <c r="DD58" s="80"/>
      <c r="DE58" s="80"/>
      <c r="DF58" s="80"/>
      <c r="DG58" s="80"/>
      <c r="DH58" s="80"/>
      <c r="DI58" s="80"/>
      <c r="DJ58" s="80"/>
      <c r="DK58" s="80"/>
      <c r="DL58" s="80"/>
      <c r="DM58" s="80"/>
      <c r="DN58" s="80"/>
      <c r="DO58" s="80"/>
      <c r="DP58" s="80"/>
      <c r="DQ58" s="80"/>
      <c r="DR58" s="80"/>
      <c r="DS58" s="80"/>
      <c r="DT58" s="80"/>
      <c r="DU58" s="80"/>
      <c r="DV58" s="80"/>
      <c r="DW58" s="80"/>
      <c r="DX58" s="80"/>
      <c r="DY58" s="80"/>
      <c r="DZ58" s="80"/>
      <c r="EA58" s="80"/>
      <c r="EB58" s="80"/>
      <c r="EC58" s="80"/>
      <c r="ED58" s="80"/>
      <c r="EE58" s="80"/>
      <c r="EF58" s="80"/>
      <c r="EG58" s="80"/>
      <c r="EH58" s="80"/>
      <c r="EI58" s="80"/>
      <c r="EJ58" s="80"/>
      <c r="EK58" s="80"/>
      <c r="EL58" s="80"/>
      <c r="EM58" s="80"/>
      <c r="EN58" s="80"/>
      <c r="EO58" s="80"/>
      <c r="EP58" s="80"/>
      <c r="EQ58" s="80"/>
      <c r="ER58" s="80"/>
      <c r="ES58" s="80"/>
      <c r="ET58" s="80"/>
      <c r="EU58" s="80"/>
      <c r="EV58" s="80"/>
      <c r="EW58" s="80"/>
      <c r="EX58" s="80"/>
      <c r="EY58" s="80"/>
      <c r="EZ58" s="80"/>
      <c r="FA58" s="80"/>
      <c r="FB58" s="80"/>
      <c r="FC58" s="80"/>
      <c r="FD58" s="80"/>
      <c r="FE58" s="80"/>
      <c r="FF58" s="80"/>
      <c r="FG58" s="80"/>
      <c r="FH58" s="80"/>
      <c r="FI58" s="80"/>
      <c r="FJ58" s="80"/>
      <c r="FK58" s="80"/>
      <c r="FL58" s="80"/>
      <c r="FM58" s="80"/>
      <c r="FN58" s="80"/>
      <c r="FO58" s="80"/>
      <c r="FP58" s="80"/>
      <c r="FQ58" s="80"/>
      <c r="FR58" s="80"/>
      <c r="FS58" s="80"/>
      <c r="FT58" s="80"/>
      <c r="FU58" s="80"/>
      <c r="FV58" s="80"/>
      <c r="FW58" s="80"/>
      <c r="FX58" s="80"/>
      <c r="FY58" s="80"/>
      <c r="FZ58" s="80"/>
      <c r="GA58" s="80"/>
      <c r="GB58" s="80"/>
      <c r="GC58" s="80"/>
      <c r="GD58" s="80"/>
      <c r="GE58" s="80"/>
      <c r="GF58" s="80"/>
      <c r="GG58" s="80"/>
      <c r="GH58" s="80"/>
      <c r="GI58" s="80"/>
      <c r="GJ58" s="80"/>
      <c r="GK58" s="80"/>
      <c r="GL58" s="80"/>
      <c r="GM58" s="80"/>
      <c r="GN58" s="80"/>
      <c r="GO58" s="80"/>
      <c r="GP58" s="80"/>
      <c r="GQ58" s="80"/>
      <c r="GR58" s="80"/>
      <c r="GS58" s="80"/>
      <c r="GT58" s="80"/>
      <c r="GU58" s="80"/>
      <c r="GV58" s="80"/>
      <c r="GW58" s="80"/>
      <c r="GX58" s="80"/>
      <c r="GY58" s="80"/>
      <c r="GZ58" s="80"/>
      <c r="HA58" s="80"/>
      <c r="HB58" s="80"/>
      <c r="HC58" s="80"/>
      <c r="HD58" s="80"/>
      <c r="HE58" s="80"/>
      <c r="HF58" s="80"/>
      <c r="HG58" s="80"/>
      <c r="HH58" s="80"/>
      <c r="HI58" s="80"/>
      <c r="HJ58" s="80"/>
      <c r="HK58" s="80"/>
      <c r="HL58" s="80"/>
      <c r="HM58" s="80"/>
      <c r="HN58" s="80"/>
      <c r="HO58" s="80"/>
      <c r="HP58" s="80"/>
      <c r="HQ58" s="80"/>
      <c r="HR58" s="80"/>
      <c r="HS58" s="80"/>
      <c r="HT58" s="80"/>
      <c r="HU58" s="80"/>
      <c r="HV58" s="80"/>
      <c r="HW58" s="80"/>
      <c r="HX58" s="80"/>
      <c r="HY58" s="80"/>
      <c r="HZ58" s="80"/>
      <c r="IA58" s="80"/>
      <c r="IB58" s="80"/>
      <c r="IC58" s="80"/>
      <c r="ID58" s="80"/>
      <c r="IE58" s="80"/>
      <c r="IF58" s="80"/>
      <c r="IG58" s="80"/>
      <c r="IH58" s="80"/>
      <c r="II58" s="80"/>
      <c r="IJ58" s="80"/>
      <c r="IK58" s="80"/>
      <c r="IL58" s="80"/>
      <c r="IM58" s="80"/>
      <c r="IN58" s="80"/>
      <c r="IO58" s="80"/>
      <c r="IP58" s="80"/>
      <c r="IQ58" s="80"/>
      <c r="IR58" s="80"/>
      <c r="IS58" s="80"/>
      <c r="IT58" s="80"/>
      <c r="IU58" s="80"/>
      <c r="IV58" s="80"/>
    </row>
    <row r="59" spans="1:256" ht="14.25" x14ac:dyDescent="0.2">
      <c r="A59" s="78"/>
      <c r="B59" s="78"/>
      <c r="C59" s="78"/>
      <c r="D59" s="87" t="s">
        <v>213</v>
      </c>
      <c r="E59" s="87"/>
      <c r="F59" s="87"/>
      <c r="G59" s="87"/>
      <c r="H59" s="87"/>
      <c r="I59" s="88"/>
      <c r="J59" s="89">
        <f>I47</f>
        <v>4125.04</v>
      </c>
      <c r="K59" s="90"/>
      <c r="L59" s="89">
        <f>K47</f>
        <v>22852.720000000001</v>
      </c>
      <c r="M59" s="82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  <c r="CR59" s="80"/>
      <c r="CS59" s="80"/>
      <c r="CT59" s="80"/>
      <c r="CU59" s="80"/>
      <c r="CV59" s="80"/>
      <c r="CW59" s="80"/>
      <c r="CX59" s="80"/>
      <c r="CY59" s="80"/>
      <c r="CZ59" s="80"/>
      <c r="DA59" s="80"/>
      <c r="DB59" s="80"/>
      <c r="DC59" s="80"/>
      <c r="DD59" s="80"/>
      <c r="DE59" s="80"/>
      <c r="DF59" s="80"/>
      <c r="DG59" s="80"/>
      <c r="DH59" s="80"/>
      <c r="DI59" s="80"/>
      <c r="DJ59" s="80"/>
      <c r="DK59" s="80"/>
      <c r="DL59" s="80"/>
      <c r="DM59" s="80"/>
      <c r="DN59" s="80"/>
      <c r="DO59" s="80"/>
      <c r="DP59" s="80"/>
      <c r="DQ59" s="80"/>
      <c r="DR59" s="80"/>
      <c r="DS59" s="80"/>
      <c r="DT59" s="80"/>
      <c r="DU59" s="80"/>
      <c r="DV59" s="80"/>
      <c r="DW59" s="80"/>
      <c r="DX59" s="80"/>
      <c r="DY59" s="80"/>
      <c r="DZ59" s="80"/>
      <c r="EA59" s="80"/>
      <c r="EB59" s="80"/>
      <c r="EC59" s="80"/>
      <c r="ED59" s="80"/>
      <c r="EE59" s="80"/>
      <c r="EF59" s="80"/>
      <c r="EG59" s="80"/>
      <c r="EH59" s="80"/>
      <c r="EI59" s="80"/>
      <c r="EJ59" s="80"/>
      <c r="EK59" s="80"/>
      <c r="EL59" s="80"/>
      <c r="EM59" s="80"/>
      <c r="EN59" s="80"/>
      <c r="EO59" s="80"/>
      <c r="EP59" s="80"/>
      <c r="EQ59" s="80"/>
      <c r="ER59" s="80"/>
      <c r="ES59" s="80"/>
      <c r="ET59" s="80"/>
      <c r="EU59" s="80"/>
      <c r="EV59" s="80"/>
      <c r="EW59" s="80"/>
      <c r="EX59" s="80"/>
      <c r="EY59" s="80"/>
      <c r="EZ59" s="80"/>
      <c r="FA59" s="80"/>
      <c r="FB59" s="80"/>
      <c r="FC59" s="80"/>
      <c r="FD59" s="80"/>
      <c r="FE59" s="80"/>
      <c r="FF59" s="80"/>
      <c r="FG59" s="80"/>
      <c r="FH59" s="80"/>
      <c r="FI59" s="80"/>
      <c r="FJ59" s="80"/>
      <c r="FK59" s="80"/>
      <c r="FL59" s="80"/>
      <c r="FM59" s="80"/>
      <c r="FN59" s="80"/>
      <c r="FO59" s="80"/>
      <c r="FP59" s="80"/>
      <c r="FQ59" s="80"/>
      <c r="FR59" s="80"/>
      <c r="FS59" s="80"/>
      <c r="FT59" s="80"/>
      <c r="FU59" s="80"/>
      <c r="FV59" s="80"/>
      <c r="FW59" s="80"/>
      <c r="FX59" s="80"/>
      <c r="FY59" s="80"/>
      <c r="FZ59" s="80"/>
      <c r="GA59" s="80"/>
      <c r="GB59" s="80"/>
      <c r="GC59" s="80"/>
      <c r="GD59" s="80"/>
      <c r="GE59" s="80"/>
      <c r="GF59" s="80"/>
      <c r="GG59" s="80"/>
      <c r="GH59" s="80"/>
      <c r="GI59" s="80"/>
      <c r="GJ59" s="80"/>
      <c r="GK59" s="80"/>
      <c r="GL59" s="80"/>
      <c r="GM59" s="80"/>
      <c r="GN59" s="80"/>
      <c r="GO59" s="80"/>
      <c r="GP59" s="80"/>
      <c r="GQ59" s="80"/>
      <c r="GR59" s="80"/>
      <c r="GS59" s="80"/>
      <c r="GT59" s="80"/>
      <c r="GU59" s="80"/>
      <c r="GV59" s="80"/>
      <c r="GW59" s="80"/>
      <c r="GX59" s="80"/>
      <c r="GY59" s="80"/>
      <c r="GZ59" s="80"/>
      <c r="HA59" s="80"/>
      <c r="HB59" s="80"/>
      <c r="HC59" s="80"/>
      <c r="HD59" s="80"/>
      <c r="HE59" s="80"/>
      <c r="HF59" s="80"/>
      <c r="HG59" s="80"/>
      <c r="HH59" s="80"/>
      <c r="HI59" s="80"/>
      <c r="HJ59" s="80"/>
      <c r="HK59" s="80"/>
      <c r="HL59" s="80"/>
      <c r="HM59" s="80"/>
      <c r="HN59" s="80"/>
      <c r="HO59" s="80"/>
      <c r="HP59" s="80"/>
      <c r="HQ59" s="80"/>
      <c r="HR59" s="80"/>
      <c r="HS59" s="80"/>
      <c r="HT59" s="80"/>
      <c r="HU59" s="80"/>
      <c r="HV59" s="80"/>
      <c r="HW59" s="80"/>
      <c r="HX59" s="80"/>
      <c r="HY59" s="80"/>
      <c r="HZ59" s="80"/>
      <c r="IA59" s="80"/>
      <c r="IB59" s="80"/>
      <c r="IC59" s="80"/>
      <c r="ID59" s="80"/>
      <c r="IE59" s="80"/>
      <c r="IF59" s="80"/>
      <c r="IG59" s="80"/>
      <c r="IH59" s="80"/>
      <c r="II59" s="80"/>
      <c r="IJ59" s="80"/>
      <c r="IK59" s="80"/>
      <c r="IL59" s="80"/>
      <c r="IM59" s="80"/>
      <c r="IN59" s="80"/>
      <c r="IO59" s="80"/>
      <c r="IP59" s="80"/>
      <c r="IQ59" s="80"/>
      <c r="IR59" s="80"/>
      <c r="IS59" s="80"/>
      <c r="IT59" s="80"/>
      <c r="IU59" s="80"/>
      <c r="IV59" s="80"/>
    </row>
    <row r="60" spans="1:256" ht="14.25" x14ac:dyDescent="0.2">
      <c r="A60" s="91"/>
      <c r="B60" s="91"/>
      <c r="C60" s="91"/>
      <c r="D60" s="92" t="s">
        <v>214</v>
      </c>
      <c r="E60" s="92"/>
      <c r="F60" s="92"/>
      <c r="G60" s="92"/>
      <c r="H60" s="92"/>
      <c r="I60" s="93"/>
      <c r="J60" s="94">
        <v>0</v>
      </c>
      <c r="K60" s="95"/>
      <c r="L60" s="94">
        <v>0</v>
      </c>
      <c r="M60" s="82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96"/>
      <c r="DY60" s="96"/>
      <c r="DZ60" s="96"/>
      <c r="EA60" s="96"/>
      <c r="EB60" s="96"/>
      <c r="EC60" s="96"/>
      <c r="ED60" s="96"/>
      <c r="EE60" s="96"/>
      <c r="EF60" s="96"/>
      <c r="EG60" s="96"/>
      <c r="EH60" s="96"/>
      <c r="EI60" s="96"/>
      <c r="EJ60" s="96"/>
      <c r="EK60" s="96"/>
      <c r="EL60" s="96"/>
      <c r="EM60" s="96"/>
      <c r="EN60" s="96"/>
      <c r="EO60" s="96"/>
      <c r="EP60" s="96"/>
      <c r="EQ60" s="96"/>
      <c r="ER60" s="96"/>
      <c r="ES60" s="96"/>
      <c r="ET60" s="96"/>
      <c r="EU60" s="96"/>
      <c r="EV60" s="96"/>
      <c r="EW60" s="96"/>
      <c r="EX60" s="96"/>
      <c r="EY60" s="96"/>
      <c r="EZ60" s="96"/>
      <c r="FA60" s="96"/>
      <c r="FB60" s="96"/>
      <c r="FC60" s="96"/>
      <c r="FD60" s="96"/>
      <c r="FE60" s="96"/>
      <c r="FF60" s="96"/>
      <c r="FG60" s="96"/>
      <c r="FH60" s="96"/>
      <c r="FI60" s="96"/>
      <c r="FJ60" s="96"/>
      <c r="FK60" s="96"/>
      <c r="FL60" s="96"/>
      <c r="FM60" s="96"/>
      <c r="FN60" s="96"/>
      <c r="FO60" s="96"/>
      <c r="FP60" s="96"/>
      <c r="FQ60" s="96"/>
      <c r="FR60" s="96"/>
      <c r="FS60" s="96"/>
      <c r="FT60" s="96"/>
      <c r="FU60" s="96"/>
      <c r="FV60" s="96"/>
      <c r="FW60" s="96"/>
      <c r="FX60" s="96"/>
      <c r="FY60" s="96"/>
      <c r="FZ60" s="96"/>
      <c r="GA60" s="96"/>
      <c r="GB60" s="96"/>
      <c r="GC60" s="96"/>
      <c r="GD60" s="96"/>
      <c r="GE60" s="96"/>
      <c r="GF60" s="96"/>
      <c r="GG60" s="96"/>
      <c r="GH60" s="96"/>
      <c r="GI60" s="96"/>
      <c r="GJ60" s="96"/>
      <c r="GK60" s="96"/>
      <c r="GL60" s="96"/>
      <c r="GM60" s="96"/>
      <c r="GN60" s="96"/>
      <c r="GO60" s="96"/>
      <c r="GP60" s="96"/>
      <c r="GQ60" s="96"/>
      <c r="GR60" s="96"/>
      <c r="GS60" s="96"/>
      <c r="GT60" s="96"/>
      <c r="GU60" s="96"/>
      <c r="GV60" s="96"/>
      <c r="GW60" s="96"/>
      <c r="GX60" s="96"/>
      <c r="GY60" s="96"/>
      <c r="GZ60" s="96"/>
      <c r="HA60" s="96"/>
      <c r="HB60" s="96"/>
      <c r="HC60" s="96"/>
      <c r="HD60" s="96"/>
      <c r="HE60" s="96"/>
      <c r="HF60" s="96"/>
      <c r="HG60" s="96"/>
      <c r="HH60" s="96"/>
      <c r="HI60" s="96"/>
      <c r="HJ60" s="96"/>
      <c r="HK60" s="96"/>
      <c r="HL60" s="96"/>
      <c r="HM60" s="96"/>
      <c r="HN60" s="96"/>
      <c r="HO60" s="96"/>
      <c r="HP60" s="96"/>
      <c r="HQ60" s="96"/>
      <c r="HR60" s="96"/>
      <c r="HS60" s="96"/>
      <c r="HT60" s="96"/>
      <c r="HU60" s="96"/>
      <c r="HV60" s="96"/>
      <c r="HW60" s="96"/>
      <c r="HX60" s="96"/>
      <c r="HY60" s="96"/>
      <c r="HZ60" s="96"/>
      <c r="IA60" s="96"/>
      <c r="IB60" s="96"/>
      <c r="IC60" s="96"/>
      <c r="ID60" s="96"/>
      <c r="IE60" s="96"/>
      <c r="IF60" s="96"/>
      <c r="IG60" s="96"/>
      <c r="IH60" s="96"/>
      <c r="II60" s="96"/>
      <c r="IJ60" s="96"/>
      <c r="IK60" s="96"/>
      <c r="IL60" s="96"/>
      <c r="IM60" s="96"/>
      <c r="IN60" s="96"/>
      <c r="IO60" s="96"/>
      <c r="IP60" s="96"/>
      <c r="IQ60" s="96"/>
      <c r="IR60" s="96"/>
      <c r="IS60" s="96"/>
      <c r="IT60" s="96"/>
      <c r="IU60" s="96"/>
      <c r="IV60" s="96"/>
    </row>
    <row r="61" spans="1:256" x14ac:dyDescent="0.2">
      <c r="A61" s="74"/>
      <c r="B61" s="74"/>
      <c r="C61" s="74"/>
      <c r="D61" s="97" t="s">
        <v>215</v>
      </c>
      <c r="E61" s="97"/>
      <c r="F61" s="97"/>
      <c r="G61" s="97"/>
      <c r="H61" s="97"/>
      <c r="I61" s="97"/>
      <c r="J61" s="98">
        <f>J58*15%</f>
        <v>386.35</v>
      </c>
      <c r="K61" s="98"/>
      <c r="L61" s="98">
        <f>L58*15%</f>
        <v>9249.16</v>
      </c>
      <c r="M61" s="77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</row>
    <row r="62" spans="1:256" x14ac:dyDescent="0.2">
      <c r="A62" s="74"/>
      <c r="B62" s="74"/>
      <c r="C62" s="74"/>
      <c r="D62" s="99" t="s">
        <v>216</v>
      </c>
      <c r="E62" s="100"/>
      <c r="F62" s="100"/>
      <c r="G62" s="100"/>
      <c r="H62" s="100"/>
      <c r="I62" s="100"/>
      <c r="J62" s="101">
        <f>J56+J61</f>
        <v>11558.79</v>
      </c>
      <c r="K62" s="101"/>
      <c r="L62" s="101">
        <f>L56+L61</f>
        <v>166411.76999999999</v>
      </c>
      <c r="M62" s="77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</row>
    <row r="63" spans="1:256" x14ac:dyDescent="0.2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2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  <c r="FH63" s="81"/>
      <c r="FI63" s="81"/>
      <c r="FJ63" s="81"/>
      <c r="FK63" s="81"/>
      <c r="FL63" s="81"/>
      <c r="FM63" s="81"/>
      <c r="FN63" s="81"/>
      <c r="FO63" s="81"/>
      <c r="FP63" s="81"/>
      <c r="FQ63" s="81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1"/>
      <c r="GR63" s="81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1"/>
      <c r="HW63" s="81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  <c r="IP63" s="81"/>
      <c r="IQ63" s="81"/>
      <c r="IR63" s="81"/>
      <c r="IS63" s="81"/>
      <c r="IT63" s="81"/>
      <c r="IU63" s="81"/>
      <c r="IV63" s="81"/>
    </row>
    <row r="64" spans="1:256" x14ac:dyDescent="0.2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2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  <c r="DT64" s="81"/>
      <c r="DU64" s="81"/>
      <c r="DV64" s="81"/>
      <c r="DW64" s="81"/>
      <c r="DX64" s="81"/>
      <c r="DY64" s="81"/>
      <c r="DZ64" s="81"/>
      <c r="EA64" s="81"/>
      <c r="EB64" s="81"/>
      <c r="EC64" s="81"/>
      <c r="ED64" s="81"/>
      <c r="EE64" s="81"/>
      <c r="EF64" s="81"/>
      <c r="EG64" s="81"/>
      <c r="EH64" s="81"/>
      <c r="EI64" s="81"/>
      <c r="EJ64" s="81"/>
      <c r="EK64" s="81"/>
      <c r="EL64" s="81"/>
      <c r="EM64" s="81"/>
      <c r="EN64" s="81"/>
      <c r="EO64" s="81"/>
      <c r="EP64" s="81"/>
      <c r="EQ64" s="81"/>
      <c r="ER64" s="81"/>
      <c r="ES64" s="81"/>
      <c r="ET64" s="81"/>
      <c r="EU64" s="81"/>
      <c r="EV64" s="81"/>
      <c r="EW64" s="81"/>
      <c r="EX64" s="81"/>
      <c r="EY64" s="81"/>
      <c r="EZ64" s="81"/>
      <c r="FA64" s="81"/>
      <c r="FB64" s="81"/>
      <c r="FC64" s="81"/>
      <c r="FD64" s="81"/>
      <c r="FE64" s="81"/>
      <c r="FF64" s="81"/>
      <c r="FG64" s="81"/>
      <c r="FH64" s="81"/>
      <c r="FI64" s="81"/>
      <c r="FJ64" s="81"/>
      <c r="FK64" s="81"/>
      <c r="FL64" s="81"/>
      <c r="FM64" s="81"/>
      <c r="FN64" s="81"/>
      <c r="FO64" s="81"/>
      <c r="FP64" s="81"/>
      <c r="FQ64" s="81"/>
      <c r="FR64" s="81"/>
      <c r="FS64" s="81"/>
      <c r="FT64" s="81"/>
      <c r="FU64" s="81"/>
      <c r="FV64" s="81"/>
      <c r="FW64" s="81"/>
      <c r="FX64" s="81"/>
      <c r="FY64" s="81"/>
      <c r="FZ64" s="81"/>
      <c r="GA64" s="81"/>
      <c r="GB64" s="81"/>
      <c r="GC64" s="81"/>
      <c r="GD64" s="81"/>
      <c r="GE64" s="81"/>
      <c r="GF64" s="81"/>
      <c r="GG64" s="81"/>
      <c r="GH64" s="81"/>
      <c r="GI64" s="81"/>
      <c r="GJ64" s="81"/>
      <c r="GK64" s="81"/>
      <c r="GL64" s="81"/>
      <c r="GM64" s="81"/>
      <c r="GN64" s="81"/>
      <c r="GO64" s="81"/>
      <c r="GP64" s="81"/>
      <c r="GQ64" s="81"/>
      <c r="GR64" s="81"/>
      <c r="GS64" s="81"/>
      <c r="GT64" s="81"/>
      <c r="GU64" s="81"/>
      <c r="GV64" s="81"/>
      <c r="GW64" s="81"/>
      <c r="GX64" s="81"/>
      <c r="GY64" s="81"/>
      <c r="GZ64" s="81"/>
      <c r="HA64" s="81"/>
      <c r="HB64" s="81"/>
      <c r="HC64" s="81"/>
      <c r="HD64" s="81"/>
      <c r="HE64" s="81"/>
      <c r="HF64" s="81"/>
      <c r="HG64" s="81"/>
      <c r="HH64" s="81"/>
      <c r="HI64" s="81"/>
      <c r="HJ64" s="81"/>
      <c r="HK64" s="81"/>
      <c r="HL64" s="81"/>
      <c r="HM64" s="81"/>
      <c r="HN64" s="81"/>
      <c r="HO64" s="81"/>
      <c r="HP64" s="81"/>
      <c r="HQ64" s="81"/>
      <c r="HR64" s="81"/>
      <c r="HS64" s="81"/>
      <c r="HT64" s="81"/>
      <c r="HU64" s="81"/>
      <c r="HV64" s="81"/>
      <c r="HW64" s="81"/>
      <c r="HX64" s="81"/>
      <c r="HY64" s="81"/>
      <c r="HZ64" s="81"/>
      <c r="IA64" s="81"/>
      <c r="IB64" s="81"/>
      <c r="IC64" s="81"/>
      <c r="ID64" s="81"/>
      <c r="IE64" s="81"/>
      <c r="IF64" s="81"/>
      <c r="IG64" s="81"/>
      <c r="IH64" s="81"/>
      <c r="II64" s="81"/>
      <c r="IJ64" s="81"/>
      <c r="IK64" s="81"/>
      <c r="IL64" s="81"/>
      <c r="IM64" s="81"/>
      <c r="IN64" s="81"/>
      <c r="IO64" s="81"/>
      <c r="IP64" s="81"/>
      <c r="IQ64" s="81"/>
      <c r="IR64" s="81"/>
      <c r="IS64" s="81"/>
      <c r="IT64" s="81"/>
      <c r="IU64" s="81"/>
      <c r="IV64" s="81"/>
    </row>
    <row r="65" spans="1:256" x14ac:dyDescent="0.2">
      <c r="A65" s="75"/>
      <c r="B65" s="75"/>
      <c r="C65" s="75"/>
      <c r="D65" s="99" t="s">
        <v>217</v>
      </c>
      <c r="E65" s="97"/>
      <c r="F65" s="97"/>
      <c r="G65" s="97"/>
      <c r="H65" s="97"/>
      <c r="I65" s="97"/>
      <c r="J65" s="102">
        <f>J56</f>
        <v>11172.44</v>
      </c>
      <c r="K65" s="102"/>
      <c r="L65" s="102">
        <f>L56*0.925</f>
        <v>145375.41</v>
      </c>
      <c r="M65" s="103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04"/>
      <c r="BS65" s="104"/>
      <c r="BT65" s="104"/>
      <c r="BU65" s="104"/>
      <c r="BV65" s="104"/>
      <c r="BW65" s="104"/>
      <c r="BX65" s="104"/>
      <c r="BY65" s="104"/>
      <c r="BZ65" s="104"/>
      <c r="CA65" s="104"/>
      <c r="CB65" s="104"/>
      <c r="CC65" s="104"/>
      <c r="CD65" s="104"/>
      <c r="CE65" s="104"/>
      <c r="CF65" s="104"/>
      <c r="CG65" s="104"/>
      <c r="CH65" s="104"/>
      <c r="CI65" s="104"/>
      <c r="CJ65" s="104"/>
      <c r="CK65" s="104"/>
      <c r="CL65" s="104"/>
      <c r="CM65" s="104"/>
      <c r="CN65" s="104"/>
      <c r="CO65" s="104"/>
      <c r="CP65" s="104"/>
      <c r="CQ65" s="104"/>
      <c r="CR65" s="104"/>
      <c r="CS65" s="104"/>
      <c r="CT65" s="104"/>
      <c r="CU65" s="104"/>
      <c r="CV65" s="104"/>
      <c r="CW65" s="104"/>
      <c r="CX65" s="104"/>
      <c r="CY65" s="104"/>
      <c r="CZ65" s="104"/>
      <c r="DA65" s="104"/>
      <c r="DB65" s="104"/>
      <c r="DC65" s="104"/>
      <c r="DD65" s="104"/>
      <c r="DE65" s="104"/>
      <c r="DF65" s="104"/>
      <c r="DG65" s="104"/>
      <c r="DH65" s="104"/>
      <c r="DI65" s="104"/>
      <c r="DJ65" s="104"/>
      <c r="DK65" s="104"/>
      <c r="DL65" s="104"/>
      <c r="DM65" s="104"/>
      <c r="DN65" s="104"/>
      <c r="DO65" s="104"/>
      <c r="DP65" s="104"/>
      <c r="DQ65" s="104"/>
      <c r="DR65" s="104"/>
      <c r="DS65" s="104"/>
      <c r="DT65" s="104"/>
      <c r="DU65" s="104"/>
      <c r="DV65" s="104"/>
      <c r="DW65" s="104"/>
      <c r="DX65" s="104"/>
      <c r="DY65" s="104"/>
      <c r="DZ65" s="104"/>
      <c r="EA65" s="104"/>
      <c r="EB65" s="104"/>
      <c r="EC65" s="104"/>
      <c r="ED65" s="104"/>
      <c r="EE65" s="104"/>
      <c r="EF65" s="104"/>
      <c r="EG65" s="104"/>
      <c r="EH65" s="104"/>
      <c r="EI65" s="104"/>
      <c r="EJ65" s="104"/>
      <c r="EK65" s="104"/>
      <c r="EL65" s="104"/>
      <c r="EM65" s="104"/>
      <c r="EN65" s="104"/>
      <c r="EO65" s="104"/>
      <c r="EP65" s="104"/>
      <c r="EQ65" s="104"/>
      <c r="ER65" s="104"/>
      <c r="ES65" s="104"/>
      <c r="ET65" s="104"/>
      <c r="EU65" s="104"/>
      <c r="EV65" s="104"/>
      <c r="EW65" s="104"/>
      <c r="EX65" s="104"/>
      <c r="EY65" s="104"/>
      <c r="EZ65" s="104"/>
      <c r="FA65" s="104"/>
      <c r="FB65" s="104"/>
      <c r="FC65" s="104"/>
      <c r="FD65" s="104"/>
      <c r="FE65" s="104"/>
      <c r="FF65" s="104"/>
      <c r="FG65" s="104"/>
      <c r="FH65" s="104"/>
      <c r="FI65" s="104"/>
      <c r="FJ65" s="104"/>
      <c r="FK65" s="104"/>
      <c r="FL65" s="104"/>
      <c r="FM65" s="104"/>
      <c r="FN65" s="104"/>
      <c r="FO65" s="104"/>
      <c r="FP65" s="104"/>
      <c r="FQ65" s="104"/>
      <c r="FR65" s="104"/>
      <c r="FS65" s="104"/>
      <c r="FT65" s="104"/>
      <c r="FU65" s="104"/>
      <c r="FV65" s="104"/>
      <c r="FW65" s="104"/>
      <c r="FX65" s="104"/>
      <c r="FY65" s="104"/>
      <c r="FZ65" s="104"/>
      <c r="GA65" s="104"/>
      <c r="GB65" s="104"/>
      <c r="GC65" s="104"/>
      <c r="GD65" s="104"/>
      <c r="GE65" s="104"/>
      <c r="GF65" s="104"/>
      <c r="GG65" s="104"/>
      <c r="GH65" s="104"/>
      <c r="GI65" s="104"/>
      <c r="GJ65" s="104"/>
      <c r="GK65" s="104"/>
      <c r="GL65" s="104"/>
      <c r="GM65" s="104"/>
      <c r="GN65" s="104"/>
      <c r="GO65" s="104"/>
      <c r="GP65" s="104"/>
      <c r="GQ65" s="104"/>
      <c r="GR65" s="104"/>
      <c r="GS65" s="104"/>
      <c r="GT65" s="104"/>
      <c r="GU65" s="104"/>
      <c r="GV65" s="104"/>
      <c r="GW65" s="104"/>
      <c r="GX65" s="104"/>
      <c r="GY65" s="104"/>
      <c r="GZ65" s="104"/>
      <c r="HA65" s="104"/>
      <c r="HB65" s="104"/>
      <c r="HC65" s="104"/>
      <c r="HD65" s="104"/>
      <c r="HE65" s="104"/>
      <c r="HF65" s="104"/>
      <c r="HG65" s="104"/>
      <c r="HH65" s="104"/>
      <c r="HI65" s="104"/>
      <c r="HJ65" s="104"/>
      <c r="HK65" s="104"/>
      <c r="HL65" s="104"/>
      <c r="HM65" s="104"/>
      <c r="HN65" s="104"/>
      <c r="HO65" s="104"/>
      <c r="HP65" s="104"/>
      <c r="HQ65" s="104"/>
      <c r="HR65" s="104"/>
      <c r="HS65" s="104"/>
      <c r="HT65" s="104"/>
      <c r="HU65" s="104"/>
      <c r="HV65" s="104"/>
      <c r="HW65" s="104"/>
      <c r="HX65" s="104"/>
      <c r="HY65" s="104"/>
      <c r="HZ65" s="104"/>
      <c r="IA65" s="104"/>
      <c r="IB65" s="104"/>
      <c r="IC65" s="104"/>
      <c r="ID65" s="104"/>
      <c r="IE65" s="104"/>
      <c r="IF65" s="104"/>
      <c r="IG65" s="104"/>
      <c r="IH65" s="104"/>
      <c r="II65" s="104"/>
      <c r="IJ65" s="104"/>
      <c r="IK65" s="104"/>
      <c r="IL65" s="104"/>
      <c r="IM65" s="104"/>
      <c r="IN65" s="104"/>
      <c r="IO65" s="104"/>
      <c r="IP65" s="104"/>
      <c r="IQ65" s="104"/>
      <c r="IR65" s="104"/>
      <c r="IS65" s="104"/>
      <c r="IT65" s="104"/>
      <c r="IU65" s="104"/>
      <c r="IV65" s="104"/>
    </row>
    <row r="66" spans="1:256" x14ac:dyDescent="0.2">
      <c r="A66" s="75"/>
      <c r="B66" s="75"/>
      <c r="C66" s="75"/>
      <c r="D66" s="97" t="s">
        <v>211</v>
      </c>
      <c r="E66" s="97"/>
      <c r="F66" s="97"/>
      <c r="G66" s="97"/>
      <c r="H66" s="97"/>
      <c r="I66" s="97"/>
      <c r="J66" s="98">
        <f>J65</f>
        <v>11172.44</v>
      </c>
      <c r="K66" s="98"/>
      <c r="L66" s="98">
        <f>L65</f>
        <v>145375.41</v>
      </c>
      <c r="M66" s="103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104"/>
      <c r="CK66" s="104"/>
      <c r="CL66" s="104"/>
      <c r="CM66" s="104"/>
      <c r="CN66" s="104"/>
      <c r="CO66" s="104"/>
      <c r="CP66" s="104"/>
      <c r="CQ66" s="104"/>
      <c r="CR66" s="104"/>
      <c r="CS66" s="104"/>
      <c r="CT66" s="104"/>
      <c r="CU66" s="104"/>
      <c r="CV66" s="104"/>
      <c r="CW66" s="104"/>
      <c r="CX66" s="104"/>
      <c r="CY66" s="104"/>
      <c r="CZ66" s="104"/>
      <c r="DA66" s="104"/>
      <c r="DB66" s="104"/>
      <c r="DC66" s="104"/>
      <c r="DD66" s="104"/>
      <c r="DE66" s="104"/>
      <c r="DF66" s="104"/>
      <c r="DG66" s="104"/>
      <c r="DH66" s="104"/>
      <c r="DI66" s="104"/>
      <c r="DJ66" s="104"/>
      <c r="DK66" s="104"/>
      <c r="DL66" s="104"/>
      <c r="DM66" s="104"/>
      <c r="DN66" s="104"/>
      <c r="DO66" s="104"/>
      <c r="DP66" s="104"/>
      <c r="DQ66" s="104"/>
      <c r="DR66" s="104"/>
      <c r="DS66" s="104"/>
      <c r="DT66" s="104"/>
      <c r="DU66" s="104"/>
      <c r="DV66" s="104"/>
      <c r="DW66" s="104"/>
      <c r="DX66" s="104"/>
      <c r="DY66" s="104"/>
      <c r="DZ66" s="104"/>
      <c r="EA66" s="104"/>
      <c r="EB66" s="104"/>
      <c r="EC66" s="104"/>
      <c r="ED66" s="104"/>
      <c r="EE66" s="104"/>
      <c r="EF66" s="104"/>
      <c r="EG66" s="104"/>
      <c r="EH66" s="104"/>
      <c r="EI66" s="104"/>
      <c r="EJ66" s="104"/>
      <c r="EK66" s="104"/>
      <c r="EL66" s="104"/>
      <c r="EM66" s="104"/>
      <c r="EN66" s="104"/>
      <c r="EO66" s="104"/>
      <c r="EP66" s="104"/>
      <c r="EQ66" s="104"/>
      <c r="ER66" s="104"/>
      <c r="ES66" s="104"/>
      <c r="ET66" s="104"/>
      <c r="EU66" s="104"/>
      <c r="EV66" s="104"/>
      <c r="EW66" s="104"/>
      <c r="EX66" s="104"/>
      <c r="EY66" s="104"/>
      <c r="EZ66" s="104"/>
      <c r="FA66" s="104"/>
      <c r="FB66" s="104"/>
      <c r="FC66" s="104"/>
      <c r="FD66" s="104"/>
      <c r="FE66" s="104"/>
      <c r="FF66" s="104"/>
      <c r="FG66" s="104"/>
      <c r="FH66" s="104"/>
      <c r="FI66" s="104"/>
      <c r="FJ66" s="104"/>
      <c r="FK66" s="104"/>
      <c r="FL66" s="104"/>
      <c r="FM66" s="104"/>
      <c r="FN66" s="104"/>
      <c r="FO66" s="104"/>
      <c r="FP66" s="104"/>
      <c r="FQ66" s="104"/>
      <c r="FR66" s="104"/>
      <c r="FS66" s="104"/>
      <c r="FT66" s="104"/>
      <c r="FU66" s="104"/>
      <c r="FV66" s="104"/>
      <c r="FW66" s="104"/>
      <c r="FX66" s="104"/>
      <c r="FY66" s="104"/>
      <c r="FZ66" s="104"/>
      <c r="GA66" s="104"/>
      <c r="GB66" s="104"/>
      <c r="GC66" s="104"/>
      <c r="GD66" s="104"/>
      <c r="GE66" s="104"/>
      <c r="GF66" s="104"/>
      <c r="GG66" s="104"/>
      <c r="GH66" s="104"/>
      <c r="GI66" s="104"/>
      <c r="GJ66" s="104"/>
      <c r="GK66" s="104"/>
      <c r="GL66" s="104"/>
      <c r="GM66" s="104"/>
      <c r="GN66" s="104"/>
      <c r="GO66" s="104"/>
      <c r="GP66" s="104"/>
      <c r="GQ66" s="104"/>
      <c r="GR66" s="104"/>
      <c r="GS66" s="104"/>
      <c r="GT66" s="104"/>
      <c r="GU66" s="104"/>
      <c r="GV66" s="104"/>
      <c r="GW66" s="104"/>
      <c r="GX66" s="104"/>
      <c r="GY66" s="104"/>
      <c r="GZ66" s="104"/>
      <c r="HA66" s="104"/>
      <c r="HB66" s="104"/>
      <c r="HC66" s="104"/>
      <c r="HD66" s="104"/>
      <c r="HE66" s="104"/>
      <c r="HF66" s="104"/>
      <c r="HG66" s="104"/>
      <c r="HH66" s="104"/>
      <c r="HI66" s="104"/>
      <c r="HJ66" s="104"/>
      <c r="HK66" s="104"/>
      <c r="HL66" s="104"/>
      <c r="HM66" s="104"/>
      <c r="HN66" s="104"/>
      <c r="HO66" s="104"/>
      <c r="HP66" s="104"/>
      <c r="HQ66" s="104"/>
      <c r="HR66" s="104"/>
      <c r="HS66" s="104"/>
      <c r="HT66" s="104"/>
      <c r="HU66" s="104"/>
      <c r="HV66" s="104"/>
      <c r="HW66" s="104"/>
      <c r="HX66" s="104"/>
      <c r="HY66" s="104"/>
      <c r="HZ66" s="104"/>
      <c r="IA66" s="104"/>
      <c r="IB66" s="104"/>
      <c r="IC66" s="104"/>
      <c r="ID66" s="104"/>
      <c r="IE66" s="104"/>
      <c r="IF66" s="104"/>
      <c r="IG66" s="104"/>
      <c r="IH66" s="104"/>
      <c r="II66" s="104"/>
      <c r="IJ66" s="104"/>
      <c r="IK66" s="104"/>
      <c r="IL66" s="104"/>
      <c r="IM66" s="104"/>
      <c r="IN66" s="104"/>
      <c r="IO66" s="104"/>
      <c r="IP66" s="104"/>
      <c r="IQ66" s="104"/>
      <c r="IR66" s="104"/>
      <c r="IS66" s="104"/>
      <c r="IT66" s="104"/>
      <c r="IU66" s="104"/>
      <c r="IV66" s="104"/>
    </row>
    <row r="67" spans="1:256" x14ac:dyDescent="0.2">
      <c r="A67" s="75"/>
      <c r="B67" s="75"/>
      <c r="C67" s="75"/>
      <c r="D67" s="97" t="s">
        <v>212</v>
      </c>
      <c r="E67" s="97"/>
      <c r="F67" s="97"/>
      <c r="G67" s="97"/>
      <c r="H67" s="97"/>
      <c r="I67" s="97"/>
      <c r="J67" s="98">
        <f>J58</f>
        <v>2575.65</v>
      </c>
      <c r="K67" s="98"/>
      <c r="L67" s="98">
        <f>L58*0.925</f>
        <v>57036.480000000003</v>
      </c>
      <c r="M67" s="103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104"/>
      <c r="CK67" s="10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4"/>
      <c r="CX67" s="104"/>
      <c r="CY67" s="104"/>
      <c r="CZ67" s="104"/>
      <c r="DA67" s="104"/>
      <c r="DB67" s="104"/>
      <c r="DC67" s="104"/>
      <c r="DD67" s="104"/>
      <c r="DE67" s="104"/>
      <c r="DF67" s="10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  <c r="DX67" s="104"/>
      <c r="DY67" s="104"/>
      <c r="DZ67" s="104"/>
      <c r="EA67" s="10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4"/>
      <c r="ET67" s="104"/>
      <c r="EU67" s="104"/>
      <c r="EV67" s="104"/>
      <c r="EW67" s="104"/>
      <c r="EX67" s="104"/>
      <c r="EY67" s="104"/>
      <c r="EZ67" s="104"/>
      <c r="FA67" s="104"/>
      <c r="FB67" s="104"/>
      <c r="FC67" s="104"/>
      <c r="FD67" s="104"/>
      <c r="FE67" s="104"/>
      <c r="FF67" s="104"/>
      <c r="FG67" s="104"/>
      <c r="FH67" s="104"/>
      <c r="FI67" s="104"/>
      <c r="FJ67" s="104"/>
      <c r="FK67" s="104"/>
      <c r="FL67" s="104"/>
      <c r="FM67" s="104"/>
      <c r="FN67" s="104"/>
      <c r="FO67" s="104"/>
      <c r="FP67" s="104"/>
      <c r="FQ67" s="104"/>
      <c r="FR67" s="104"/>
      <c r="FS67" s="104"/>
      <c r="FT67" s="104"/>
      <c r="FU67" s="104"/>
      <c r="FV67" s="104"/>
      <c r="FW67" s="104"/>
      <c r="FX67" s="104"/>
      <c r="FY67" s="104"/>
      <c r="FZ67" s="104"/>
      <c r="GA67" s="104"/>
      <c r="GB67" s="104"/>
      <c r="GC67" s="104"/>
      <c r="GD67" s="104"/>
      <c r="GE67" s="104"/>
      <c r="GF67" s="104"/>
      <c r="GG67" s="104"/>
      <c r="GH67" s="104"/>
      <c r="GI67" s="104"/>
      <c r="GJ67" s="104"/>
      <c r="GK67" s="104"/>
      <c r="GL67" s="104"/>
      <c r="GM67" s="104"/>
      <c r="GN67" s="104"/>
      <c r="GO67" s="104"/>
      <c r="GP67" s="104"/>
      <c r="GQ67" s="104"/>
      <c r="GR67" s="104"/>
      <c r="GS67" s="104"/>
      <c r="GT67" s="104"/>
      <c r="GU67" s="104"/>
      <c r="GV67" s="104"/>
      <c r="GW67" s="104"/>
      <c r="GX67" s="104"/>
      <c r="GY67" s="104"/>
      <c r="GZ67" s="104"/>
      <c r="HA67" s="104"/>
      <c r="HB67" s="104"/>
      <c r="HC67" s="104"/>
      <c r="HD67" s="104"/>
      <c r="HE67" s="104"/>
      <c r="HF67" s="104"/>
      <c r="HG67" s="104"/>
      <c r="HH67" s="104"/>
      <c r="HI67" s="104"/>
      <c r="HJ67" s="104"/>
      <c r="HK67" s="104"/>
      <c r="HL67" s="104"/>
      <c r="HM67" s="104"/>
      <c r="HN67" s="104"/>
      <c r="HO67" s="104"/>
      <c r="HP67" s="104"/>
      <c r="HQ67" s="104"/>
      <c r="HR67" s="104"/>
      <c r="HS67" s="104"/>
      <c r="HT67" s="104"/>
      <c r="HU67" s="104"/>
      <c r="HV67" s="104"/>
      <c r="HW67" s="104"/>
      <c r="HX67" s="104"/>
      <c r="HY67" s="104"/>
      <c r="HZ67" s="104"/>
      <c r="IA67" s="104"/>
      <c r="IB67" s="104"/>
      <c r="IC67" s="104"/>
      <c r="ID67" s="104"/>
      <c r="IE67" s="104"/>
      <c r="IF67" s="104"/>
      <c r="IG67" s="104"/>
      <c r="IH67" s="104"/>
      <c r="II67" s="104"/>
      <c r="IJ67" s="104"/>
      <c r="IK67" s="104"/>
      <c r="IL67" s="104"/>
      <c r="IM67" s="104"/>
      <c r="IN67" s="104"/>
      <c r="IO67" s="104"/>
      <c r="IP67" s="104"/>
      <c r="IQ67" s="104"/>
      <c r="IR67" s="104"/>
      <c r="IS67" s="104"/>
      <c r="IT67" s="104"/>
      <c r="IU67" s="104"/>
      <c r="IV67" s="104"/>
    </row>
    <row r="68" spans="1:256" x14ac:dyDescent="0.2">
      <c r="A68" s="75"/>
      <c r="B68" s="75"/>
      <c r="C68" s="75"/>
      <c r="D68" s="97" t="s">
        <v>213</v>
      </c>
      <c r="E68" s="97"/>
      <c r="F68" s="97"/>
      <c r="G68" s="97"/>
      <c r="H68" s="97"/>
      <c r="I68" s="97"/>
      <c r="J68" s="98">
        <f>J59</f>
        <v>4125.04</v>
      </c>
      <c r="K68" s="98"/>
      <c r="L68" s="98">
        <f>L59*0.925</f>
        <v>21138.77</v>
      </c>
      <c r="M68" s="103"/>
    </row>
    <row r="69" spans="1:256" x14ac:dyDescent="0.2">
      <c r="A69" s="75"/>
      <c r="B69" s="75"/>
      <c r="C69" s="75"/>
      <c r="D69" s="105" t="s">
        <v>214</v>
      </c>
      <c r="E69" s="97"/>
      <c r="F69" s="97"/>
      <c r="G69" s="97"/>
      <c r="H69" s="97"/>
      <c r="I69" s="97"/>
      <c r="J69" s="106">
        <v>0</v>
      </c>
      <c r="K69" s="98"/>
      <c r="L69" s="106">
        <v>0</v>
      </c>
      <c r="M69" s="103"/>
    </row>
    <row r="70" spans="1:256" x14ac:dyDescent="0.2">
      <c r="A70" s="75"/>
      <c r="B70" s="75"/>
      <c r="C70" s="75"/>
      <c r="D70" s="97" t="s">
        <v>215</v>
      </c>
      <c r="E70" s="97"/>
      <c r="F70" s="97"/>
      <c r="G70" s="97"/>
      <c r="H70" s="97"/>
      <c r="I70" s="97"/>
      <c r="J70" s="98">
        <f>J67*0.15</f>
        <v>386.35</v>
      </c>
      <c r="K70" s="98"/>
      <c r="L70" s="98">
        <f>L67*0.15</f>
        <v>8555.4699999999993</v>
      </c>
      <c r="M70" s="103"/>
    </row>
    <row r="71" spans="1:256" x14ac:dyDescent="0.2">
      <c r="A71" s="75"/>
      <c r="B71" s="75"/>
      <c r="C71" s="75"/>
      <c r="D71" s="99" t="s">
        <v>218</v>
      </c>
      <c r="E71" s="100"/>
      <c r="F71" s="100"/>
      <c r="G71" s="100"/>
      <c r="H71" s="100"/>
      <c r="I71" s="100"/>
      <c r="J71" s="102">
        <f>J70+J65</f>
        <v>11558.79</v>
      </c>
      <c r="K71" s="100"/>
      <c r="L71" s="102">
        <f>L70+L65</f>
        <v>153930.88</v>
      </c>
      <c r="M71" s="103"/>
    </row>
    <row r="72" spans="1:256" x14ac:dyDescent="0.2">
      <c r="A72" s="75"/>
      <c r="B72" s="75"/>
      <c r="C72" s="75"/>
      <c r="D72" s="107"/>
      <c r="E72" s="107"/>
      <c r="F72" s="107"/>
      <c r="G72" s="107"/>
      <c r="H72" s="107"/>
      <c r="I72" s="107"/>
      <c r="J72" s="107"/>
      <c r="K72" s="107"/>
      <c r="L72" s="107"/>
      <c r="M72" s="103"/>
    </row>
    <row r="73" spans="1:256" x14ac:dyDescent="0.2">
      <c r="A73" s="75"/>
      <c r="B73" s="75"/>
      <c r="C73" s="75"/>
      <c r="D73" s="107"/>
      <c r="E73" s="107"/>
      <c r="F73" s="107"/>
      <c r="G73" s="107"/>
      <c r="H73" s="107"/>
      <c r="I73" s="107"/>
      <c r="J73" s="107"/>
      <c r="K73" s="107"/>
      <c r="L73" s="107"/>
      <c r="M73" s="103"/>
    </row>
    <row r="74" spans="1:256" x14ac:dyDescent="0.2">
      <c r="A74" s="75"/>
      <c r="B74" s="75"/>
      <c r="C74" s="75"/>
      <c r="D74" s="108" t="s">
        <v>219</v>
      </c>
      <c r="E74" s="109"/>
      <c r="F74" s="109"/>
      <c r="G74" s="109"/>
      <c r="H74" s="109"/>
      <c r="I74" s="110"/>
      <c r="J74" s="111">
        <f>J71</f>
        <v>11558.79</v>
      </c>
      <c r="K74" s="112"/>
      <c r="L74" s="111">
        <f>L71</f>
        <v>153930.88</v>
      </c>
      <c r="M74" s="103"/>
    </row>
    <row r="75" spans="1:256" x14ac:dyDescent="0.2">
      <c r="A75" s="75"/>
      <c r="B75" s="75"/>
      <c r="C75" s="75"/>
      <c r="D75" s="113" t="s">
        <v>220</v>
      </c>
      <c r="E75" s="114"/>
      <c r="F75" s="114"/>
      <c r="G75" s="114"/>
      <c r="H75" s="114"/>
      <c r="I75" s="115"/>
      <c r="J75" s="116">
        <f>J66</f>
        <v>11172.44</v>
      </c>
      <c r="K75" s="117"/>
      <c r="L75" s="116">
        <f>L66</f>
        <v>145375.41</v>
      </c>
      <c r="M75" s="103"/>
    </row>
    <row r="76" spans="1:256" x14ac:dyDescent="0.2">
      <c r="A76" s="75"/>
      <c r="B76" s="75"/>
      <c r="C76" s="75"/>
      <c r="D76" s="113" t="s">
        <v>221</v>
      </c>
      <c r="E76" s="114"/>
      <c r="F76" s="114"/>
      <c r="G76" s="114"/>
      <c r="H76" s="114"/>
      <c r="I76" s="115"/>
      <c r="J76" s="116">
        <f>J70</f>
        <v>386.35</v>
      </c>
      <c r="K76" s="118"/>
      <c r="L76" s="116">
        <f>L70</f>
        <v>8555.4699999999993</v>
      </c>
      <c r="M76" s="103"/>
    </row>
    <row r="77" spans="1:256" x14ac:dyDescent="0.2">
      <c r="A77" s="75"/>
      <c r="B77" s="75"/>
      <c r="C77" s="75"/>
      <c r="D77" s="113" t="s">
        <v>222</v>
      </c>
      <c r="E77" s="114"/>
      <c r="F77" s="114"/>
      <c r="G77" s="114"/>
      <c r="H77" s="114"/>
      <c r="I77" s="115"/>
      <c r="J77" s="116">
        <v>0</v>
      </c>
      <c r="K77" s="116"/>
      <c r="L77" s="116">
        <v>0</v>
      </c>
      <c r="M77" s="103"/>
    </row>
    <row r="78" spans="1:256" x14ac:dyDescent="0.2">
      <c r="A78" s="75"/>
      <c r="B78" s="75"/>
      <c r="C78" s="75"/>
      <c r="D78" s="113" t="s">
        <v>223</v>
      </c>
      <c r="E78" s="114"/>
      <c r="F78" s="114"/>
      <c r="G78" s="114"/>
      <c r="H78" s="114"/>
      <c r="I78" s="115"/>
      <c r="J78" s="119">
        <v>0</v>
      </c>
      <c r="K78" s="119"/>
      <c r="L78" s="119">
        <v>0</v>
      </c>
      <c r="M78" s="103"/>
    </row>
    <row r="82" spans="1:14" x14ac:dyDescent="0.2">
      <c r="A82" s="544" t="s">
        <v>224</v>
      </c>
      <c r="B82" s="544"/>
      <c r="C82" s="544"/>
      <c r="D82" s="544"/>
      <c r="E82" s="544"/>
      <c r="F82" s="544"/>
      <c r="G82" s="544"/>
      <c r="H82" s="544"/>
      <c r="I82" s="544"/>
      <c r="J82" s="120"/>
      <c r="K82" s="545" t="s">
        <v>228</v>
      </c>
      <c r="L82" s="545"/>
      <c r="M82" s="103"/>
      <c r="N82" s="104"/>
    </row>
    <row r="83" spans="1:14" x14ac:dyDescent="0.2">
      <c r="A83" s="107"/>
      <c r="B83" s="107"/>
      <c r="C83" s="107"/>
      <c r="D83" s="546"/>
      <c r="E83" s="546"/>
      <c r="F83" s="107"/>
      <c r="G83" s="107"/>
      <c r="H83" s="547"/>
      <c r="I83" s="547"/>
      <c r="J83" s="547"/>
      <c r="K83" s="547"/>
      <c r="L83" s="547"/>
      <c r="M83" s="103"/>
      <c r="N83" s="104"/>
    </row>
    <row r="84" spans="1:14" x14ac:dyDescent="0.2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2"/>
      <c r="N84" s="123"/>
    </row>
    <row r="85" spans="1:14" x14ac:dyDescent="0.2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2"/>
      <c r="N85" s="123"/>
    </row>
    <row r="86" spans="1:14" x14ac:dyDescent="0.2">
      <c r="A86" s="124" t="s">
        <v>225</v>
      </c>
      <c r="B86" s="124"/>
      <c r="C86" s="124"/>
      <c r="D86" s="124"/>
      <c r="E86" s="124"/>
      <c r="F86" s="124"/>
      <c r="G86" s="124"/>
      <c r="H86" s="124"/>
      <c r="I86" s="124"/>
      <c r="J86" s="545" t="s">
        <v>226</v>
      </c>
      <c r="K86" s="545"/>
      <c r="L86" s="545"/>
      <c r="M86" s="103"/>
      <c r="N86" s="104"/>
    </row>
  </sheetData>
  <mergeCells count="56">
    <mergeCell ref="A19:L19"/>
    <mergeCell ref="A17:L17"/>
    <mergeCell ref="J86:L86"/>
    <mergeCell ref="D52:H52"/>
    <mergeCell ref="D53:H53"/>
    <mergeCell ref="A82:I82"/>
    <mergeCell ref="K82:L82"/>
    <mergeCell ref="D83:E83"/>
    <mergeCell ref="H83:L83"/>
    <mergeCell ref="D47:H47"/>
    <mergeCell ref="I47:J47"/>
    <mergeCell ref="K47:L47"/>
    <mergeCell ref="D48:H48"/>
    <mergeCell ref="I48:J48"/>
    <mergeCell ref="K48:L48"/>
    <mergeCell ref="D49:H49"/>
    <mergeCell ref="A12:L12"/>
    <mergeCell ref="A13:L13"/>
    <mergeCell ref="A14:L14"/>
    <mergeCell ref="A15:L15"/>
    <mergeCell ref="A16:L16"/>
    <mergeCell ref="I49:J49"/>
    <mergeCell ref="K49:L49"/>
    <mergeCell ref="D50:H50"/>
    <mergeCell ref="I50:J50"/>
    <mergeCell ref="K50:L50"/>
    <mergeCell ref="A44:H44"/>
    <mergeCell ref="I44:J44"/>
    <mergeCell ref="K44:L44"/>
    <mergeCell ref="I29:J29"/>
    <mergeCell ref="K29:L29"/>
    <mergeCell ref="I34:J34"/>
    <mergeCell ref="K34:L34"/>
    <mergeCell ref="I36:J36"/>
    <mergeCell ref="K36:L36"/>
    <mergeCell ref="I38:J38"/>
    <mergeCell ref="K38:L38"/>
    <mergeCell ref="A40:H40"/>
    <mergeCell ref="I40:J40"/>
    <mergeCell ref="K40:L40"/>
    <mergeCell ref="A1:L1"/>
    <mergeCell ref="A2:L2"/>
    <mergeCell ref="J5:J9"/>
    <mergeCell ref="K5:K9"/>
    <mergeCell ref="L5:L9"/>
    <mergeCell ref="A6:A9"/>
    <mergeCell ref="B6:B9"/>
    <mergeCell ref="A4:L4"/>
    <mergeCell ref="A5:B5"/>
    <mergeCell ref="C5:C9"/>
    <mergeCell ref="D5:D9"/>
    <mergeCell ref="E5:E9"/>
    <mergeCell ref="F5:F9"/>
    <mergeCell ref="G5:G9"/>
    <mergeCell ref="H5:H9"/>
    <mergeCell ref="I5:I9"/>
  </mergeCells>
  <pageMargins left="0.39370078740157483" right="0.19685039370078741" top="0.19685039370078741" bottom="0.39370078740157483" header="0.19685039370078741" footer="0.19685039370078741"/>
  <pageSetup paperSize="9" scale="58" firstPageNumber="10" fitToHeight="0" orientation="portrait" useFirstPageNumber="1" r:id="rId1"/>
  <headerFooter>
    <oddHeader>&amp;L&amp;8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5"/>
  <sheetViews>
    <sheetView view="pageBreakPreview" topLeftCell="A48" zoomScale="70" zoomScaleNormal="100" zoomScaleSheetLayoutView="70" workbookViewId="0">
      <selection activeCell="L81" sqref="L81"/>
    </sheetView>
  </sheetViews>
  <sheetFormatPr defaultRowHeight="12.75" x14ac:dyDescent="0.2"/>
  <cols>
    <col min="1" max="2" width="5.7109375" customWidth="1"/>
    <col min="3" max="3" width="11.7109375" customWidth="1"/>
    <col min="4" max="4" width="40.7109375" customWidth="1"/>
    <col min="5" max="6" width="11.7109375" customWidth="1"/>
    <col min="7" max="7" width="13.42578125" customWidth="1"/>
    <col min="8" max="8" width="12.7109375" customWidth="1"/>
    <col min="9" max="9" width="10.7109375" customWidth="1"/>
    <col min="10" max="12" width="12.7109375" customWidth="1"/>
    <col min="15" max="30" width="0" hidden="1" customWidth="1"/>
    <col min="31" max="31" width="155.7109375" hidden="1" customWidth="1"/>
    <col min="32" max="32" width="109.7109375" hidden="1" customWidth="1"/>
    <col min="33" max="36" width="0" hidden="1" customWidth="1"/>
  </cols>
  <sheetData>
    <row r="1" spans="1:12" s="32" customFormat="1" ht="14.25" customHeight="1" x14ac:dyDescent="0.25">
      <c r="A1" s="533" t="s">
        <v>393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1:12" s="32" customFormat="1" ht="37.5" customHeight="1" x14ac:dyDescent="0.2">
      <c r="A2" s="534" t="s">
        <v>166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25" x14ac:dyDescent="0.2">
      <c r="A4" s="519" t="s">
        <v>107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ht="14.25" x14ac:dyDescent="0.2">
      <c r="A5" s="520" t="s">
        <v>7</v>
      </c>
      <c r="B5" s="520"/>
      <c r="C5" s="520" t="s">
        <v>8</v>
      </c>
      <c r="D5" s="520" t="s">
        <v>9</v>
      </c>
      <c r="E5" s="520" t="s">
        <v>10</v>
      </c>
      <c r="F5" s="520" t="s">
        <v>11</v>
      </c>
      <c r="G5" s="520" t="s">
        <v>12</v>
      </c>
      <c r="H5" s="521" t="s">
        <v>13</v>
      </c>
      <c r="I5" s="521" t="s">
        <v>14</v>
      </c>
      <c r="J5" s="520" t="s">
        <v>15</v>
      </c>
      <c r="K5" s="520" t="s">
        <v>16</v>
      </c>
      <c r="L5" s="520" t="s">
        <v>17</v>
      </c>
    </row>
    <row r="6" spans="1:12" x14ac:dyDescent="0.2">
      <c r="A6" s="521" t="s">
        <v>18</v>
      </c>
      <c r="B6" s="521" t="s">
        <v>19</v>
      </c>
      <c r="C6" s="520"/>
      <c r="D6" s="520"/>
      <c r="E6" s="520"/>
      <c r="F6" s="520"/>
      <c r="G6" s="520"/>
      <c r="H6" s="522"/>
      <c r="I6" s="522"/>
      <c r="J6" s="520"/>
      <c r="K6" s="520"/>
      <c r="L6" s="520"/>
    </row>
    <row r="7" spans="1:12" x14ac:dyDescent="0.2">
      <c r="A7" s="522"/>
      <c r="B7" s="522"/>
      <c r="C7" s="520"/>
      <c r="D7" s="520"/>
      <c r="E7" s="520"/>
      <c r="F7" s="520"/>
      <c r="G7" s="520"/>
      <c r="H7" s="522"/>
      <c r="I7" s="522"/>
      <c r="J7" s="520"/>
      <c r="K7" s="520"/>
      <c r="L7" s="520"/>
    </row>
    <row r="8" spans="1:12" ht="20.100000000000001" customHeight="1" x14ac:dyDescent="0.2">
      <c r="A8" s="522"/>
      <c r="B8" s="522"/>
      <c r="C8" s="520"/>
      <c r="D8" s="520"/>
      <c r="E8" s="520"/>
      <c r="F8" s="520"/>
      <c r="G8" s="520"/>
      <c r="H8" s="522"/>
      <c r="I8" s="522"/>
      <c r="J8" s="520"/>
      <c r="K8" s="520"/>
      <c r="L8" s="520"/>
    </row>
    <row r="9" spans="1:12" ht="20.100000000000001" customHeight="1" x14ac:dyDescent="0.2">
      <c r="A9" s="523"/>
      <c r="B9" s="523"/>
      <c r="C9" s="520"/>
      <c r="D9" s="520"/>
      <c r="E9" s="520"/>
      <c r="F9" s="520"/>
      <c r="G9" s="520"/>
      <c r="H9" s="523"/>
      <c r="I9" s="523"/>
      <c r="J9" s="520"/>
      <c r="K9" s="520"/>
      <c r="L9" s="520"/>
    </row>
    <row r="10" spans="1:12" ht="14.25" x14ac:dyDescent="0.2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  <c r="J10" s="28">
        <v>10</v>
      </c>
      <c r="K10" s="28">
        <v>11</v>
      </c>
      <c r="L10" s="28">
        <v>12</v>
      </c>
    </row>
    <row r="12" spans="1:12" s="32" customFormat="1" ht="15.75" x14ac:dyDescent="0.25">
      <c r="A12" s="515" t="s">
        <v>57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1:12" s="32" customFormat="1" ht="15.75" x14ac:dyDescent="0.25">
      <c r="A13" s="515" t="s">
        <v>167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1:12" s="32" customFormat="1" ht="15.75" x14ac:dyDescent="0.25">
      <c r="A14" s="515" t="s">
        <v>168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1:12" s="32" customFormat="1" ht="15.75" hidden="1" x14ac:dyDescent="0.25">
      <c r="A15" s="516" t="s">
        <v>60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</row>
    <row r="16" spans="1:12" s="32" customFormat="1" ht="15.75" hidden="1" x14ac:dyDescent="0.2">
      <c r="A16" s="549" t="s">
        <v>61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49"/>
      <c r="L16" s="549"/>
    </row>
    <row r="17" spans="1:32" s="32" customFormat="1" ht="15.75" hidden="1" x14ac:dyDescent="0.2">
      <c r="A17" s="549" t="s">
        <v>62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</row>
    <row r="18" spans="1:32" s="32" customFormat="1" ht="14.25" x14ac:dyDescent="0.2">
      <c r="A18" s="33" t="s">
        <v>63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32" ht="33" x14ac:dyDescent="0.25">
      <c r="A19" s="514" t="str">
        <f>CONCATENATE("Раздел: ",IF([83]Source!G24&lt;&gt;"Новый раздел", [83]Source!G24, ""))</f>
        <v>Раздел: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  <c r="B19" s="514"/>
      <c r="C19" s="514"/>
      <c r="D19" s="514"/>
      <c r="E19" s="514"/>
      <c r="F19" s="514"/>
      <c r="G19" s="514"/>
      <c r="H19" s="514"/>
      <c r="I19" s="514"/>
      <c r="J19" s="514"/>
      <c r="K19" s="514"/>
      <c r="L19" s="514"/>
      <c r="AE19" s="27" t="str">
        <f>CONCATENATE("Раздел: ",IF([83]Source!G24&lt;&gt;"Новый раздел", [83]Source!G24, ""))</f>
        <v>Раздел: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</row>
    <row r="20" spans="1:32" ht="99.75" x14ac:dyDescent="0.2">
      <c r="D20" s="61" t="str">
        <f>[83]Source!G34</f>
        <v>+п. 99 раздел Дополнительно к смете: 3.16-15-3 (установка ветилей,задвижек, затворов, клапанов обратных кранов проходных на трубопроводах из стальных труб диаметром до 100 мм - 34 шт)</v>
      </c>
    </row>
    <row r="21" spans="1:32" ht="71.25" x14ac:dyDescent="0.2">
      <c r="A21" s="4">
        <v>1</v>
      </c>
      <c r="B21" s="4" t="str">
        <f>[83]Source!E35</f>
        <v>4</v>
      </c>
      <c r="C21" s="5" t="str">
        <f>[83]Source!F35</f>
        <v>МКЭ-33-1709/7-1 от 28.09.2017г.</v>
      </c>
      <c r="D21" s="5" t="s">
        <v>163</v>
      </c>
      <c r="E21" s="6" t="str">
        <f>[83]Source!H35</f>
        <v>шт.</v>
      </c>
      <c r="F21" s="2">
        <f>[83]Source!I35</f>
        <v>10</v>
      </c>
      <c r="G21" s="25">
        <f>[83]Source!AL35</f>
        <v>6113.54</v>
      </c>
      <c r="H21" s="8" t="str">
        <f>[83]Source!DD35</f>
        <v>*1,02</v>
      </c>
      <c r="I21" s="2">
        <f>[83]Source!AW36</f>
        <v>1</v>
      </c>
      <c r="J21" s="25">
        <f>L21/K21</f>
        <v>62358.09</v>
      </c>
      <c r="K21" s="2">
        <f>IF([83]Source!BC36&lt;&gt; 0, [83]Source!BC36, 1)</f>
        <v>5.48</v>
      </c>
      <c r="L21" s="25">
        <f>33502.19*F21*1.02</f>
        <v>341722.34</v>
      </c>
      <c r="Q21">
        <f>[83]Source!X35</f>
        <v>0</v>
      </c>
      <c r="R21">
        <f>[83]Source!X36</f>
        <v>0</v>
      </c>
      <c r="S21">
        <f>[83]Source!Y35</f>
        <v>0</v>
      </c>
      <c r="T21">
        <f>[83]Source!Y36</f>
        <v>0</v>
      </c>
      <c r="U21">
        <f>ROUND((175/100)*ROUND([83]Source!R35, 2), 2)</f>
        <v>0</v>
      </c>
      <c r="V21">
        <f>ROUND((157/100)*ROUND([83]Source!R36, 2), 2)</f>
        <v>0</v>
      </c>
    </row>
    <row r="22" spans="1:32" ht="15" x14ac:dyDescent="0.25">
      <c r="A22" s="35"/>
      <c r="B22" s="35"/>
      <c r="C22" s="35"/>
      <c r="D22" s="35"/>
      <c r="E22" s="35"/>
      <c r="F22" s="35"/>
      <c r="G22" s="35"/>
      <c r="H22" s="35"/>
      <c r="I22" s="524">
        <f>J21</f>
        <v>62358.09</v>
      </c>
      <c r="J22" s="524"/>
      <c r="K22" s="524">
        <f>L21</f>
        <v>341722.34</v>
      </c>
      <c r="L22" s="524"/>
      <c r="O22" s="11">
        <f>J21</f>
        <v>62358.09</v>
      </c>
      <c r="P22" s="11">
        <f>L21</f>
        <v>341722.34</v>
      </c>
    </row>
    <row r="23" spans="1:32" ht="85.5" x14ac:dyDescent="0.2">
      <c r="A23" s="4">
        <v>2</v>
      </c>
      <c r="B23" s="4" t="str">
        <f>[83]Source!E37</f>
        <v>5</v>
      </c>
      <c r="C23" s="5" t="str">
        <f>[83]Source!F37</f>
        <v>1.12-9-54</v>
      </c>
      <c r="D23" s="5" t="s">
        <v>164</v>
      </c>
      <c r="E23" s="6" t="str">
        <f>[83]Source!H37</f>
        <v>КОМПЛЕКТ</v>
      </c>
      <c r="F23" s="2">
        <f>[83]Source!I37</f>
        <v>10</v>
      </c>
      <c r="G23" s="7">
        <f>[83]Source!AL37</f>
        <v>648</v>
      </c>
      <c r="H23" s="8" t="str">
        <f>[83]Source!DD37</f>
        <v/>
      </c>
      <c r="I23" s="2">
        <f>[83]Source!AW38</f>
        <v>1</v>
      </c>
      <c r="J23" s="25">
        <f>[83]Source!P37</f>
        <v>6480</v>
      </c>
      <c r="K23" s="2">
        <f>IF([83]Source!BC38&lt;&gt; 0, [83]Source!BC38, 1)</f>
        <v>4.53</v>
      </c>
      <c r="L23" s="25">
        <f>[83]Source!P38</f>
        <v>29354.400000000001</v>
      </c>
      <c r="Q23">
        <f>[83]Source!X37</f>
        <v>0</v>
      </c>
      <c r="R23">
        <f>[83]Source!X38</f>
        <v>0</v>
      </c>
      <c r="S23">
        <f>[83]Source!Y37</f>
        <v>0</v>
      </c>
      <c r="T23">
        <f>[83]Source!Y38</f>
        <v>0</v>
      </c>
      <c r="U23">
        <f>ROUND((175/100)*ROUND([83]Source!R37, 2), 2)</f>
        <v>0</v>
      </c>
      <c r="V23">
        <f>ROUND((157/100)*ROUND([83]Source!R38, 2), 2)</f>
        <v>0</v>
      </c>
    </row>
    <row r="24" spans="1:32" ht="15" x14ac:dyDescent="0.25">
      <c r="A24" s="35"/>
      <c r="B24" s="35"/>
      <c r="C24" s="35"/>
      <c r="D24" s="35"/>
      <c r="E24" s="35"/>
      <c r="F24" s="35"/>
      <c r="G24" s="35"/>
      <c r="H24" s="35"/>
      <c r="I24" s="524">
        <f>J23</f>
        <v>6480</v>
      </c>
      <c r="J24" s="524"/>
      <c r="K24" s="524">
        <f>L23</f>
        <v>29354.400000000001</v>
      </c>
      <c r="L24" s="524"/>
      <c r="O24" s="11">
        <f>J23</f>
        <v>6480</v>
      </c>
      <c r="P24" s="11">
        <f>L23</f>
        <v>29354.400000000001</v>
      </c>
    </row>
    <row r="26" spans="1:32" ht="30" x14ac:dyDescent="0.25">
      <c r="A26" s="528" t="str">
        <f>CONCATENATE("Итого по разделу: ",IF([83]Source!G181&lt;&gt;"Новый раздел", [83]Source!G181, ""))</f>
        <v>Итого по разделу: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  <c r="B26" s="528"/>
      <c r="C26" s="528"/>
      <c r="D26" s="528"/>
      <c r="E26" s="528"/>
      <c r="F26" s="528"/>
      <c r="G26" s="528"/>
      <c r="H26" s="528"/>
      <c r="I26" s="526">
        <f>SUM(O19:O25)</f>
        <v>68838.09</v>
      </c>
      <c r="J26" s="527"/>
      <c r="K26" s="526">
        <f>SUM(P19:P25)</f>
        <v>371076.74</v>
      </c>
      <c r="L26" s="527"/>
      <c r="AF26" s="26" t="str">
        <f>CONCATENATE("Итого по разделу: ",IF([83]Source!G181&lt;&gt;"Новый раздел", [83]Source!G181, ""))</f>
        <v>Итого по разделу: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</row>
    <row r="27" spans="1:32" hidden="1" x14ac:dyDescent="0.2">
      <c r="A27" t="s">
        <v>48</v>
      </c>
      <c r="J27">
        <f>SUM(W19:W26)</f>
        <v>0</v>
      </c>
      <c r="K27">
        <f>SUM(X19:X26)</f>
        <v>0</v>
      </c>
    </row>
    <row r="28" spans="1:32" hidden="1" x14ac:dyDescent="0.2">
      <c r="A28" t="s">
        <v>49</v>
      </c>
      <c r="J28">
        <f>SUM(Y19:Y27)</f>
        <v>0</v>
      </c>
      <c r="K28">
        <f>SUM(Z19:Z27)</f>
        <v>0</v>
      </c>
    </row>
    <row r="30" spans="1:32" ht="16.5" x14ac:dyDescent="0.25">
      <c r="A30" s="514" t="str">
        <f>CONCATENATE("Раздел: ",IF([83]Source!G298&lt;&gt;"Новый раздел", [83]Source!G298, ""))</f>
        <v>Раздел: Дополнительно к смете</v>
      </c>
      <c r="B30" s="514"/>
      <c r="C30" s="514"/>
      <c r="D30" s="514"/>
      <c r="E30" s="514"/>
      <c r="F30" s="514"/>
      <c r="G30" s="514"/>
      <c r="H30" s="514"/>
      <c r="I30" s="514"/>
      <c r="J30" s="514"/>
      <c r="K30" s="514"/>
      <c r="L30" s="514"/>
    </row>
    <row r="31" spans="1:32" ht="99.75" x14ac:dyDescent="0.2">
      <c r="D31" s="61" t="str">
        <f>[83]Source!G302</f>
        <v>+п. 99 раздел Дополнительно к смете: 3.16-15-3 (установка ветилей,задвижек, затворов, клапанов обратных кранов проходных на трубопроводах из стальных труб диаметром до 100 мм - 2 шт)</v>
      </c>
    </row>
    <row r="32" spans="1:32" ht="57" x14ac:dyDescent="0.2">
      <c r="A32" s="4">
        <v>3</v>
      </c>
      <c r="B32" s="4" t="str">
        <f>[83]Source!E303</f>
        <v>99</v>
      </c>
      <c r="C32" s="5" t="str">
        <f>[83]Source!F303</f>
        <v>3.16-15-3</v>
      </c>
      <c r="D32" s="5" t="s">
        <v>165</v>
      </c>
      <c r="E32" s="6" t="str">
        <f>[83]Source!H303</f>
        <v>1  ШТ.</v>
      </c>
      <c r="F32" s="2">
        <f>[83]Source!I303</f>
        <v>10</v>
      </c>
      <c r="G32" s="7"/>
      <c r="H32" s="8"/>
      <c r="I32" s="2"/>
      <c r="J32" s="25"/>
      <c r="K32" s="2"/>
      <c r="L32" s="25"/>
      <c r="Q32">
        <f>[83]Source!X303</f>
        <v>705.85</v>
      </c>
      <c r="R32">
        <f>[83]Source!X304</f>
        <v>13518.44</v>
      </c>
      <c r="S32">
        <f>[83]Source!Y303</f>
        <v>530.79999999999995</v>
      </c>
      <c r="T32">
        <f>[83]Source!Y304</f>
        <v>6083.3</v>
      </c>
      <c r="U32">
        <f>ROUND((175/100)*ROUND([83]Source!R303, 2), 2)</f>
        <v>47.09</v>
      </c>
      <c r="V32">
        <f>ROUND((157/100)*ROUND([83]Source!R304, 2), 2)</f>
        <v>1011.44</v>
      </c>
    </row>
    <row r="33" spans="1:16" ht="14.25" x14ac:dyDescent="0.2">
      <c r="A33" s="4"/>
      <c r="B33" s="4"/>
      <c r="C33" s="5"/>
      <c r="D33" s="5" t="s">
        <v>20</v>
      </c>
      <c r="E33" s="6"/>
      <c r="F33" s="2"/>
      <c r="G33" s="7">
        <f>[83]Source!AO303</f>
        <v>31.69</v>
      </c>
      <c r="H33" s="8" t="str">
        <f>[83]Source!DG303</f>
        <v>*1,67</v>
      </c>
      <c r="I33" s="2">
        <f>[83]Source!AV304</f>
        <v>1.0669999999999999</v>
      </c>
      <c r="J33" s="25">
        <f>[83]Source!S303</f>
        <v>564.67999999999995</v>
      </c>
      <c r="K33" s="2">
        <f>IF([83]Source!BA304&lt;&gt; 0, [83]Source!BA304, 1)</f>
        <v>23.94</v>
      </c>
      <c r="L33" s="25">
        <f>[83]Source!S304</f>
        <v>13518.44</v>
      </c>
    </row>
    <row r="34" spans="1:16" ht="14.25" x14ac:dyDescent="0.2">
      <c r="A34" s="4"/>
      <c r="B34" s="4"/>
      <c r="C34" s="5"/>
      <c r="D34" s="5" t="s">
        <v>21</v>
      </c>
      <c r="E34" s="6"/>
      <c r="F34" s="2"/>
      <c r="G34" s="7">
        <f>[83]Source!AM303</f>
        <v>8.85</v>
      </c>
      <c r="H34" s="8" t="str">
        <f>[83]Source!DE303</f>
        <v/>
      </c>
      <c r="I34" s="2">
        <f>[83]Source!AV304</f>
        <v>1.0669999999999999</v>
      </c>
      <c r="J34" s="25">
        <f>[83]Source!Q303-J43</f>
        <v>94.43</v>
      </c>
      <c r="K34" s="2">
        <f>IF([83]Source!BB304&lt;&gt; 0, [83]Source!BB304, 1)</f>
        <v>8.52</v>
      </c>
      <c r="L34" s="25">
        <f>[83]Source!Q304-L43</f>
        <v>804.42</v>
      </c>
    </row>
    <row r="35" spans="1:16" ht="14.25" x14ac:dyDescent="0.2">
      <c r="A35" s="4"/>
      <c r="B35" s="4"/>
      <c r="C35" s="5"/>
      <c r="D35" s="5" t="s">
        <v>22</v>
      </c>
      <c r="E35" s="6"/>
      <c r="F35" s="2"/>
      <c r="G35" s="7">
        <f>[83]Source!AN303</f>
        <v>1.51</v>
      </c>
      <c r="H35" s="8" t="str">
        <f>[83]Source!DE303</f>
        <v/>
      </c>
      <c r="I35" s="2">
        <f>[83]Source!AV304</f>
        <v>1.0669999999999999</v>
      </c>
      <c r="J35" s="10">
        <f>[83]Source!R303-J44</f>
        <v>16.12</v>
      </c>
      <c r="K35" s="2">
        <f>IF([83]Source!BS304&lt;&gt; 0, [83]Source!BS304, 1)</f>
        <v>23.94</v>
      </c>
      <c r="L35" s="10">
        <f>[83]Source!R304-L44</f>
        <v>385.8</v>
      </c>
    </row>
    <row r="36" spans="1:16" ht="14.25" x14ac:dyDescent="0.2">
      <c r="A36" s="4"/>
      <c r="B36" s="4"/>
      <c r="C36" s="5"/>
      <c r="D36" s="5" t="s">
        <v>23</v>
      </c>
      <c r="E36" s="6"/>
      <c r="F36" s="2"/>
      <c r="G36" s="7">
        <f>[83]Source!AL303</f>
        <v>39.46</v>
      </c>
      <c r="H36" s="8" t="str">
        <f>[83]Source!DD303</f>
        <v/>
      </c>
      <c r="I36" s="2">
        <f>[83]Source!AW304</f>
        <v>1</v>
      </c>
      <c r="J36" s="25">
        <f>[83]Source!P303</f>
        <v>394.6</v>
      </c>
      <c r="K36" s="2">
        <f>IF([83]Source!BC304&lt;&gt; 0, [83]Source!BC304, 1)</f>
        <v>4.29</v>
      </c>
      <c r="L36" s="25">
        <f>[83]Source!P304</f>
        <v>1692.83</v>
      </c>
    </row>
    <row r="37" spans="1:16" ht="14.25" x14ac:dyDescent="0.2">
      <c r="A37" s="4"/>
      <c r="B37" s="4"/>
      <c r="C37" s="5"/>
      <c r="D37" s="5" t="s">
        <v>24</v>
      </c>
      <c r="E37" s="6" t="s">
        <v>25</v>
      </c>
      <c r="F37" s="2">
        <f>[83]Source!DN304</f>
        <v>125</v>
      </c>
      <c r="G37" s="7"/>
      <c r="H37" s="8"/>
      <c r="I37" s="2"/>
      <c r="J37" s="25">
        <f>SUM(Q32:Q36)</f>
        <v>705.85</v>
      </c>
      <c r="K37" s="2">
        <f>[83]Source!BZ304</f>
        <v>100</v>
      </c>
      <c r="L37" s="25">
        <f>SUM(R32:R36)</f>
        <v>13518.44</v>
      </c>
    </row>
    <row r="38" spans="1:16" ht="14.25" x14ac:dyDescent="0.2">
      <c r="A38" s="4"/>
      <c r="B38" s="4"/>
      <c r="C38" s="5"/>
      <c r="D38" s="5" t="s">
        <v>26</v>
      </c>
      <c r="E38" s="6" t="s">
        <v>25</v>
      </c>
      <c r="F38" s="2">
        <f>[83]Source!DO304</f>
        <v>94</v>
      </c>
      <c r="G38" s="7"/>
      <c r="H38" s="8"/>
      <c r="I38" s="2"/>
      <c r="J38" s="25">
        <f>SUM(S32:S37)</f>
        <v>530.79999999999995</v>
      </c>
      <c r="K38" s="2">
        <f>[83]Source!CA304</f>
        <v>45</v>
      </c>
      <c r="L38" s="25">
        <f>SUM(T32:T37)</f>
        <v>6083.3</v>
      </c>
    </row>
    <row r="39" spans="1:16" ht="14.25" x14ac:dyDescent="0.2">
      <c r="A39" s="4"/>
      <c r="B39" s="4"/>
      <c r="C39" s="5"/>
      <c r="D39" s="5" t="s">
        <v>27</v>
      </c>
      <c r="E39" s="6" t="s">
        <v>25</v>
      </c>
      <c r="F39" s="2">
        <f>175</f>
        <v>175</v>
      </c>
      <c r="G39" s="7"/>
      <c r="H39" s="8"/>
      <c r="I39" s="2"/>
      <c r="J39" s="25">
        <f>SUM(U32:U38)-J45</f>
        <v>28.21</v>
      </c>
      <c r="K39" s="2">
        <f>157</f>
        <v>157</v>
      </c>
      <c r="L39" s="25">
        <f>SUM(V32:V38)-L45</f>
        <v>605.70000000000005</v>
      </c>
    </row>
    <row r="40" spans="1:16" ht="14.25" x14ac:dyDescent="0.2">
      <c r="A40" s="4"/>
      <c r="B40" s="4"/>
      <c r="C40" s="5"/>
      <c r="D40" s="5" t="s">
        <v>28</v>
      </c>
      <c r="E40" s="6" t="s">
        <v>29</v>
      </c>
      <c r="F40" s="2">
        <f>[83]Source!AQ303</f>
        <v>2.6</v>
      </c>
      <c r="G40" s="7"/>
      <c r="H40" s="8" t="str">
        <f>[83]Source!DI303</f>
        <v/>
      </c>
      <c r="I40" s="2">
        <f>[83]Source!AV304</f>
        <v>1.0669999999999999</v>
      </c>
      <c r="J40" s="25">
        <f>[83]Source!U303</f>
        <v>27.74</v>
      </c>
      <c r="K40" s="2"/>
      <c r="L40" s="25"/>
    </row>
    <row r="41" spans="1:16" ht="15" x14ac:dyDescent="0.25">
      <c r="I41" s="525">
        <f>J33+J34+J36+J37+J38+J39</f>
        <v>2318.5700000000002</v>
      </c>
      <c r="J41" s="525"/>
      <c r="K41" s="525">
        <f>L33+L34+L36+L37+L38+L39</f>
        <v>36223.129999999997</v>
      </c>
      <c r="L41" s="525"/>
      <c r="O41" s="11">
        <f>J33+J34+J36+J37+J38+J39</f>
        <v>2318.5700000000002</v>
      </c>
      <c r="P41" s="11">
        <f>L33+L34+L36+L37+L38+L39</f>
        <v>36223.129999999997</v>
      </c>
    </row>
    <row r="42" spans="1:16" ht="28.5" x14ac:dyDescent="0.2">
      <c r="A42" s="12"/>
      <c r="B42" s="12"/>
      <c r="C42" s="13"/>
      <c r="D42" s="13" t="s">
        <v>30</v>
      </c>
      <c r="E42" s="6"/>
      <c r="F42" s="14"/>
      <c r="G42" s="15"/>
      <c r="H42" s="6"/>
      <c r="I42" s="14"/>
      <c r="J42" s="10"/>
      <c r="K42" s="14"/>
      <c r="L42" s="10"/>
    </row>
    <row r="43" spans="1:16" ht="14.25" x14ac:dyDescent="0.2">
      <c r="A43" s="12"/>
      <c r="B43" s="12"/>
      <c r="C43" s="13"/>
      <c r="D43" s="13" t="s">
        <v>21</v>
      </c>
      <c r="E43" s="6"/>
      <c r="F43" s="14"/>
      <c r="G43" s="15">
        <f t="shared" ref="G43:L43" si="0">G44</f>
        <v>1.51</v>
      </c>
      <c r="H43" s="16" t="str">
        <f t="shared" si="0"/>
        <v>)*(1.67-1)</v>
      </c>
      <c r="I43" s="14">
        <f t="shared" si="0"/>
        <v>1.0669999999999999</v>
      </c>
      <c r="J43" s="10">
        <f t="shared" si="0"/>
        <v>10.79</v>
      </c>
      <c r="K43" s="14">
        <f t="shared" si="0"/>
        <v>23.94</v>
      </c>
      <c r="L43" s="10">
        <f t="shared" si="0"/>
        <v>258.43</v>
      </c>
    </row>
    <row r="44" spans="1:16" ht="14.25" x14ac:dyDescent="0.2">
      <c r="A44" s="12"/>
      <c r="B44" s="12"/>
      <c r="C44" s="13"/>
      <c r="D44" s="13" t="s">
        <v>22</v>
      </c>
      <c r="E44" s="6"/>
      <c r="F44" s="14"/>
      <c r="G44" s="15">
        <f>[83]Source!AN303</f>
        <v>1.51</v>
      </c>
      <c r="H44" s="16" t="s">
        <v>31</v>
      </c>
      <c r="I44" s="14">
        <f>[83]Source!AV304</f>
        <v>1.0669999999999999</v>
      </c>
      <c r="J44" s="10">
        <f>ROUND(F32*G44*I44*(1.67-1), 2)</f>
        <v>10.79</v>
      </c>
      <c r="K44" s="14">
        <f>IF([83]Source!BS304&lt;&gt; 0, [83]Source!BS304, 1)</f>
        <v>23.94</v>
      </c>
      <c r="L44" s="10">
        <f>ROUND(F32*G44*I44*(1.67-1)*K44, 2)</f>
        <v>258.43</v>
      </c>
    </row>
    <row r="45" spans="1:16" ht="14.25" x14ac:dyDescent="0.2">
      <c r="A45" s="12"/>
      <c r="B45" s="12"/>
      <c r="C45" s="13"/>
      <c r="D45" s="13" t="s">
        <v>27</v>
      </c>
      <c r="E45" s="6" t="s">
        <v>25</v>
      </c>
      <c r="F45" s="14">
        <f>175</f>
        <v>175</v>
      </c>
      <c r="G45" s="15"/>
      <c r="H45" s="6"/>
      <c r="I45" s="14"/>
      <c r="J45" s="10">
        <f>ROUND(J44*(F45/100), 2)</f>
        <v>18.88</v>
      </c>
      <c r="K45" s="14">
        <f>157</f>
        <v>157</v>
      </c>
      <c r="L45" s="10">
        <f>ROUND(L44*(K45/100), 2)</f>
        <v>405.74</v>
      </c>
    </row>
    <row r="46" spans="1:16" ht="15" x14ac:dyDescent="0.25">
      <c r="I46" s="525">
        <f>J45+J44</f>
        <v>29.67</v>
      </c>
      <c r="J46" s="525"/>
      <c r="K46" s="525">
        <f>L45+L44</f>
        <v>664.17</v>
      </c>
      <c r="L46" s="525"/>
      <c r="O46" s="11">
        <f>I46</f>
        <v>29.67</v>
      </c>
      <c r="P46" s="11">
        <f>K46</f>
        <v>664.17</v>
      </c>
    </row>
    <row r="48" spans="1:16" ht="15" x14ac:dyDescent="0.25">
      <c r="A48" s="37"/>
      <c r="B48" s="37"/>
      <c r="C48" s="38"/>
      <c r="D48" s="38" t="s">
        <v>32</v>
      </c>
      <c r="E48" s="39"/>
      <c r="F48" s="40"/>
      <c r="G48" s="41"/>
      <c r="H48" s="42"/>
      <c r="I48" s="524">
        <f>I41+I46</f>
        <v>2348.2399999999998</v>
      </c>
      <c r="J48" s="524"/>
      <c r="K48" s="524">
        <f>K41+K46</f>
        <v>36887.300000000003</v>
      </c>
      <c r="L48" s="524"/>
    </row>
    <row r="50" spans="1:256" ht="15" x14ac:dyDescent="0.25">
      <c r="A50" s="528" t="str">
        <f>CONCATENATE("Итого по разделу: ",IF([83]Source!G309&lt;&gt;"Новый раздел", [83]Source!G309, ""))</f>
        <v>Итого по разделу: Дополнительно к смете</v>
      </c>
      <c r="B50" s="528"/>
      <c r="C50" s="528"/>
      <c r="D50" s="528"/>
      <c r="E50" s="528"/>
      <c r="F50" s="528"/>
      <c r="G50" s="528"/>
      <c r="H50" s="528"/>
      <c r="I50" s="526">
        <f>SUM(O30:O49)</f>
        <v>2348.2399999999998</v>
      </c>
      <c r="J50" s="527"/>
      <c r="K50" s="526">
        <f>SUM(P30:P49)</f>
        <v>36887.300000000003</v>
      </c>
      <c r="L50" s="527"/>
    </row>
    <row r="51" spans="1:256" hidden="1" x14ac:dyDescent="0.2">
      <c r="A51" t="s">
        <v>48</v>
      </c>
      <c r="J51">
        <f>SUM(W30:W50)</f>
        <v>0</v>
      </c>
      <c r="K51">
        <f>SUM(X30:X50)</f>
        <v>0</v>
      </c>
    </row>
    <row r="52" spans="1:256" hidden="1" x14ac:dyDescent="0.2">
      <c r="A52" t="s">
        <v>49</v>
      </c>
      <c r="J52">
        <f>SUM(Y30:Y51)</f>
        <v>0</v>
      </c>
      <c r="K52">
        <f>SUM(Z30:Z51)</f>
        <v>0</v>
      </c>
    </row>
    <row r="54" spans="1:256" ht="15" x14ac:dyDescent="0.25">
      <c r="A54" s="528" t="str">
        <f>CONCATENATE("Итого по локальной смете: ",IF([83]Source!G338&lt;&gt;"Новая локальная смета", [83]Source!G338, ""))</f>
        <v>Итого по локальной смете: Инженерные системы. Тонельный водопровод и водоотвод.</v>
      </c>
      <c r="B54" s="528"/>
      <c r="C54" s="528"/>
      <c r="D54" s="528"/>
      <c r="E54" s="528"/>
      <c r="F54" s="528"/>
      <c r="G54" s="528"/>
      <c r="H54" s="528"/>
      <c r="I54" s="526">
        <f>SUM(O19:O53)</f>
        <v>71186.33</v>
      </c>
      <c r="J54" s="527"/>
      <c r="K54" s="526">
        <f>SUM(P19:P53)</f>
        <v>407964.04</v>
      </c>
      <c r="L54" s="527"/>
      <c r="AF54" s="26" t="str">
        <f>CONCATENATE("Итого по локальной смете: ",IF([83]Source!G338&lt;&gt;"Новая локальная смета", [83]Source!G338, ""))</f>
        <v>Итого по локальной смете: Инженерные системы. Тонельный водопровод и водоотвод.</v>
      </c>
    </row>
    <row r="55" spans="1:256" hidden="1" x14ac:dyDescent="0.2">
      <c r="A55" t="s">
        <v>48</v>
      </c>
      <c r="J55">
        <f>SUM(W19:W54)</f>
        <v>0</v>
      </c>
      <c r="K55">
        <f>SUM(X19:X54)</f>
        <v>0</v>
      </c>
    </row>
    <row r="56" spans="1:256" hidden="1" x14ac:dyDescent="0.2">
      <c r="A56" t="s">
        <v>49</v>
      </c>
      <c r="J56">
        <f>SUM(Y19:Y55)</f>
        <v>0</v>
      </c>
      <c r="K56">
        <f>SUM(Z19:Z55)</f>
        <v>0</v>
      </c>
    </row>
    <row r="57" spans="1:256" ht="14.25" x14ac:dyDescent="0.2">
      <c r="D57" s="550" t="str">
        <f>[83]Source!H344</f>
        <v>Стоимость материалов (всего)</v>
      </c>
      <c r="E57" s="550"/>
      <c r="F57" s="550"/>
      <c r="G57" s="550"/>
      <c r="H57" s="550"/>
      <c r="I57" s="551">
        <f>J36+J23+J21</f>
        <v>69232.69</v>
      </c>
      <c r="J57" s="551"/>
      <c r="K57" s="551">
        <f>L36+L23+L21</f>
        <v>372769.57</v>
      </c>
      <c r="L57" s="551"/>
    </row>
    <row r="58" spans="1:256" ht="14.25" x14ac:dyDescent="0.2">
      <c r="D58" s="550" t="str">
        <f>[83]Source!H352</f>
        <v>ЗП машинистов</v>
      </c>
      <c r="E58" s="550"/>
      <c r="F58" s="550"/>
      <c r="G58" s="550"/>
      <c r="H58" s="550"/>
      <c r="I58" s="551">
        <f>[83]Source!F352</f>
        <v>26.91</v>
      </c>
      <c r="J58" s="551"/>
      <c r="K58" s="551">
        <f>[83]Source!P352</f>
        <v>644.23</v>
      </c>
      <c r="L58" s="551"/>
    </row>
    <row r="59" spans="1:256" ht="14.25" x14ac:dyDescent="0.2">
      <c r="D59" s="550" t="str">
        <f>[83]Source!H353</f>
        <v>Основная ЗП рабочих</v>
      </c>
      <c r="E59" s="550"/>
      <c r="F59" s="550"/>
      <c r="G59" s="550"/>
      <c r="H59" s="550"/>
      <c r="I59" s="551">
        <f>[83]Source!F353</f>
        <v>564.67999999999995</v>
      </c>
      <c r="J59" s="551"/>
      <c r="K59" s="551">
        <f>[83]Source!P353</f>
        <v>13518.44</v>
      </c>
      <c r="L59" s="551"/>
    </row>
    <row r="61" spans="1:256" x14ac:dyDescent="0.2">
      <c r="A61" s="74"/>
      <c r="B61" s="74"/>
      <c r="C61" s="74"/>
      <c r="D61" s="543" t="s">
        <v>207</v>
      </c>
      <c r="E61" s="543"/>
      <c r="F61" s="543"/>
      <c r="G61" s="543"/>
      <c r="H61" s="543"/>
      <c r="I61" s="75"/>
      <c r="J61" s="76">
        <v>0</v>
      </c>
      <c r="K61" s="76"/>
      <c r="L61" s="76">
        <v>0</v>
      </c>
      <c r="M61" s="77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</row>
    <row r="62" spans="1:256" x14ac:dyDescent="0.2">
      <c r="A62" s="78"/>
      <c r="B62" s="78"/>
      <c r="C62" s="78"/>
      <c r="D62" s="543" t="s">
        <v>208</v>
      </c>
      <c r="E62" s="543"/>
      <c r="F62" s="543"/>
      <c r="G62" s="543"/>
      <c r="H62" s="543"/>
      <c r="I62" s="75"/>
      <c r="J62" s="76">
        <v>0</v>
      </c>
      <c r="K62" s="79"/>
      <c r="L62" s="76">
        <v>0</v>
      </c>
      <c r="M62" s="77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  <c r="CR62" s="80"/>
      <c r="CS62" s="80"/>
      <c r="CT62" s="80"/>
      <c r="CU62" s="80"/>
      <c r="CV62" s="80"/>
      <c r="CW62" s="80"/>
      <c r="CX62" s="80"/>
      <c r="CY62" s="80"/>
      <c r="CZ62" s="80"/>
      <c r="DA62" s="80"/>
      <c r="DB62" s="80"/>
      <c r="DC62" s="80"/>
      <c r="DD62" s="80"/>
      <c r="DE62" s="80"/>
      <c r="DF62" s="80"/>
      <c r="DG62" s="80"/>
      <c r="DH62" s="80"/>
      <c r="DI62" s="80"/>
      <c r="DJ62" s="80"/>
      <c r="DK62" s="80"/>
      <c r="DL62" s="80"/>
      <c r="DM62" s="80"/>
      <c r="DN62" s="80"/>
      <c r="DO62" s="80"/>
      <c r="DP62" s="80"/>
      <c r="DQ62" s="80"/>
      <c r="DR62" s="80"/>
      <c r="DS62" s="80"/>
      <c r="DT62" s="80"/>
      <c r="DU62" s="80"/>
      <c r="DV62" s="80"/>
      <c r="DW62" s="80"/>
      <c r="DX62" s="80"/>
      <c r="DY62" s="80"/>
      <c r="DZ62" s="80"/>
      <c r="EA62" s="80"/>
      <c r="EB62" s="80"/>
      <c r="EC62" s="80"/>
      <c r="ED62" s="80"/>
      <c r="EE62" s="80"/>
      <c r="EF62" s="80"/>
      <c r="EG62" s="80"/>
      <c r="EH62" s="80"/>
      <c r="EI62" s="80"/>
      <c r="EJ62" s="80"/>
      <c r="EK62" s="80"/>
      <c r="EL62" s="80"/>
      <c r="EM62" s="80"/>
      <c r="EN62" s="80"/>
      <c r="EO62" s="80"/>
      <c r="EP62" s="80"/>
      <c r="EQ62" s="80"/>
      <c r="ER62" s="80"/>
      <c r="ES62" s="80"/>
      <c r="ET62" s="80"/>
      <c r="EU62" s="80"/>
      <c r="EV62" s="80"/>
      <c r="EW62" s="80"/>
      <c r="EX62" s="80"/>
      <c r="EY62" s="80"/>
      <c r="EZ62" s="80"/>
      <c r="FA62" s="80"/>
      <c r="FB62" s="80"/>
      <c r="FC62" s="80"/>
      <c r="FD62" s="80"/>
      <c r="FE62" s="80"/>
      <c r="FF62" s="80"/>
      <c r="FG62" s="80"/>
      <c r="FH62" s="80"/>
      <c r="FI62" s="80"/>
      <c r="FJ62" s="80"/>
      <c r="FK62" s="80"/>
      <c r="FL62" s="80"/>
      <c r="FM62" s="80"/>
      <c r="FN62" s="80"/>
      <c r="FO62" s="80"/>
      <c r="FP62" s="80"/>
      <c r="FQ62" s="80"/>
      <c r="FR62" s="80"/>
      <c r="FS62" s="80"/>
      <c r="FT62" s="80"/>
      <c r="FU62" s="80"/>
      <c r="FV62" s="80"/>
      <c r="FW62" s="80"/>
      <c r="FX62" s="80"/>
      <c r="FY62" s="80"/>
      <c r="FZ62" s="80"/>
      <c r="GA62" s="80"/>
      <c r="GB62" s="80"/>
      <c r="GC62" s="80"/>
      <c r="GD62" s="80"/>
      <c r="GE62" s="80"/>
      <c r="GF62" s="80"/>
      <c r="GG62" s="80"/>
      <c r="GH62" s="80"/>
      <c r="GI62" s="80"/>
      <c r="GJ62" s="80"/>
      <c r="GK62" s="80"/>
      <c r="GL62" s="80"/>
      <c r="GM62" s="80"/>
      <c r="GN62" s="80"/>
      <c r="GO62" s="80"/>
      <c r="GP62" s="80"/>
      <c r="GQ62" s="80"/>
      <c r="GR62" s="80"/>
      <c r="GS62" s="80"/>
      <c r="GT62" s="80"/>
      <c r="GU62" s="80"/>
      <c r="GV62" s="80"/>
      <c r="GW62" s="80"/>
      <c r="GX62" s="80"/>
      <c r="GY62" s="80"/>
      <c r="GZ62" s="80"/>
      <c r="HA62" s="80"/>
      <c r="HB62" s="80"/>
      <c r="HC62" s="80"/>
      <c r="HD62" s="80"/>
      <c r="HE62" s="80"/>
      <c r="HF62" s="80"/>
      <c r="HG62" s="80"/>
      <c r="HH62" s="80"/>
      <c r="HI62" s="80"/>
      <c r="HJ62" s="80"/>
      <c r="HK62" s="80"/>
      <c r="HL62" s="80"/>
      <c r="HM62" s="80"/>
      <c r="HN62" s="80"/>
      <c r="HO62" s="80"/>
      <c r="HP62" s="80"/>
      <c r="HQ62" s="80"/>
      <c r="HR62" s="80"/>
      <c r="HS62" s="80"/>
      <c r="HT62" s="80"/>
      <c r="HU62" s="80"/>
      <c r="HV62" s="80"/>
      <c r="HW62" s="80"/>
      <c r="HX62" s="80"/>
      <c r="HY62" s="80"/>
      <c r="HZ62" s="80"/>
      <c r="IA62" s="80"/>
      <c r="IB62" s="80"/>
      <c r="IC62" s="80"/>
      <c r="ID62" s="80"/>
      <c r="IE62" s="80"/>
      <c r="IF62" s="80"/>
      <c r="IG62" s="80"/>
      <c r="IH62" s="80"/>
      <c r="II62" s="80"/>
      <c r="IJ62" s="80"/>
      <c r="IK62" s="80"/>
      <c r="IL62" s="80"/>
      <c r="IM62" s="80"/>
      <c r="IN62" s="80"/>
      <c r="IO62" s="80"/>
      <c r="IP62" s="80"/>
      <c r="IQ62" s="80"/>
      <c r="IR62" s="80"/>
      <c r="IS62" s="80"/>
      <c r="IT62" s="80"/>
      <c r="IU62" s="80"/>
      <c r="IV62" s="80"/>
    </row>
    <row r="63" spans="1:256" x14ac:dyDescent="0.2">
      <c r="A63" s="78"/>
      <c r="B63" s="78"/>
      <c r="C63" s="78"/>
      <c r="D63" s="79" t="s">
        <v>209</v>
      </c>
      <c r="E63" s="79"/>
      <c r="F63" s="79"/>
      <c r="G63" s="79"/>
      <c r="H63" s="79"/>
      <c r="I63" s="79"/>
      <c r="J63" s="76">
        <f>SUM(J61:J62)</f>
        <v>0</v>
      </c>
      <c r="K63" s="79"/>
      <c r="L63" s="76">
        <f>SUM(L61:L62)</f>
        <v>0</v>
      </c>
      <c r="M63" s="77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  <c r="DA63" s="80"/>
      <c r="DB63" s="80"/>
      <c r="DC63" s="80"/>
      <c r="DD63" s="80"/>
      <c r="DE63" s="80"/>
      <c r="DF63" s="80"/>
      <c r="DG63" s="80"/>
      <c r="DH63" s="80"/>
      <c r="DI63" s="80"/>
      <c r="DJ63" s="80"/>
      <c r="DK63" s="80"/>
      <c r="DL63" s="80"/>
      <c r="DM63" s="80"/>
      <c r="DN63" s="80"/>
      <c r="DO63" s="80"/>
      <c r="DP63" s="80"/>
      <c r="DQ63" s="80"/>
      <c r="DR63" s="80"/>
      <c r="DS63" s="80"/>
      <c r="DT63" s="80"/>
      <c r="DU63" s="80"/>
      <c r="DV63" s="80"/>
      <c r="DW63" s="80"/>
      <c r="DX63" s="80"/>
      <c r="DY63" s="80"/>
      <c r="DZ63" s="80"/>
      <c r="EA63" s="80"/>
      <c r="EB63" s="80"/>
      <c r="EC63" s="80"/>
      <c r="ED63" s="80"/>
      <c r="EE63" s="80"/>
      <c r="EF63" s="80"/>
      <c r="EG63" s="80"/>
      <c r="EH63" s="80"/>
      <c r="EI63" s="80"/>
      <c r="EJ63" s="80"/>
      <c r="EK63" s="80"/>
      <c r="EL63" s="80"/>
      <c r="EM63" s="80"/>
      <c r="EN63" s="80"/>
      <c r="EO63" s="80"/>
      <c r="EP63" s="80"/>
      <c r="EQ63" s="80"/>
      <c r="ER63" s="80"/>
      <c r="ES63" s="80"/>
      <c r="ET63" s="80"/>
      <c r="EU63" s="80"/>
      <c r="EV63" s="80"/>
      <c r="EW63" s="80"/>
      <c r="EX63" s="80"/>
      <c r="EY63" s="80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80"/>
      <c r="FM63" s="80"/>
      <c r="FN63" s="80"/>
      <c r="FO63" s="80"/>
      <c r="FP63" s="80"/>
      <c r="FQ63" s="80"/>
      <c r="FR63" s="80"/>
      <c r="FS63" s="80"/>
      <c r="FT63" s="80"/>
      <c r="FU63" s="80"/>
      <c r="FV63" s="80"/>
      <c r="FW63" s="80"/>
      <c r="FX63" s="80"/>
      <c r="FY63" s="80"/>
      <c r="FZ63" s="80"/>
      <c r="GA63" s="80"/>
      <c r="GB63" s="80"/>
      <c r="GC63" s="80"/>
      <c r="GD63" s="80"/>
      <c r="GE63" s="80"/>
      <c r="GF63" s="80"/>
      <c r="GG63" s="80"/>
      <c r="GH63" s="80"/>
      <c r="GI63" s="80"/>
      <c r="GJ63" s="80"/>
      <c r="GK63" s="80"/>
      <c r="GL63" s="80"/>
      <c r="GM63" s="80"/>
      <c r="GN63" s="80"/>
      <c r="GO63" s="80"/>
      <c r="GP63" s="80"/>
      <c r="GQ63" s="80"/>
      <c r="GR63" s="80"/>
      <c r="GS63" s="80"/>
      <c r="GT63" s="80"/>
      <c r="GU63" s="80"/>
      <c r="GV63" s="80"/>
      <c r="GW63" s="80"/>
      <c r="GX63" s="80"/>
      <c r="GY63" s="80"/>
      <c r="GZ63" s="80"/>
      <c r="HA63" s="80"/>
      <c r="HB63" s="80"/>
      <c r="HC63" s="80"/>
      <c r="HD63" s="80"/>
      <c r="HE63" s="80"/>
      <c r="HF63" s="80"/>
      <c r="HG63" s="80"/>
      <c r="HH63" s="80"/>
      <c r="HI63" s="80"/>
      <c r="HJ63" s="80"/>
      <c r="HK63" s="80"/>
      <c r="HL63" s="80"/>
      <c r="HM63" s="80"/>
      <c r="HN63" s="80"/>
      <c r="HO63" s="80"/>
      <c r="HP63" s="80"/>
      <c r="HQ63" s="80"/>
      <c r="HR63" s="80"/>
      <c r="HS63" s="80"/>
      <c r="HT63" s="80"/>
      <c r="HU63" s="80"/>
      <c r="HV63" s="80"/>
      <c r="HW63" s="80"/>
      <c r="HX63" s="80"/>
      <c r="HY63" s="80"/>
      <c r="HZ63" s="80"/>
      <c r="IA63" s="80"/>
      <c r="IB63" s="80"/>
      <c r="IC63" s="80"/>
      <c r="ID63" s="80"/>
      <c r="IE63" s="80"/>
      <c r="IF63" s="80"/>
      <c r="IG63" s="80"/>
      <c r="IH63" s="80"/>
      <c r="II63" s="80"/>
      <c r="IJ63" s="80"/>
      <c r="IK63" s="80"/>
      <c r="IL63" s="80"/>
      <c r="IM63" s="80"/>
      <c r="IN63" s="80"/>
      <c r="IO63" s="80"/>
      <c r="IP63" s="80"/>
      <c r="IQ63" s="80"/>
      <c r="IR63" s="80"/>
      <c r="IS63" s="80"/>
      <c r="IT63" s="80"/>
      <c r="IU63" s="80"/>
      <c r="IV63" s="80"/>
    </row>
    <row r="64" spans="1:256" x14ac:dyDescent="0.2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2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  <c r="DT64" s="81"/>
      <c r="DU64" s="81"/>
      <c r="DV64" s="81"/>
      <c r="DW64" s="81"/>
      <c r="DX64" s="81"/>
      <c r="DY64" s="81"/>
      <c r="DZ64" s="81"/>
      <c r="EA64" s="81"/>
      <c r="EB64" s="81"/>
      <c r="EC64" s="81"/>
      <c r="ED64" s="81"/>
      <c r="EE64" s="81"/>
      <c r="EF64" s="81"/>
      <c r="EG64" s="81"/>
      <c r="EH64" s="81"/>
      <c r="EI64" s="81"/>
      <c r="EJ64" s="81"/>
      <c r="EK64" s="81"/>
      <c r="EL64" s="81"/>
      <c r="EM64" s="81"/>
      <c r="EN64" s="81"/>
      <c r="EO64" s="81"/>
      <c r="EP64" s="81"/>
      <c r="EQ64" s="81"/>
      <c r="ER64" s="81"/>
      <c r="ES64" s="81"/>
      <c r="ET64" s="81"/>
      <c r="EU64" s="81"/>
      <c r="EV64" s="81"/>
      <c r="EW64" s="81"/>
      <c r="EX64" s="81"/>
      <c r="EY64" s="81"/>
      <c r="EZ64" s="81"/>
      <c r="FA64" s="81"/>
      <c r="FB64" s="81"/>
      <c r="FC64" s="81"/>
      <c r="FD64" s="81"/>
      <c r="FE64" s="81"/>
      <c r="FF64" s="81"/>
      <c r="FG64" s="81"/>
      <c r="FH64" s="81"/>
      <c r="FI64" s="81"/>
      <c r="FJ64" s="81"/>
      <c r="FK64" s="81"/>
      <c r="FL64" s="81"/>
      <c r="FM64" s="81"/>
      <c r="FN64" s="81"/>
      <c r="FO64" s="81"/>
      <c r="FP64" s="81"/>
      <c r="FQ64" s="81"/>
      <c r="FR64" s="81"/>
      <c r="FS64" s="81"/>
      <c r="FT64" s="81"/>
      <c r="FU64" s="81"/>
      <c r="FV64" s="81"/>
      <c r="FW64" s="81"/>
      <c r="FX64" s="81"/>
      <c r="FY64" s="81"/>
      <c r="FZ64" s="81"/>
      <c r="GA64" s="81"/>
      <c r="GB64" s="81"/>
      <c r="GC64" s="81"/>
      <c r="GD64" s="81"/>
      <c r="GE64" s="81"/>
      <c r="GF64" s="81"/>
      <c r="GG64" s="81"/>
      <c r="GH64" s="81"/>
      <c r="GI64" s="81"/>
      <c r="GJ64" s="81"/>
      <c r="GK64" s="81"/>
      <c r="GL64" s="81"/>
      <c r="GM64" s="81"/>
      <c r="GN64" s="81"/>
      <c r="GO64" s="81"/>
      <c r="GP64" s="81"/>
      <c r="GQ64" s="81"/>
      <c r="GR64" s="81"/>
      <c r="GS64" s="81"/>
      <c r="GT64" s="81"/>
      <c r="GU64" s="81"/>
      <c r="GV64" s="81"/>
      <c r="GW64" s="81"/>
      <c r="GX64" s="81"/>
      <c r="GY64" s="81"/>
      <c r="GZ64" s="81"/>
      <c r="HA64" s="81"/>
      <c r="HB64" s="81"/>
      <c r="HC64" s="81"/>
      <c r="HD64" s="81"/>
      <c r="HE64" s="81"/>
      <c r="HF64" s="81"/>
      <c r="HG64" s="81"/>
      <c r="HH64" s="81"/>
      <c r="HI64" s="81"/>
      <c r="HJ64" s="81"/>
      <c r="HK64" s="81"/>
      <c r="HL64" s="81"/>
      <c r="HM64" s="81"/>
      <c r="HN64" s="81"/>
      <c r="HO64" s="81"/>
      <c r="HP64" s="81"/>
      <c r="HQ64" s="81"/>
      <c r="HR64" s="81"/>
      <c r="HS64" s="81"/>
      <c r="HT64" s="81"/>
      <c r="HU64" s="81"/>
      <c r="HV64" s="81"/>
      <c r="HW64" s="81"/>
      <c r="HX64" s="81"/>
      <c r="HY64" s="81"/>
      <c r="HZ64" s="81"/>
      <c r="IA64" s="81"/>
      <c r="IB64" s="81"/>
      <c r="IC64" s="81"/>
      <c r="ID64" s="81"/>
      <c r="IE64" s="81"/>
      <c r="IF64" s="81"/>
      <c r="IG64" s="81"/>
      <c r="IH64" s="81"/>
      <c r="II64" s="81"/>
      <c r="IJ64" s="81"/>
      <c r="IK64" s="81"/>
      <c r="IL64" s="81"/>
      <c r="IM64" s="81"/>
      <c r="IN64" s="81"/>
      <c r="IO64" s="81"/>
      <c r="IP64" s="81"/>
      <c r="IQ64" s="81"/>
      <c r="IR64" s="81"/>
      <c r="IS64" s="81"/>
      <c r="IT64" s="81"/>
      <c r="IU64" s="81"/>
      <c r="IV64" s="81"/>
    </row>
    <row r="65" spans="1:256" ht="30" x14ac:dyDescent="0.25">
      <c r="A65" s="78"/>
      <c r="B65" s="78"/>
      <c r="C65" s="78"/>
      <c r="D65" s="83" t="s">
        <v>210</v>
      </c>
      <c r="E65" s="83"/>
      <c r="F65" s="83"/>
      <c r="G65" s="83"/>
      <c r="H65" s="83"/>
      <c r="I65" s="84"/>
      <c r="J65" s="85">
        <f>I54-J63</f>
        <v>71186.33</v>
      </c>
      <c r="K65" s="86"/>
      <c r="L65" s="85">
        <f>K54-L63</f>
        <v>407964.04</v>
      </c>
      <c r="M65" s="82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  <c r="CR65" s="80"/>
      <c r="CS65" s="80"/>
      <c r="CT65" s="80"/>
      <c r="CU65" s="80"/>
      <c r="CV65" s="80"/>
      <c r="CW65" s="80"/>
      <c r="CX65" s="80"/>
      <c r="CY65" s="80"/>
      <c r="CZ65" s="80"/>
      <c r="DA65" s="80"/>
      <c r="DB65" s="80"/>
      <c r="DC65" s="80"/>
      <c r="DD65" s="80"/>
      <c r="DE65" s="80"/>
      <c r="DF65" s="80"/>
      <c r="DG65" s="80"/>
      <c r="DH65" s="80"/>
      <c r="DI65" s="80"/>
      <c r="DJ65" s="80"/>
      <c r="DK65" s="80"/>
      <c r="DL65" s="80"/>
      <c r="DM65" s="80"/>
      <c r="DN65" s="80"/>
      <c r="DO65" s="80"/>
      <c r="DP65" s="80"/>
      <c r="DQ65" s="80"/>
      <c r="DR65" s="80"/>
      <c r="DS65" s="80"/>
      <c r="DT65" s="80"/>
      <c r="DU65" s="80"/>
      <c r="DV65" s="80"/>
      <c r="DW65" s="80"/>
      <c r="DX65" s="80"/>
      <c r="DY65" s="80"/>
      <c r="DZ65" s="80"/>
      <c r="EA65" s="80"/>
      <c r="EB65" s="80"/>
      <c r="EC65" s="80"/>
      <c r="ED65" s="80"/>
      <c r="EE65" s="80"/>
      <c r="EF65" s="80"/>
      <c r="EG65" s="80"/>
      <c r="EH65" s="80"/>
      <c r="EI65" s="80"/>
      <c r="EJ65" s="80"/>
      <c r="EK65" s="80"/>
      <c r="EL65" s="80"/>
      <c r="EM65" s="80"/>
      <c r="EN65" s="80"/>
      <c r="EO65" s="80"/>
      <c r="EP65" s="80"/>
      <c r="EQ65" s="80"/>
      <c r="ER65" s="80"/>
      <c r="ES65" s="80"/>
      <c r="ET65" s="80"/>
      <c r="EU65" s="80"/>
      <c r="EV65" s="80"/>
      <c r="EW65" s="80"/>
      <c r="EX65" s="80"/>
      <c r="EY65" s="80"/>
      <c r="EZ65" s="80"/>
      <c r="FA65" s="80"/>
      <c r="FB65" s="80"/>
      <c r="FC65" s="80"/>
      <c r="FD65" s="80"/>
      <c r="FE65" s="80"/>
      <c r="FF65" s="80"/>
      <c r="FG65" s="80"/>
      <c r="FH65" s="80"/>
      <c r="FI65" s="80"/>
      <c r="FJ65" s="80"/>
      <c r="FK65" s="80"/>
      <c r="FL65" s="80"/>
      <c r="FM65" s="80"/>
      <c r="FN65" s="80"/>
      <c r="FO65" s="80"/>
      <c r="FP65" s="80"/>
      <c r="FQ65" s="80"/>
      <c r="FR65" s="80"/>
      <c r="FS65" s="80"/>
      <c r="FT65" s="80"/>
      <c r="FU65" s="80"/>
      <c r="FV65" s="80"/>
      <c r="FW65" s="80"/>
      <c r="FX65" s="80"/>
      <c r="FY65" s="80"/>
      <c r="FZ65" s="80"/>
      <c r="GA65" s="80"/>
      <c r="GB65" s="80"/>
      <c r="GC65" s="80"/>
      <c r="GD65" s="80"/>
      <c r="GE65" s="80"/>
      <c r="GF65" s="80"/>
      <c r="GG65" s="80"/>
      <c r="GH65" s="80"/>
      <c r="GI65" s="80"/>
      <c r="GJ65" s="80"/>
      <c r="GK65" s="80"/>
      <c r="GL65" s="80"/>
      <c r="GM65" s="80"/>
      <c r="GN65" s="80"/>
      <c r="GO65" s="80"/>
      <c r="GP65" s="80"/>
      <c r="GQ65" s="80"/>
      <c r="GR65" s="80"/>
      <c r="GS65" s="80"/>
      <c r="GT65" s="80"/>
      <c r="GU65" s="80"/>
      <c r="GV65" s="80"/>
      <c r="GW65" s="80"/>
      <c r="GX65" s="80"/>
      <c r="GY65" s="80"/>
      <c r="GZ65" s="80"/>
      <c r="HA65" s="80"/>
      <c r="HB65" s="80"/>
      <c r="HC65" s="80"/>
      <c r="HD65" s="80"/>
      <c r="HE65" s="80"/>
      <c r="HF65" s="80"/>
      <c r="HG65" s="80"/>
      <c r="HH65" s="80"/>
      <c r="HI65" s="80"/>
      <c r="HJ65" s="80"/>
      <c r="HK65" s="80"/>
      <c r="HL65" s="80"/>
      <c r="HM65" s="80"/>
      <c r="HN65" s="80"/>
      <c r="HO65" s="80"/>
      <c r="HP65" s="80"/>
      <c r="HQ65" s="80"/>
      <c r="HR65" s="80"/>
      <c r="HS65" s="80"/>
      <c r="HT65" s="80"/>
      <c r="HU65" s="80"/>
      <c r="HV65" s="80"/>
      <c r="HW65" s="80"/>
      <c r="HX65" s="80"/>
      <c r="HY65" s="80"/>
      <c r="HZ65" s="80"/>
      <c r="IA65" s="80"/>
      <c r="IB65" s="80"/>
      <c r="IC65" s="80"/>
      <c r="ID65" s="80"/>
      <c r="IE65" s="80"/>
      <c r="IF65" s="80"/>
      <c r="IG65" s="80"/>
      <c r="IH65" s="80"/>
      <c r="II65" s="80"/>
      <c r="IJ65" s="80"/>
      <c r="IK65" s="80"/>
      <c r="IL65" s="80"/>
      <c r="IM65" s="80"/>
      <c r="IN65" s="80"/>
      <c r="IO65" s="80"/>
      <c r="IP65" s="80"/>
      <c r="IQ65" s="80"/>
      <c r="IR65" s="80"/>
      <c r="IS65" s="80"/>
      <c r="IT65" s="80"/>
      <c r="IU65" s="80"/>
      <c r="IV65" s="80"/>
    </row>
    <row r="66" spans="1:256" ht="14.25" x14ac:dyDescent="0.2">
      <c r="A66" s="78"/>
      <c r="B66" s="78"/>
      <c r="C66" s="78"/>
      <c r="D66" s="87" t="s">
        <v>211</v>
      </c>
      <c r="E66" s="87"/>
      <c r="F66" s="87"/>
      <c r="G66" s="87"/>
      <c r="H66" s="87"/>
      <c r="I66" s="88"/>
      <c r="J66" s="89">
        <f>J65-J69</f>
        <v>71186.33</v>
      </c>
      <c r="K66" s="90"/>
      <c r="L66" s="89">
        <f>L65-L69</f>
        <v>407964.04</v>
      </c>
      <c r="M66" s="82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V66" s="80"/>
      <c r="CW66" s="80"/>
      <c r="CX66" s="80"/>
      <c r="CY66" s="80"/>
      <c r="CZ66" s="80"/>
      <c r="DA66" s="80"/>
      <c r="DB66" s="80"/>
      <c r="DC66" s="80"/>
      <c r="DD66" s="80"/>
      <c r="DE66" s="80"/>
      <c r="DF66" s="80"/>
      <c r="DG66" s="80"/>
      <c r="DH66" s="80"/>
      <c r="DI66" s="80"/>
      <c r="DJ66" s="80"/>
      <c r="DK66" s="80"/>
      <c r="DL66" s="80"/>
      <c r="DM66" s="80"/>
      <c r="DN66" s="80"/>
      <c r="DO66" s="80"/>
      <c r="DP66" s="80"/>
      <c r="DQ66" s="80"/>
      <c r="DR66" s="80"/>
      <c r="DS66" s="80"/>
      <c r="DT66" s="80"/>
      <c r="DU66" s="80"/>
      <c r="DV66" s="80"/>
      <c r="DW66" s="80"/>
      <c r="DX66" s="80"/>
      <c r="DY66" s="80"/>
      <c r="DZ66" s="80"/>
      <c r="EA66" s="80"/>
      <c r="EB66" s="80"/>
      <c r="EC66" s="80"/>
      <c r="ED66" s="80"/>
      <c r="EE66" s="80"/>
      <c r="EF66" s="80"/>
      <c r="EG66" s="80"/>
      <c r="EH66" s="80"/>
      <c r="EI66" s="80"/>
      <c r="EJ66" s="80"/>
      <c r="EK66" s="80"/>
      <c r="EL66" s="80"/>
      <c r="EM66" s="80"/>
      <c r="EN66" s="80"/>
      <c r="EO66" s="80"/>
      <c r="EP66" s="80"/>
      <c r="EQ66" s="80"/>
      <c r="ER66" s="80"/>
      <c r="ES66" s="80"/>
      <c r="ET66" s="80"/>
      <c r="EU66" s="80"/>
      <c r="EV66" s="80"/>
      <c r="EW66" s="80"/>
      <c r="EX66" s="80"/>
      <c r="EY66" s="80"/>
      <c r="EZ66" s="80"/>
      <c r="FA66" s="80"/>
      <c r="FB66" s="80"/>
      <c r="FC66" s="80"/>
      <c r="FD66" s="80"/>
      <c r="FE66" s="80"/>
      <c r="FF66" s="80"/>
      <c r="FG66" s="80"/>
      <c r="FH66" s="80"/>
      <c r="FI66" s="80"/>
      <c r="FJ66" s="80"/>
      <c r="FK66" s="80"/>
      <c r="FL66" s="80"/>
      <c r="FM66" s="80"/>
      <c r="FN66" s="80"/>
      <c r="FO66" s="80"/>
      <c r="FP66" s="80"/>
      <c r="FQ66" s="80"/>
      <c r="FR66" s="80"/>
      <c r="FS66" s="80"/>
      <c r="FT66" s="80"/>
      <c r="FU66" s="80"/>
      <c r="FV66" s="80"/>
      <c r="FW66" s="80"/>
      <c r="FX66" s="80"/>
      <c r="FY66" s="80"/>
      <c r="FZ66" s="80"/>
      <c r="GA66" s="80"/>
      <c r="GB66" s="80"/>
      <c r="GC66" s="80"/>
      <c r="GD66" s="80"/>
      <c r="GE66" s="80"/>
      <c r="GF66" s="80"/>
      <c r="GG66" s="80"/>
      <c r="GH66" s="80"/>
      <c r="GI66" s="80"/>
      <c r="GJ66" s="80"/>
      <c r="GK66" s="80"/>
      <c r="GL66" s="80"/>
      <c r="GM66" s="80"/>
      <c r="GN66" s="80"/>
      <c r="GO66" s="80"/>
      <c r="GP66" s="80"/>
      <c r="GQ66" s="80"/>
      <c r="GR66" s="80"/>
      <c r="GS66" s="80"/>
      <c r="GT66" s="80"/>
      <c r="GU66" s="80"/>
      <c r="GV66" s="80"/>
      <c r="GW66" s="80"/>
      <c r="GX66" s="80"/>
      <c r="GY66" s="80"/>
      <c r="GZ66" s="80"/>
      <c r="HA66" s="80"/>
      <c r="HB66" s="80"/>
      <c r="HC66" s="80"/>
      <c r="HD66" s="80"/>
      <c r="HE66" s="80"/>
      <c r="HF66" s="80"/>
      <c r="HG66" s="80"/>
      <c r="HH66" s="80"/>
      <c r="HI66" s="80"/>
      <c r="HJ66" s="80"/>
      <c r="HK66" s="80"/>
      <c r="HL66" s="80"/>
      <c r="HM66" s="80"/>
      <c r="HN66" s="80"/>
      <c r="HO66" s="80"/>
      <c r="HP66" s="80"/>
      <c r="HQ66" s="80"/>
      <c r="HR66" s="80"/>
      <c r="HS66" s="80"/>
      <c r="HT66" s="80"/>
      <c r="HU66" s="80"/>
      <c r="HV66" s="80"/>
      <c r="HW66" s="80"/>
      <c r="HX66" s="80"/>
      <c r="HY66" s="80"/>
      <c r="HZ66" s="80"/>
      <c r="IA66" s="80"/>
      <c r="IB66" s="80"/>
      <c r="IC66" s="80"/>
      <c r="ID66" s="80"/>
      <c r="IE66" s="80"/>
      <c r="IF66" s="80"/>
      <c r="IG66" s="80"/>
      <c r="IH66" s="80"/>
      <c r="II66" s="80"/>
      <c r="IJ66" s="80"/>
      <c r="IK66" s="80"/>
      <c r="IL66" s="80"/>
      <c r="IM66" s="80"/>
      <c r="IN66" s="80"/>
      <c r="IO66" s="80"/>
      <c r="IP66" s="80"/>
      <c r="IQ66" s="80"/>
      <c r="IR66" s="80"/>
      <c r="IS66" s="80"/>
      <c r="IT66" s="80"/>
      <c r="IU66" s="80"/>
      <c r="IV66" s="80"/>
    </row>
    <row r="67" spans="1:256" ht="14.25" x14ac:dyDescent="0.2">
      <c r="A67" s="78"/>
      <c r="B67" s="78"/>
      <c r="C67" s="78"/>
      <c r="D67" s="87" t="s">
        <v>212</v>
      </c>
      <c r="E67" s="87"/>
      <c r="F67" s="87"/>
      <c r="G67" s="87"/>
      <c r="H67" s="87"/>
      <c r="I67" s="88"/>
      <c r="J67" s="89">
        <f>I59+I58</f>
        <v>591.59</v>
      </c>
      <c r="K67" s="90"/>
      <c r="L67" s="89">
        <f>K58+K59</f>
        <v>14162.67</v>
      </c>
      <c r="M67" s="82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U67" s="80"/>
      <c r="CV67" s="80"/>
      <c r="CW67" s="80"/>
      <c r="CX67" s="80"/>
      <c r="CY67" s="80"/>
      <c r="CZ67" s="80"/>
      <c r="DA67" s="80"/>
      <c r="DB67" s="80"/>
      <c r="DC67" s="80"/>
      <c r="DD67" s="80"/>
      <c r="DE67" s="80"/>
      <c r="DF67" s="80"/>
      <c r="DG67" s="80"/>
      <c r="DH67" s="80"/>
      <c r="DI67" s="80"/>
      <c r="DJ67" s="80"/>
      <c r="DK67" s="80"/>
      <c r="DL67" s="80"/>
      <c r="DM67" s="80"/>
      <c r="DN67" s="80"/>
      <c r="DO67" s="80"/>
      <c r="DP67" s="80"/>
      <c r="DQ67" s="80"/>
      <c r="DR67" s="80"/>
      <c r="DS67" s="80"/>
      <c r="DT67" s="80"/>
      <c r="DU67" s="80"/>
      <c r="DV67" s="80"/>
      <c r="DW67" s="80"/>
      <c r="DX67" s="80"/>
      <c r="DY67" s="80"/>
      <c r="DZ67" s="80"/>
      <c r="EA67" s="80"/>
      <c r="EB67" s="80"/>
      <c r="EC67" s="80"/>
      <c r="ED67" s="80"/>
      <c r="EE67" s="80"/>
      <c r="EF67" s="80"/>
      <c r="EG67" s="80"/>
      <c r="EH67" s="80"/>
      <c r="EI67" s="80"/>
      <c r="EJ67" s="80"/>
      <c r="EK67" s="80"/>
      <c r="EL67" s="80"/>
      <c r="EM67" s="80"/>
      <c r="EN67" s="80"/>
      <c r="EO67" s="80"/>
      <c r="EP67" s="80"/>
      <c r="EQ67" s="80"/>
      <c r="ER67" s="80"/>
      <c r="ES67" s="80"/>
      <c r="ET67" s="80"/>
      <c r="EU67" s="80"/>
      <c r="EV67" s="80"/>
      <c r="EW67" s="80"/>
      <c r="EX67" s="80"/>
      <c r="EY67" s="80"/>
      <c r="EZ67" s="80"/>
      <c r="FA67" s="80"/>
      <c r="FB67" s="80"/>
      <c r="FC67" s="80"/>
      <c r="FD67" s="80"/>
      <c r="FE67" s="80"/>
      <c r="FF67" s="80"/>
      <c r="FG67" s="80"/>
      <c r="FH67" s="80"/>
      <c r="FI67" s="80"/>
      <c r="FJ67" s="80"/>
      <c r="FK67" s="80"/>
      <c r="FL67" s="80"/>
      <c r="FM67" s="80"/>
      <c r="FN67" s="80"/>
      <c r="FO67" s="80"/>
      <c r="FP67" s="80"/>
      <c r="FQ67" s="80"/>
      <c r="FR67" s="80"/>
      <c r="FS67" s="80"/>
      <c r="FT67" s="80"/>
      <c r="FU67" s="80"/>
      <c r="FV67" s="80"/>
      <c r="FW67" s="80"/>
      <c r="FX67" s="80"/>
      <c r="FY67" s="80"/>
      <c r="FZ67" s="80"/>
      <c r="GA67" s="80"/>
      <c r="GB67" s="80"/>
      <c r="GC67" s="80"/>
      <c r="GD67" s="80"/>
      <c r="GE67" s="80"/>
      <c r="GF67" s="80"/>
      <c r="GG67" s="80"/>
      <c r="GH67" s="80"/>
      <c r="GI67" s="80"/>
      <c r="GJ67" s="80"/>
      <c r="GK67" s="80"/>
      <c r="GL67" s="80"/>
      <c r="GM67" s="80"/>
      <c r="GN67" s="80"/>
      <c r="GO67" s="80"/>
      <c r="GP67" s="80"/>
      <c r="GQ67" s="80"/>
      <c r="GR67" s="80"/>
      <c r="GS67" s="80"/>
      <c r="GT67" s="80"/>
      <c r="GU67" s="80"/>
      <c r="GV67" s="80"/>
      <c r="GW67" s="80"/>
      <c r="GX67" s="80"/>
      <c r="GY67" s="80"/>
      <c r="GZ67" s="80"/>
      <c r="HA67" s="80"/>
      <c r="HB67" s="80"/>
      <c r="HC67" s="80"/>
      <c r="HD67" s="80"/>
      <c r="HE67" s="80"/>
      <c r="HF67" s="80"/>
      <c r="HG67" s="80"/>
      <c r="HH67" s="80"/>
      <c r="HI67" s="80"/>
      <c r="HJ67" s="80"/>
      <c r="HK67" s="80"/>
      <c r="HL67" s="80"/>
      <c r="HM67" s="80"/>
      <c r="HN67" s="80"/>
      <c r="HO67" s="80"/>
      <c r="HP67" s="80"/>
      <c r="HQ67" s="80"/>
      <c r="HR67" s="80"/>
      <c r="HS67" s="80"/>
      <c r="HT67" s="80"/>
      <c r="HU67" s="80"/>
      <c r="HV67" s="80"/>
      <c r="HW67" s="80"/>
      <c r="HX67" s="80"/>
      <c r="HY67" s="80"/>
      <c r="HZ67" s="80"/>
      <c r="IA67" s="80"/>
      <c r="IB67" s="80"/>
      <c r="IC67" s="80"/>
      <c r="ID67" s="80"/>
      <c r="IE67" s="80"/>
      <c r="IF67" s="80"/>
      <c r="IG67" s="80"/>
      <c r="IH67" s="80"/>
      <c r="II67" s="80"/>
      <c r="IJ67" s="80"/>
      <c r="IK67" s="80"/>
      <c r="IL67" s="80"/>
      <c r="IM67" s="80"/>
      <c r="IN67" s="80"/>
      <c r="IO67" s="80"/>
      <c r="IP67" s="80"/>
      <c r="IQ67" s="80"/>
      <c r="IR67" s="80"/>
      <c r="IS67" s="80"/>
      <c r="IT67" s="80"/>
      <c r="IU67" s="80"/>
      <c r="IV67" s="80"/>
    </row>
    <row r="68" spans="1:256" ht="14.25" x14ac:dyDescent="0.2">
      <c r="A68" s="78"/>
      <c r="B68" s="78"/>
      <c r="C68" s="78"/>
      <c r="D68" s="87" t="s">
        <v>213</v>
      </c>
      <c r="E68" s="87"/>
      <c r="F68" s="87"/>
      <c r="G68" s="87"/>
      <c r="H68" s="87"/>
      <c r="I68" s="88"/>
      <c r="J68" s="89">
        <f>I57</f>
        <v>69232.69</v>
      </c>
      <c r="K68" s="90"/>
      <c r="L68" s="89">
        <f>K57</f>
        <v>372769.57</v>
      </c>
      <c r="M68" s="82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V68" s="80"/>
      <c r="CW68" s="80"/>
      <c r="CX68" s="80"/>
      <c r="CY68" s="80"/>
      <c r="CZ68" s="80"/>
      <c r="DA68" s="80"/>
      <c r="DB68" s="80"/>
      <c r="DC68" s="80"/>
      <c r="DD68" s="80"/>
      <c r="DE68" s="80"/>
      <c r="DF68" s="80"/>
      <c r="DG68" s="80"/>
      <c r="DH68" s="80"/>
      <c r="DI68" s="80"/>
      <c r="DJ68" s="80"/>
      <c r="DK68" s="80"/>
      <c r="DL68" s="80"/>
      <c r="DM68" s="80"/>
      <c r="DN68" s="80"/>
      <c r="DO68" s="80"/>
      <c r="DP68" s="80"/>
      <c r="DQ68" s="80"/>
      <c r="DR68" s="80"/>
      <c r="DS68" s="80"/>
      <c r="DT68" s="80"/>
      <c r="DU68" s="80"/>
      <c r="DV68" s="80"/>
      <c r="DW68" s="80"/>
      <c r="DX68" s="80"/>
      <c r="DY68" s="80"/>
      <c r="DZ68" s="80"/>
      <c r="EA68" s="80"/>
      <c r="EB68" s="80"/>
      <c r="EC68" s="80"/>
      <c r="ED68" s="80"/>
      <c r="EE68" s="80"/>
      <c r="EF68" s="80"/>
      <c r="EG68" s="80"/>
      <c r="EH68" s="80"/>
      <c r="EI68" s="80"/>
      <c r="EJ68" s="80"/>
      <c r="EK68" s="80"/>
      <c r="EL68" s="80"/>
      <c r="EM68" s="80"/>
      <c r="EN68" s="80"/>
      <c r="EO68" s="80"/>
      <c r="EP68" s="80"/>
      <c r="EQ68" s="80"/>
      <c r="ER68" s="80"/>
      <c r="ES68" s="80"/>
      <c r="ET68" s="80"/>
      <c r="EU68" s="80"/>
      <c r="EV68" s="80"/>
      <c r="EW68" s="80"/>
      <c r="EX68" s="80"/>
      <c r="EY68" s="80"/>
      <c r="EZ68" s="80"/>
      <c r="FA68" s="80"/>
      <c r="FB68" s="80"/>
      <c r="FC68" s="80"/>
      <c r="FD68" s="80"/>
      <c r="FE68" s="80"/>
      <c r="FF68" s="80"/>
      <c r="FG68" s="80"/>
      <c r="FH68" s="80"/>
      <c r="FI68" s="80"/>
      <c r="FJ68" s="80"/>
      <c r="FK68" s="80"/>
      <c r="FL68" s="80"/>
      <c r="FM68" s="80"/>
      <c r="FN68" s="80"/>
      <c r="FO68" s="80"/>
      <c r="FP68" s="80"/>
      <c r="FQ68" s="80"/>
      <c r="FR68" s="80"/>
      <c r="FS68" s="80"/>
      <c r="FT68" s="80"/>
      <c r="FU68" s="80"/>
      <c r="FV68" s="80"/>
      <c r="FW68" s="80"/>
      <c r="FX68" s="80"/>
      <c r="FY68" s="80"/>
      <c r="FZ68" s="80"/>
      <c r="GA68" s="80"/>
      <c r="GB68" s="80"/>
      <c r="GC68" s="80"/>
      <c r="GD68" s="80"/>
      <c r="GE68" s="80"/>
      <c r="GF68" s="80"/>
      <c r="GG68" s="80"/>
      <c r="GH68" s="80"/>
      <c r="GI68" s="80"/>
      <c r="GJ68" s="80"/>
      <c r="GK68" s="80"/>
      <c r="GL68" s="80"/>
      <c r="GM68" s="80"/>
      <c r="GN68" s="80"/>
      <c r="GO68" s="80"/>
      <c r="GP68" s="80"/>
      <c r="GQ68" s="80"/>
      <c r="GR68" s="80"/>
      <c r="GS68" s="80"/>
      <c r="GT68" s="80"/>
      <c r="GU68" s="80"/>
      <c r="GV68" s="80"/>
      <c r="GW68" s="80"/>
      <c r="GX68" s="80"/>
      <c r="GY68" s="80"/>
      <c r="GZ68" s="80"/>
      <c r="HA68" s="80"/>
      <c r="HB68" s="80"/>
      <c r="HC68" s="80"/>
      <c r="HD68" s="80"/>
      <c r="HE68" s="80"/>
      <c r="HF68" s="80"/>
      <c r="HG68" s="80"/>
      <c r="HH68" s="80"/>
      <c r="HI68" s="80"/>
      <c r="HJ68" s="80"/>
      <c r="HK68" s="80"/>
      <c r="HL68" s="80"/>
      <c r="HM68" s="80"/>
      <c r="HN68" s="80"/>
      <c r="HO68" s="80"/>
      <c r="HP68" s="80"/>
      <c r="HQ68" s="80"/>
      <c r="HR68" s="80"/>
      <c r="HS68" s="80"/>
      <c r="HT68" s="80"/>
      <c r="HU68" s="80"/>
      <c r="HV68" s="80"/>
      <c r="HW68" s="80"/>
      <c r="HX68" s="80"/>
      <c r="HY68" s="80"/>
      <c r="HZ68" s="80"/>
      <c r="IA68" s="80"/>
      <c r="IB68" s="80"/>
      <c r="IC68" s="80"/>
      <c r="ID68" s="80"/>
      <c r="IE68" s="80"/>
      <c r="IF68" s="80"/>
      <c r="IG68" s="80"/>
      <c r="IH68" s="80"/>
      <c r="II68" s="80"/>
      <c r="IJ68" s="80"/>
      <c r="IK68" s="80"/>
      <c r="IL68" s="80"/>
      <c r="IM68" s="80"/>
      <c r="IN68" s="80"/>
      <c r="IO68" s="80"/>
      <c r="IP68" s="80"/>
      <c r="IQ68" s="80"/>
      <c r="IR68" s="80"/>
      <c r="IS68" s="80"/>
      <c r="IT68" s="80"/>
      <c r="IU68" s="80"/>
      <c r="IV68" s="80"/>
    </row>
    <row r="69" spans="1:256" ht="14.25" x14ac:dyDescent="0.2">
      <c r="A69" s="91"/>
      <c r="B69" s="91"/>
      <c r="C69" s="91"/>
      <c r="D69" s="92" t="s">
        <v>214</v>
      </c>
      <c r="E69" s="92"/>
      <c r="F69" s="92"/>
      <c r="G69" s="92"/>
      <c r="H69" s="92"/>
      <c r="I69" s="93"/>
      <c r="J69" s="94">
        <v>0</v>
      </c>
      <c r="K69" s="95"/>
      <c r="L69" s="94">
        <v>0</v>
      </c>
      <c r="M69" s="82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/>
      <c r="EI69" s="96"/>
      <c r="EJ69" s="96"/>
      <c r="EK69" s="96"/>
      <c r="EL69" s="96"/>
      <c r="EM69" s="96"/>
      <c r="EN69" s="96"/>
      <c r="EO69" s="96"/>
      <c r="EP69" s="96"/>
      <c r="EQ69" s="96"/>
      <c r="ER69" s="96"/>
      <c r="ES69" s="96"/>
      <c r="ET69" s="96"/>
      <c r="EU69" s="96"/>
      <c r="EV69" s="96"/>
      <c r="EW69" s="96"/>
      <c r="EX69" s="96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96"/>
      <c r="FO69" s="96"/>
      <c r="FP69" s="96"/>
      <c r="FQ69" s="96"/>
      <c r="FR69" s="96"/>
      <c r="FS69" s="96"/>
      <c r="FT69" s="96"/>
      <c r="FU69" s="96"/>
      <c r="FV69" s="96"/>
      <c r="FW69" s="96"/>
      <c r="FX69" s="96"/>
      <c r="FY69" s="96"/>
      <c r="FZ69" s="96"/>
      <c r="GA69" s="96"/>
      <c r="GB69" s="96"/>
      <c r="GC69" s="96"/>
      <c r="GD69" s="96"/>
      <c r="GE69" s="96"/>
      <c r="GF69" s="96"/>
      <c r="GG69" s="96"/>
      <c r="GH69" s="96"/>
      <c r="GI69" s="96"/>
      <c r="GJ69" s="96"/>
      <c r="GK69" s="96"/>
      <c r="GL69" s="96"/>
      <c r="GM69" s="96"/>
      <c r="GN69" s="96"/>
      <c r="GO69" s="96"/>
      <c r="GP69" s="96"/>
      <c r="GQ69" s="96"/>
      <c r="GR69" s="96"/>
      <c r="GS69" s="96"/>
      <c r="GT69" s="96"/>
      <c r="GU69" s="96"/>
      <c r="GV69" s="96"/>
      <c r="GW69" s="96"/>
      <c r="GX69" s="96"/>
      <c r="GY69" s="96"/>
      <c r="GZ69" s="96"/>
      <c r="HA69" s="96"/>
      <c r="HB69" s="96"/>
      <c r="HC69" s="96"/>
      <c r="HD69" s="96"/>
      <c r="HE69" s="96"/>
      <c r="HF69" s="96"/>
      <c r="HG69" s="96"/>
      <c r="HH69" s="96"/>
      <c r="HI69" s="96"/>
      <c r="HJ69" s="96"/>
      <c r="HK69" s="96"/>
      <c r="HL69" s="96"/>
      <c r="HM69" s="96"/>
      <c r="HN69" s="96"/>
      <c r="HO69" s="96"/>
      <c r="HP69" s="96"/>
      <c r="HQ69" s="96"/>
      <c r="HR69" s="96"/>
      <c r="HS69" s="96"/>
      <c r="HT69" s="96"/>
      <c r="HU69" s="96"/>
      <c r="HV69" s="96"/>
      <c r="HW69" s="96"/>
      <c r="HX69" s="96"/>
      <c r="HY69" s="96"/>
      <c r="HZ69" s="96"/>
      <c r="IA69" s="96"/>
      <c r="IB69" s="96"/>
      <c r="IC69" s="96"/>
      <c r="ID69" s="96"/>
      <c r="IE69" s="96"/>
      <c r="IF69" s="96"/>
      <c r="IG69" s="96"/>
      <c r="IH69" s="96"/>
      <c r="II69" s="96"/>
      <c r="IJ69" s="96"/>
      <c r="IK69" s="96"/>
      <c r="IL69" s="96"/>
      <c r="IM69" s="96"/>
      <c r="IN69" s="96"/>
      <c r="IO69" s="96"/>
      <c r="IP69" s="96"/>
      <c r="IQ69" s="96"/>
      <c r="IR69" s="96"/>
      <c r="IS69" s="96"/>
      <c r="IT69" s="96"/>
      <c r="IU69" s="96"/>
      <c r="IV69" s="96"/>
    </row>
    <row r="70" spans="1:256" x14ac:dyDescent="0.2">
      <c r="A70" s="74"/>
      <c r="B70" s="74"/>
      <c r="C70" s="74"/>
      <c r="D70" s="97" t="s">
        <v>215</v>
      </c>
      <c r="E70" s="97"/>
      <c r="F70" s="97"/>
      <c r="G70" s="97"/>
      <c r="H70" s="97"/>
      <c r="I70" s="97"/>
      <c r="J70" s="98">
        <f>J67*15%</f>
        <v>88.74</v>
      </c>
      <c r="K70" s="98"/>
      <c r="L70" s="98">
        <f>L67*15%</f>
        <v>2124.4</v>
      </c>
      <c r="M70" s="77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  <c r="DN70" s="74"/>
      <c r="DO70" s="74"/>
      <c r="DP70" s="74"/>
      <c r="DQ70" s="74"/>
      <c r="DR70" s="74"/>
      <c r="DS70" s="74"/>
      <c r="DT70" s="74"/>
      <c r="DU70" s="74"/>
      <c r="DV70" s="74"/>
      <c r="DW70" s="74"/>
      <c r="DX70" s="74"/>
      <c r="DY70" s="74"/>
      <c r="DZ70" s="74"/>
      <c r="EA70" s="74"/>
      <c r="EB70" s="74"/>
      <c r="EC70" s="74"/>
      <c r="ED70" s="74"/>
      <c r="EE70" s="74"/>
      <c r="EF70" s="74"/>
      <c r="EG70" s="74"/>
      <c r="EH70" s="74"/>
      <c r="EI70" s="74"/>
      <c r="EJ70" s="74"/>
      <c r="EK70" s="74"/>
      <c r="EL70" s="74"/>
      <c r="EM70" s="74"/>
      <c r="EN70" s="74"/>
      <c r="EO70" s="74"/>
      <c r="EP70" s="74"/>
      <c r="EQ70" s="74"/>
      <c r="ER70" s="74"/>
      <c r="ES70" s="74"/>
      <c r="ET70" s="74"/>
      <c r="EU70" s="74"/>
      <c r="EV70" s="74"/>
      <c r="EW70" s="74"/>
      <c r="EX70" s="74"/>
      <c r="EY70" s="74"/>
      <c r="EZ70" s="74"/>
      <c r="FA70" s="74"/>
      <c r="FB70" s="74"/>
      <c r="FC70" s="74"/>
      <c r="FD70" s="74"/>
      <c r="FE70" s="74"/>
      <c r="FF70" s="74"/>
      <c r="FG70" s="74"/>
      <c r="FH70" s="74"/>
      <c r="FI70" s="74"/>
      <c r="FJ70" s="74"/>
      <c r="FK70" s="74"/>
      <c r="FL70" s="74"/>
      <c r="FM70" s="74"/>
      <c r="FN70" s="74"/>
      <c r="FO70" s="74"/>
      <c r="FP70" s="74"/>
      <c r="FQ70" s="74"/>
      <c r="FR70" s="74"/>
      <c r="FS70" s="74"/>
      <c r="FT70" s="74"/>
      <c r="FU70" s="74"/>
      <c r="FV70" s="74"/>
      <c r="FW70" s="74"/>
      <c r="FX70" s="74"/>
      <c r="FY70" s="74"/>
      <c r="FZ70" s="74"/>
      <c r="GA70" s="74"/>
      <c r="GB70" s="74"/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74"/>
      <c r="GR70" s="74"/>
      <c r="GS70" s="74"/>
      <c r="GT70" s="74"/>
      <c r="GU70" s="74"/>
      <c r="GV70" s="74"/>
      <c r="GW70" s="74"/>
      <c r="GX70" s="74"/>
      <c r="GY70" s="74"/>
      <c r="GZ70" s="74"/>
      <c r="HA70" s="74"/>
      <c r="HB70" s="74"/>
      <c r="HC70" s="74"/>
      <c r="HD70" s="74"/>
      <c r="HE70" s="74"/>
      <c r="HF70" s="74"/>
      <c r="HG70" s="74"/>
      <c r="HH70" s="74"/>
      <c r="HI70" s="74"/>
      <c r="HJ70" s="74"/>
      <c r="HK70" s="74"/>
      <c r="HL70" s="74"/>
      <c r="HM70" s="74"/>
      <c r="HN70" s="74"/>
      <c r="HO70" s="74"/>
      <c r="HP70" s="74"/>
      <c r="HQ70" s="74"/>
      <c r="HR70" s="74"/>
      <c r="HS70" s="74"/>
      <c r="HT70" s="74"/>
      <c r="HU70" s="74"/>
      <c r="HV70" s="74"/>
      <c r="HW70" s="74"/>
      <c r="HX70" s="74"/>
      <c r="HY70" s="74"/>
      <c r="HZ70" s="74"/>
      <c r="IA70" s="74"/>
      <c r="IB70" s="74"/>
      <c r="IC70" s="74"/>
      <c r="ID70" s="74"/>
      <c r="IE70" s="74"/>
      <c r="IF70" s="74"/>
      <c r="IG70" s="74"/>
      <c r="IH70" s="74"/>
      <c r="II70" s="74"/>
      <c r="IJ70" s="74"/>
      <c r="IK70" s="74"/>
      <c r="IL70" s="74"/>
      <c r="IM70" s="74"/>
      <c r="IN70" s="74"/>
      <c r="IO70" s="74"/>
      <c r="IP70" s="74"/>
      <c r="IQ70" s="74"/>
      <c r="IR70" s="74"/>
      <c r="IS70" s="74"/>
      <c r="IT70" s="74"/>
      <c r="IU70" s="74"/>
      <c r="IV70" s="74"/>
    </row>
    <row r="71" spans="1:256" x14ac:dyDescent="0.2">
      <c r="A71" s="74"/>
      <c r="B71" s="74"/>
      <c r="C71" s="74"/>
      <c r="D71" s="99" t="s">
        <v>216</v>
      </c>
      <c r="E71" s="100"/>
      <c r="F71" s="100"/>
      <c r="G71" s="100"/>
      <c r="H71" s="100"/>
      <c r="I71" s="100"/>
      <c r="J71" s="101">
        <f>J65+J70</f>
        <v>71275.070000000007</v>
      </c>
      <c r="K71" s="101"/>
      <c r="L71" s="101">
        <f>L65+L70</f>
        <v>410088.44</v>
      </c>
      <c r="M71" s="77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  <c r="ED71" s="74"/>
      <c r="EE71" s="74"/>
      <c r="EF71" s="74"/>
      <c r="EG71" s="74"/>
      <c r="EH71" s="74"/>
      <c r="EI71" s="74"/>
      <c r="EJ71" s="74"/>
      <c r="EK71" s="74"/>
      <c r="EL71" s="74"/>
      <c r="EM71" s="74"/>
      <c r="EN71" s="74"/>
      <c r="EO71" s="74"/>
      <c r="EP71" s="74"/>
      <c r="EQ71" s="74"/>
      <c r="ER71" s="74"/>
      <c r="ES71" s="74"/>
      <c r="ET71" s="74"/>
      <c r="EU71" s="74"/>
      <c r="EV71" s="74"/>
      <c r="EW71" s="74"/>
      <c r="EX71" s="74"/>
      <c r="EY71" s="74"/>
      <c r="EZ71" s="74"/>
      <c r="FA71" s="74"/>
      <c r="FB71" s="74"/>
      <c r="FC71" s="74"/>
      <c r="FD71" s="74"/>
      <c r="FE71" s="74"/>
      <c r="FF71" s="74"/>
      <c r="FG71" s="74"/>
      <c r="FH71" s="74"/>
      <c r="FI71" s="74"/>
      <c r="FJ71" s="74"/>
      <c r="FK71" s="74"/>
      <c r="FL71" s="74"/>
      <c r="FM71" s="74"/>
      <c r="FN71" s="74"/>
      <c r="FO71" s="74"/>
      <c r="FP71" s="74"/>
      <c r="FQ71" s="74"/>
      <c r="FR71" s="74"/>
      <c r="FS71" s="74"/>
      <c r="FT71" s="74"/>
      <c r="FU71" s="74"/>
      <c r="FV71" s="74"/>
      <c r="FW71" s="74"/>
      <c r="FX71" s="74"/>
      <c r="FY71" s="74"/>
      <c r="FZ71" s="74"/>
      <c r="GA71" s="74"/>
      <c r="GB71" s="74"/>
      <c r="GC71" s="74"/>
      <c r="GD71" s="74"/>
      <c r="GE71" s="74"/>
      <c r="GF71" s="74"/>
      <c r="GG71" s="74"/>
      <c r="GH71" s="74"/>
      <c r="GI71" s="74"/>
      <c r="GJ71" s="74"/>
      <c r="GK71" s="74"/>
      <c r="GL71" s="74"/>
      <c r="GM71" s="74"/>
      <c r="GN71" s="74"/>
      <c r="GO71" s="74"/>
      <c r="GP71" s="74"/>
      <c r="GQ71" s="74"/>
      <c r="GR71" s="74"/>
      <c r="GS71" s="74"/>
      <c r="GT71" s="74"/>
      <c r="GU71" s="74"/>
      <c r="GV71" s="74"/>
      <c r="GW71" s="74"/>
      <c r="GX71" s="74"/>
      <c r="GY71" s="74"/>
      <c r="GZ71" s="74"/>
      <c r="HA71" s="74"/>
      <c r="HB71" s="74"/>
      <c r="HC71" s="74"/>
      <c r="HD71" s="74"/>
      <c r="HE71" s="74"/>
      <c r="HF71" s="74"/>
      <c r="HG71" s="74"/>
      <c r="HH71" s="74"/>
      <c r="HI71" s="74"/>
      <c r="HJ71" s="74"/>
      <c r="HK71" s="74"/>
      <c r="HL71" s="74"/>
      <c r="HM71" s="74"/>
      <c r="HN71" s="74"/>
      <c r="HO71" s="74"/>
      <c r="HP71" s="74"/>
      <c r="HQ71" s="74"/>
      <c r="HR71" s="74"/>
      <c r="HS71" s="74"/>
      <c r="HT71" s="74"/>
      <c r="HU71" s="74"/>
      <c r="HV71" s="74"/>
      <c r="HW71" s="74"/>
      <c r="HX71" s="74"/>
      <c r="HY71" s="74"/>
      <c r="HZ71" s="74"/>
      <c r="IA71" s="74"/>
      <c r="IB71" s="74"/>
      <c r="IC71" s="74"/>
      <c r="ID71" s="74"/>
      <c r="IE71" s="74"/>
      <c r="IF71" s="74"/>
      <c r="IG71" s="74"/>
      <c r="IH71" s="74"/>
      <c r="II71" s="74"/>
      <c r="IJ71" s="74"/>
      <c r="IK71" s="74"/>
      <c r="IL71" s="74"/>
      <c r="IM71" s="74"/>
      <c r="IN71" s="74"/>
      <c r="IO71" s="74"/>
      <c r="IP71" s="74"/>
      <c r="IQ71" s="74"/>
      <c r="IR71" s="74"/>
      <c r="IS71" s="74"/>
      <c r="IT71" s="74"/>
      <c r="IU71" s="74"/>
      <c r="IV71" s="74"/>
    </row>
    <row r="72" spans="1:256" x14ac:dyDescent="0.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2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  <c r="CW72" s="81"/>
      <c r="CX72" s="81"/>
      <c r="CY72" s="81"/>
      <c r="CZ72" s="81"/>
      <c r="DA72" s="81"/>
      <c r="DB72" s="81"/>
      <c r="DC72" s="81"/>
      <c r="DD72" s="81"/>
      <c r="DE72" s="81"/>
      <c r="DF72" s="81"/>
      <c r="DG72" s="81"/>
      <c r="DH72" s="81"/>
      <c r="DI72" s="81"/>
      <c r="DJ72" s="81"/>
      <c r="DK72" s="81"/>
      <c r="DL72" s="81"/>
      <c r="DM72" s="81"/>
      <c r="DN72" s="81"/>
      <c r="DO72" s="81"/>
      <c r="DP72" s="81"/>
      <c r="DQ72" s="81"/>
      <c r="DR72" s="81"/>
      <c r="DS72" s="81"/>
      <c r="DT72" s="81"/>
      <c r="DU72" s="81"/>
      <c r="DV72" s="81"/>
      <c r="DW72" s="81"/>
      <c r="DX72" s="81"/>
      <c r="DY72" s="81"/>
      <c r="DZ72" s="81"/>
      <c r="EA72" s="81"/>
      <c r="EB72" s="81"/>
      <c r="EC72" s="81"/>
      <c r="ED72" s="81"/>
      <c r="EE72" s="81"/>
      <c r="EF72" s="81"/>
      <c r="EG72" s="81"/>
      <c r="EH72" s="81"/>
      <c r="EI72" s="81"/>
      <c r="EJ72" s="81"/>
      <c r="EK72" s="81"/>
      <c r="EL72" s="81"/>
      <c r="EM72" s="81"/>
      <c r="EN72" s="81"/>
      <c r="EO72" s="81"/>
      <c r="EP72" s="81"/>
      <c r="EQ72" s="81"/>
      <c r="ER72" s="81"/>
      <c r="ES72" s="81"/>
      <c r="ET72" s="81"/>
      <c r="EU72" s="81"/>
      <c r="EV72" s="81"/>
      <c r="EW72" s="81"/>
      <c r="EX72" s="81"/>
      <c r="EY72" s="81"/>
      <c r="EZ72" s="81"/>
      <c r="FA72" s="81"/>
      <c r="FB72" s="81"/>
      <c r="FC72" s="81"/>
      <c r="FD72" s="81"/>
      <c r="FE72" s="81"/>
      <c r="FF72" s="81"/>
      <c r="FG72" s="81"/>
      <c r="FH72" s="81"/>
      <c r="FI72" s="81"/>
      <c r="FJ72" s="81"/>
      <c r="FK72" s="81"/>
      <c r="FL72" s="81"/>
      <c r="FM72" s="81"/>
      <c r="FN72" s="81"/>
      <c r="FO72" s="81"/>
      <c r="FP72" s="81"/>
      <c r="FQ72" s="81"/>
      <c r="FR72" s="81"/>
      <c r="FS72" s="81"/>
      <c r="FT72" s="81"/>
      <c r="FU72" s="81"/>
      <c r="FV72" s="81"/>
      <c r="FW72" s="81"/>
      <c r="FX72" s="81"/>
      <c r="FY72" s="81"/>
      <c r="FZ72" s="81"/>
      <c r="GA72" s="81"/>
      <c r="GB72" s="81"/>
      <c r="GC72" s="81"/>
      <c r="GD72" s="81"/>
      <c r="GE72" s="81"/>
      <c r="GF72" s="81"/>
      <c r="GG72" s="81"/>
      <c r="GH72" s="81"/>
      <c r="GI72" s="81"/>
      <c r="GJ72" s="81"/>
      <c r="GK72" s="81"/>
      <c r="GL72" s="81"/>
      <c r="GM72" s="81"/>
      <c r="GN72" s="81"/>
      <c r="GO72" s="81"/>
      <c r="GP72" s="81"/>
      <c r="GQ72" s="81"/>
      <c r="GR72" s="81"/>
      <c r="GS72" s="81"/>
      <c r="GT72" s="81"/>
      <c r="GU72" s="81"/>
      <c r="GV72" s="81"/>
      <c r="GW72" s="81"/>
      <c r="GX72" s="81"/>
      <c r="GY72" s="81"/>
      <c r="GZ72" s="81"/>
      <c r="HA72" s="81"/>
      <c r="HB72" s="81"/>
      <c r="HC72" s="81"/>
      <c r="HD72" s="81"/>
      <c r="HE72" s="81"/>
      <c r="HF72" s="81"/>
      <c r="HG72" s="81"/>
      <c r="HH72" s="81"/>
      <c r="HI72" s="81"/>
      <c r="HJ72" s="81"/>
      <c r="HK72" s="81"/>
      <c r="HL72" s="81"/>
      <c r="HM72" s="81"/>
      <c r="HN72" s="81"/>
      <c r="HO72" s="81"/>
      <c r="HP72" s="81"/>
      <c r="HQ72" s="81"/>
      <c r="HR72" s="81"/>
      <c r="HS72" s="81"/>
      <c r="HT72" s="81"/>
      <c r="HU72" s="81"/>
      <c r="HV72" s="81"/>
      <c r="HW72" s="81"/>
      <c r="HX72" s="81"/>
      <c r="HY72" s="81"/>
      <c r="HZ72" s="81"/>
      <c r="IA72" s="81"/>
      <c r="IB72" s="81"/>
      <c r="IC72" s="81"/>
      <c r="ID72" s="81"/>
      <c r="IE72" s="81"/>
      <c r="IF72" s="81"/>
      <c r="IG72" s="81"/>
      <c r="IH72" s="81"/>
      <c r="II72" s="81"/>
      <c r="IJ72" s="81"/>
      <c r="IK72" s="81"/>
      <c r="IL72" s="81"/>
      <c r="IM72" s="81"/>
      <c r="IN72" s="81"/>
      <c r="IO72" s="81"/>
      <c r="IP72" s="81"/>
      <c r="IQ72" s="81"/>
      <c r="IR72" s="81"/>
      <c r="IS72" s="81"/>
      <c r="IT72" s="81"/>
      <c r="IU72" s="81"/>
      <c r="IV72" s="81"/>
    </row>
    <row r="73" spans="1:256" x14ac:dyDescent="0.2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2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  <c r="CW73" s="81"/>
      <c r="CX73" s="81"/>
      <c r="CY73" s="81"/>
      <c r="CZ73" s="81"/>
      <c r="DA73" s="81"/>
      <c r="DB73" s="81"/>
      <c r="DC73" s="81"/>
      <c r="DD73" s="81"/>
      <c r="DE73" s="81"/>
      <c r="DF73" s="81"/>
      <c r="DG73" s="81"/>
      <c r="DH73" s="81"/>
      <c r="DI73" s="81"/>
      <c r="DJ73" s="81"/>
      <c r="DK73" s="81"/>
      <c r="DL73" s="81"/>
      <c r="DM73" s="81"/>
      <c r="DN73" s="81"/>
      <c r="DO73" s="81"/>
      <c r="DP73" s="81"/>
      <c r="DQ73" s="81"/>
      <c r="DR73" s="81"/>
      <c r="DS73" s="81"/>
      <c r="DT73" s="81"/>
      <c r="DU73" s="81"/>
      <c r="DV73" s="81"/>
      <c r="DW73" s="81"/>
      <c r="DX73" s="81"/>
      <c r="DY73" s="81"/>
      <c r="DZ73" s="81"/>
      <c r="EA73" s="81"/>
      <c r="EB73" s="81"/>
      <c r="EC73" s="81"/>
      <c r="ED73" s="81"/>
      <c r="EE73" s="81"/>
      <c r="EF73" s="81"/>
      <c r="EG73" s="81"/>
      <c r="EH73" s="81"/>
      <c r="EI73" s="81"/>
      <c r="EJ73" s="81"/>
      <c r="EK73" s="81"/>
      <c r="EL73" s="81"/>
      <c r="EM73" s="81"/>
      <c r="EN73" s="81"/>
      <c r="EO73" s="81"/>
      <c r="EP73" s="81"/>
      <c r="EQ73" s="81"/>
      <c r="ER73" s="81"/>
      <c r="ES73" s="81"/>
      <c r="ET73" s="81"/>
      <c r="EU73" s="81"/>
      <c r="EV73" s="81"/>
      <c r="EW73" s="81"/>
      <c r="EX73" s="81"/>
      <c r="EY73" s="81"/>
      <c r="EZ73" s="81"/>
      <c r="FA73" s="81"/>
      <c r="FB73" s="81"/>
      <c r="FC73" s="81"/>
      <c r="FD73" s="81"/>
      <c r="FE73" s="81"/>
      <c r="FF73" s="81"/>
      <c r="FG73" s="81"/>
      <c r="FH73" s="81"/>
      <c r="FI73" s="81"/>
      <c r="FJ73" s="81"/>
      <c r="FK73" s="81"/>
      <c r="FL73" s="81"/>
      <c r="FM73" s="81"/>
      <c r="FN73" s="81"/>
      <c r="FO73" s="81"/>
      <c r="FP73" s="81"/>
      <c r="FQ73" s="81"/>
      <c r="FR73" s="81"/>
      <c r="FS73" s="81"/>
      <c r="FT73" s="81"/>
      <c r="FU73" s="81"/>
      <c r="FV73" s="81"/>
      <c r="FW73" s="81"/>
      <c r="FX73" s="81"/>
      <c r="FY73" s="81"/>
      <c r="FZ73" s="81"/>
      <c r="GA73" s="81"/>
      <c r="GB73" s="81"/>
      <c r="GC73" s="81"/>
      <c r="GD73" s="81"/>
      <c r="GE73" s="81"/>
      <c r="GF73" s="81"/>
      <c r="GG73" s="81"/>
      <c r="GH73" s="81"/>
      <c r="GI73" s="81"/>
      <c r="GJ73" s="81"/>
      <c r="GK73" s="81"/>
      <c r="GL73" s="81"/>
      <c r="GM73" s="81"/>
      <c r="GN73" s="81"/>
      <c r="GO73" s="81"/>
      <c r="GP73" s="81"/>
      <c r="GQ73" s="81"/>
      <c r="GR73" s="81"/>
      <c r="GS73" s="81"/>
      <c r="GT73" s="81"/>
      <c r="GU73" s="81"/>
      <c r="GV73" s="81"/>
      <c r="GW73" s="81"/>
      <c r="GX73" s="81"/>
      <c r="GY73" s="81"/>
      <c r="GZ73" s="81"/>
      <c r="HA73" s="81"/>
      <c r="HB73" s="81"/>
      <c r="HC73" s="81"/>
      <c r="HD73" s="81"/>
      <c r="HE73" s="81"/>
      <c r="HF73" s="81"/>
      <c r="HG73" s="81"/>
      <c r="HH73" s="81"/>
      <c r="HI73" s="81"/>
      <c r="HJ73" s="81"/>
      <c r="HK73" s="81"/>
      <c r="HL73" s="81"/>
      <c r="HM73" s="81"/>
      <c r="HN73" s="81"/>
      <c r="HO73" s="81"/>
      <c r="HP73" s="81"/>
      <c r="HQ73" s="81"/>
      <c r="HR73" s="81"/>
      <c r="HS73" s="81"/>
      <c r="HT73" s="81"/>
      <c r="HU73" s="81"/>
      <c r="HV73" s="81"/>
      <c r="HW73" s="81"/>
      <c r="HX73" s="81"/>
      <c r="HY73" s="81"/>
      <c r="HZ73" s="81"/>
      <c r="IA73" s="81"/>
      <c r="IB73" s="81"/>
      <c r="IC73" s="81"/>
      <c r="ID73" s="81"/>
      <c r="IE73" s="81"/>
      <c r="IF73" s="81"/>
      <c r="IG73" s="81"/>
      <c r="IH73" s="81"/>
      <c r="II73" s="81"/>
      <c r="IJ73" s="81"/>
      <c r="IK73" s="81"/>
      <c r="IL73" s="81"/>
      <c r="IM73" s="81"/>
      <c r="IN73" s="81"/>
      <c r="IO73" s="81"/>
      <c r="IP73" s="81"/>
      <c r="IQ73" s="81"/>
      <c r="IR73" s="81"/>
      <c r="IS73" s="81"/>
      <c r="IT73" s="81"/>
      <c r="IU73" s="81"/>
      <c r="IV73" s="81"/>
    </row>
    <row r="74" spans="1:256" x14ac:dyDescent="0.2">
      <c r="A74" s="75"/>
      <c r="B74" s="75"/>
      <c r="C74" s="75"/>
      <c r="D74" s="99" t="s">
        <v>217</v>
      </c>
      <c r="E74" s="97"/>
      <c r="F74" s="97"/>
      <c r="G74" s="97"/>
      <c r="H74" s="97"/>
      <c r="I74" s="97"/>
      <c r="J74" s="102">
        <f>J65</f>
        <v>71186.33</v>
      </c>
      <c r="K74" s="102"/>
      <c r="L74" s="102">
        <f>L65*0.925</f>
        <v>377366.74</v>
      </c>
      <c r="M74" s="103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  <c r="BX74" s="104"/>
      <c r="BY74" s="104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C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  <c r="EC74" s="104"/>
      <c r="ED74" s="104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4"/>
      <c r="ET74" s="104"/>
      <c r="EU74" s="104"/>
      <c r="EV74" s="104"/>
      <c r="EW74" s="104"/>
      <c r="EX74" s="104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4"/>
      <c r="FU74" s="104"/>
      <c r="FV74" s="104"/>
      <c r="FW74" s="104"/>
      <c r="FX74" s="104"/>
      <c r="FY74" s="104"/>
      <c r="FZ74" s="104"/>
      <c r="GA74" s="104"/>
      <c r="GB74" s="104"/>
      <c r="GC74" s="104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4"/>
      <c r="GR74" s="104"/>
      <c r="GS74" s="104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04"/>
      <c r="HF74" s="104"/>
      <c r="HG74" s="104"/>
      <c r="HH74" s="104"/>
      <c r="HI74" s="104"/>
      <c r="HJ74" s="104"/>
      <c r="HK74" s="104"/>
      <c r="HL74" s="104"/>
      <c r="HM74" s="104"/>
      <c r="HN74" s="104"/>
      <c r="HO74" s="104"/>
      <c r="HP74" s="104"/>
      <c r="HQ74" s="104"/>
      <c r="HR74" s="104"/>
      <c r="HS74" s="104"/>
      <c r="HT74" s="104"/>
      <c r="HU74" s="104"/>
      <c r="HV74" s="104"/>
      <c r="HW74" s="104"/>
      <c r="HX74" s="104"/>
      <c r="HY74" s="104"/>
      <c r="HZ74" s="104"/>
      <c r="IA74" s="104"/>
      <c r="IB74" s="104"/>
      <c r="IC74" s="104"/>
      <c r="ID74" s="104"/>
      <c r="IE74" s="104"/>
      <c r="IF74" s="104"/>
      <c r="IG74" s="104"/>
      <c r="IH74" s="104"/>
      <c r="II74" s="104"/>
      <c r="IJ74" s="104"/>
      <c r="IK74" s="104"/>
      <c r="IL74" s="104"/>
      <c r="IM74" s="104"/>
      <c r="IN74" s="104"/>
      <c r="IO74" s="104"/>
      <c r="IP74" s="104"/>
      <c r="IQ74" s="104"/>
      <c r="IR74" s="104"/>
      <c r="IS74" s="104"/>
      <c r="IT74" s="104"/>
      <c r="IU74" s="104"/>
      <c r="IV74" s="104"/>
    </row>
    <row r="75" spans="1:256" x14ac:dyDescent="0.2">
      <c r="A75" s="75"/>
      <c r="B75" s="75"/>
      <c r="C75" s="75"/>
      <c r="D75" s="97" t="s">
        <v>211</v>
      </c>
      <c r="E75" s="97"/>
      <c r="F75" s="97"/>
      <c r="G75" s="97"/>
      <c r="H75" s="97"/>
      <c r="I75" s="97"/>
      <c r="J75" s="98">
        <f>J74</f>
        <v>71186.33</v>
      </c>
      <c r="K75" s="98"/>
      <c r="L75" s="98">
        <f>L74</f>
        <v>377366.74</v>
      </c>
      <c r="M75" s="103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104"/>
      <c r="BW75" s="104"/>
      <c r="BX75" s="104"/>
      <c r="BY75" s="104"/>
      <c r="BZ75" s="104"/>
      <c r="CA75" s="104"/>
      <c r="CB75" s="104"/>
      <c r="CC75" s="104"/>
      <c r="CD75" s="104"/>
      <c r="CE75" s="104"/>
      <c r="CF75" s="104"/>
      <c r="CG75" s="104"/>
      <c r="CH75" s="104"/>
      <c r="CI75" s="104"/>
      <c r="CJ75" s="104"/>
      <c r="CK75" s="104"/>
      <c r="CL75" s="104"/>
      <c r="CM75" s="104"/>
      <c r="CN75" s="104"/>
      <c r="CO75" s="104"/>
      <c r="CP75" s="104"/>
      <c r="CQ75" s="104"/>
      <c r="CR75" s="104"/>
      <c r="CS75" s="104"/>
      <c r="CT75" s="104"/>
      <c r="CU75" s="104"/>
      <c r="CV75" s="104"/>
      <c r="CW75" s="104"/>
      <c r="CX75" s="104"/>
      <c r="CY75" s="104"/>
      <c r="CZ75" s="104"/>
      <c r="DA75" s="104"/>
      <c r="DB75" s="104"/>
      <c r="DC75" s="104"/>
      <c r="DD75" s="104"/>
      <c r="DE75" s="104"/>
      <c r="DF75" s="104"/>
      <c r="DG75" s="104"/>
      <c r="DH75" s="104"/>
      <c r="DI75" s="104"/>
      <c r="DJ75" s="104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4"/>
      <c r="DV75" s="104"/>
      <c r="DW75" s="104"/>
      <c r="DX75" s="104"/>
      <c r="DY75" s="104"/>
      <c r="DZ75" s="104"/>
      <c r="EA75" s="104"/>
      <c r="EB75" s="104"/>
      <c r="EC75" s="104"/>
      <c r="ED75" s="104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4"/>
      <c r="EP75" s="104"/>
      <c r="EQ75" s="104"/>
      <c r="ER75" s="104"/>
      <c r="ES75" s="104"/>
      <c r="ET75" s="104"/>
      <c r="EU75" s="104"/>
      <c r="EV75" s="104"/>
      <c r="EW75" s="104"/>
      <c r="EX75" s="104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4"/>
      <c r="FU75" s="104"/>
      <c r="FV75" s="104"/>
      <c r="FW75" s="104"/>
      <c r="FX75" s="104"/>
      <c r="FY75" s="104"/>
      <c r="FZ75" s="104"/>
      <c r="GA75" s="104"/>
      <c r="GB75" s="104"/>
      <c r="GC75" s="104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4"/>
      <c r="GR75" s="104"/>
      <c r="GS75" s="104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04"/>
      <c r="HF75" s="104"/>
      <c r="HG75" s="104"/>
      <c r="HH75" s="104"/>
      <c r="HI75" s="104"/>
      <c r="HJ75" s="104"/>
      <c r="HK75" s="104"/>
      <c r="HL75" s="104"/>
      <c r="HM75" s="104"/>
      <c r="HN75" s="104"/>
      <c r="HO75" s="104"/>
      <c r="HP75" s="104"/>
      <c r="HQ75" s="104"/>
      <c r="HR75" s="104"/>
      <c r="HS75" s="104"/>
      <c r="HT75" s="104"/>
      <c r="HU75" s="104"/>
      <c r="HV75" s="104"/>
      <c r="HW75" s="104"/>
      <c r="HX75" s="104"/>
      <c r="HY75" s="104"/>
      <c r="HZ75" s="104"/>
      <c r="IA75" s="104"/>
      <c r="IB75" s="104"/>
      <c r="IC75" s="104"/>
      <c r="ID75" s="104"/>
      <c r="IE75" s="104"/>
      <c r="IF75" s="104"/>
      <c r="IG75" s="104"/>
      <c r="IH75" s="104"/>
      <c r="II75" s="104"/>
      <c r="IJ75" s="104"/>
      <c r="IK75" s="104"/>
      <c r="IL75" s="104"/>
      <c r="IM75" s="104"/>
      <c r="IN75" s="104"/>
      <c r="IO75" s="104"/>
      <c r="IP75" s="104"/>
      <c r="IQ75" s="104"/>
      <c r="IR75" s="104"/>
      <c r="IS75" s="104"/>
      <c r="IT75" s="104"/>
      <c r="IU75" s="104"/>
      <c r="IV75" s="104"/>
    </row>
    <row r="76" spans="1:256" x14ac:dyDescent="0.2">
      <c r="A76" s="75"/>
      <c r="B76" s="75"/>
      <c r="C76" s="75"/>
      <c r="D76" s="97" t="s">
        <v>212</v>
      </c>
      <c r="E76" s="97"/>
      <c r="F76" s="97"/>
      <c r="G76" s="97"/>
      <c r="H76" s="97"/>
      <c r="I76" s="97"/>
      <c r="J76" s="98">
        <f>J67</f>
        <v>591.59</v>
      </c>
      <c r="K76" s="98"/>
      <c r="L76" s="98">
        <f>L67*0.925</f>
        <v>13100.47</v>
      </c>
      <c r="M76" s="103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  <c r="CW76" s="104"/>
      <c r="CX76" s="104"/>
      <c r="CY76" s="104"/>
      <c r="CZ76" s="104"/>
      <c r="DA76" s="104"/>
      <c r="DB76" s="104"/>
      <c r="DC76" s="104"/>
      <c r="DD76" s="104"/>
      <c r="DE76" s="104"/>
      <c r="DF76" s="104"/>
      <c r="DG76" s="104"/>
      <c r="DH76" s="104"/>
      <c r="DI76" s="104"/>
      <c r="DJ76" s="104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4"/>
      <c r="DV76" s="104"/>
      <c r="DW76" s="104"/>
      <c r="DX76" s="104"/>
      <c r="DY76" s="104"/>
      <c r="DZ76" s="104"/>
      <c r="EA76" s="104"/>
      <c r="EB76" s="104"/>
      <c r="EC76" s="104"/>
      <c r="ED76" s="104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4"/>
      <c r="EP76" s="104"/>
      <c r="EQ76" s="104"/>
      <c r="ER76" s="104"/>
      <c r="ES76" s="104"/>
      <c r="ET76" s="104"/>
      <c r="EU76" s="104"/>
      <c r="EV76" s="104"/>
      <c r="EW76" s="104"/>
      <c r="EX76" s="104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4"/>
      <c r="FU76" s="104"/>
      <c r="FV76" s="104"/>
      <c r="FW76" s="104"/>
      <c r="FX76" s="104"/>
      <c r="FY76" s="104"/>
      <c r="FZ76" s="104"/>
      <c r="GA76" s="104"/>
      <c r="GB76" s="104"/>
      <c r="GC76" s="104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4"/>
      <c r="GR76" s="104"/>
      <c r="GS76" s="104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04"/>
      <c r="HF76" s="104"/>
      <c r="HG76" s="104"/>
      <c r="HH76" s="104"/>
      <c r="HI76" s="104"/>
      <c r="HJ76" s="104"/>
      <c r="HK76" s="104"/>
      <c r="HL76" s="104"/>
      <c r="HM76" s="104"/>
      <c r="HN76" s="104"/>
      <c r="HO76" s="104"/>
      <c r="HP76" s="104"/>
      <c r="HQ76" s="104"/>
      <c r="HR76" s="104"/>
      <c r="HS76" s="104"/>
      <c r="HT76" s="104"/>
      <c r="HU76" s="104"/>
      <c r="HV76" s="104"/>
      <c r="HW76" s="104"/>
      <c r="HX76" s="104"/>
      <c r="HY76" s="104"/>
      <c r="HZ76" s="104"/>
      <c r="IA76" s="104"/>
      <c r="IB76" s="104"/>
      <c r="IC76" s="104"/>
      <c r="ID76" s="104"/>
      <c r="IE76" s="104"/>
      <c r="IF76" s="104"/>
      <c r="IG76" s="104"/>
      <c r="IH76" s="104"/>
      <c r="II76" s="104"/>
      <c r="IJ76" s="104"/>
      <c r="IK76" s="104"/>
      <c r="IL76" s="104"/>
      <c r="IM76" s="104"/>
      <c r="IN76" s="104"/>
      <c r="IO76" s="104"/>
      <c r="IP76" s="104"/>
      <c r="IQ76" s="104"/>
      <c r="IR76" s="104"/>
      <c r="IS76" s="104"/>
      <c r="IT76" s="104"/>
      <c r="IU76" s="104"/>
      <c r="IV76" s="104"/>
    </row>
    <row r="77" spans="1:256" x14ac:dyDescent="0.2">
      <c r="A77" s="75"/>
      <c r="B77" s="75"/>
      <c r="C77" s="75"/>
      <c r="D77" s="97" t="s">
        <v>213</v>
      </c>
      <c r="E77" s="97"/>
      <c r="F77" s="97"/>
      <c r="G77" s="97"/>
      <c r="H77" s="97"/>
      <c r="I77" s="97"/>
      <c r="J77" s="98">
        <f>J68</f>
        <v>69232.69</v>
      </c>
      <c r="K77" s="98"/>
      <c r="L77" s="98">
        <f>L68*0.925</f>
        <v>344811.85</v>
      </c>
      <c r="M77" s="103"/>
    </row>
    <row r="78" spans="1:256" x14ac:dyDescent="0.2">
      <c r="A78" s="75"/>
      <c r="B78" s="75"/>
      <c r="C78" s="75"/>
      <c r="D78" s="105" t="s">
        <v>214</v>
      </c>
      <c r="E78" s="97"/>
      <c r="F78" s="97"/>
      <c r="G78" s="97"/>
      <c r="H78" s="97"/>
      <c r="I78" s="97"/>
      <c r="J78" s="106">
        <v>0</v>
      </c>
      <c r="K78" s="98"/>
      <c r="L78" s="106">
        <v>0</v>
      </c>
      <c r="M78" s="103"/>
    </row>
    <row r="79" spans="1:256" x14ac:dyDescent="0.2">
      <c r="A79" s="75"/>
      <c r="B79" s="75"/>
      <c r="C79" s="75"/>
      <c r="D79" s="97" t="s">
        <v>215</v>
      </c>
      <c r="E79" s="97"/>
      <c r="F79" s="97"/>
      <c r="G79" s="97"/>
      <c r="H79" s="97"/>
      <c r="I79" s="97"/>
      <c r="J79" s="98">
        <f>J76*0.15</f>
        <v>88.74</v>
      </c>
      <c r="K79" s="98"/>
      <c r="L79" s="98">
        <f>L76*0.15</f>
        <v>1965.07</v>
      </c>
      <c r="M79" s="103"/>
    </row>
    <row r="80" spans="1:256" x14ac:dyDescent="0.2">
      <c r="A80" s="75"/>
      <c r="B80" s="75"/>
      <c r="C80" s="75"/>
      <c r="D80" s="99" t="s">
        <v>218</v>
      </c>
      <c r="E80" s="100"/>
      <c r="F80" s="100"/>
      <c r="G80" s="100"/>
      <c r="H80" s="100"/>
      <c r="I80" s="100"/>
      <c r="J80" s="102">
        <f>J79+J74</f>
        <v>71275.070000000007</v>
      </c>
      <c r="K80" s="100"/>
      <c r="L80" s="102">
        <f>L79+L74</f>
        <v>379331.81</v>
      </c>
      <c r="M80" s="103"/>
    </row>
    <row r="81" spans="1:14" x14ac:dyDescent="0.2">
      <c r="A81" s="75"/>
      <c r="B81" s="75"/>
      <c r="C81" s="75"/>
      <c r="D81" s="107"/>
      <c r="E81" s="107"/>
      <c r="F81" s="107"/>
      <c r="G81" s="107"/>
      <c r="H81" s="107"/>
      <c r="I81" s="107"/>
      <c r="J81" s="107"/>
      <c r="K81" s="107"/>
      <c r="L81" s="107"/>
      <c r="M81" s="103"/>
    </row>
    <row r="82" spans="1:14" x14ac:dyDescent="0.2">
      <c r="A82" s="75"/>
      <c r="B82" s="75"/>
      <c r="C82" s="75"/>
      <c r="D82" s="107"/>
      <c r="E82" s="107"/>
      <c r="F82" s="107"/>
      <c r="G82" s="107"/>
      <c r="H82" s="107"/>
      <c r="I82" s="107"/>
      <c r="J82" s="107"/>
      <c r="K82" s="107"/>
      <c r="L82" s="107"/>
      <c r="M82" s="103"/>
    </row>
    <row r="83" spans="1:14" x14ac:dyDescent="0.2">
      <c r="A83" s="75"/>
      <c r="B83" s="75"/>
      <c r="C83" s="75"/>
      <c r="D83" s="108" t="s">
        <v>219</v>
      </c>
      <c r="E83" s="109"/>
      <c r="F83" s="109"/>
      <c r="G83" s="109"/>
      <c r="H83" s="109"/>
      <c r="I83" s="110"/>
      <c r="J83" s="111">
        <f>J80</f>
        <v>71275.070000000007</v>
      </c>
      <c r="K83" s="112"/>
      <c r="L83" s="111">
        <f>L80</f>
        <v>379331.81</v>
      </c>
      <c r="M83" s="103"/>
    </row>
    <row r="84" spans="1:14" x14ac:dyDescent="0.2">
      <c r="A84" s="75"/>
      <c r="B84" s="75"/>
      <c r="C84" s="75"/>
      <c r="D84" s="113" t="s">
        <v>220</v>
      </c>
      <c r="E84" s="114"/>
      <c r="F84" s="114"/>
      <c r="G84" s="114"/>
      <c r="H84" s="114"/>
      <c r="I84" s="115"/>
      <c r="J84" s="116">
        <f>J75</f>
        <v>71186.33</v>
      </c>
      <c r="K84" s="117"/>
      <c r="L84" s="116">
        <f>L75</f>
        <v>377366.74</v>
      </c>
      <c r="M84" s="103"/>
    </row>
    <row r="85" spans="1:14" x14ac:dyDescent="0.2">
      <c r="A85" s="75"/>
      <c r="B85" s="75"/>
      <c r="C85" s="75"/>
      <c r="D85" s="113" t="s">
        <v>221</v>
      </c>
      <c r="E85" s="114"/>
      <c r="F85" s="114"/>
      <c r="G85" s="114"/>
      <c r="H85" s="114"/>
      <c r="I85" s="115"/>
      <c r="J85" s="116">
        <f>J79</f>
        <v>88.74</v>
      </c>
      <c r="K85" s="118"/>
      <c r="L85" s="116">
        <f>L79</f>
        <v>1965.07</v>
      </c>
      <c r="M85" s="103"/>
    </row>
    <row r="86" spans="1:14" x14ac:dyDescent="0.2">
      <c r="A86" s="75"/>
      <c r="B86" s="75"/>
      <c r="C86" s="75"/>
      <c r="D86" s="113" t="s">
        <v>222</v>
      </c>
      <c r="E86" s="114"/>
      <c r="F86" s="114"/>
      <c r="G86" s="114"/>
      <c r="H86" s="114"/>
      <c r="I86" s="115"/>
      <c r="J86" s="116">
        <v>0</v>
      </c>
      <c r="K86" s="116"/>
      <c r="L86" s="116">
        <v>0</v>
      </c>
      <c r="M86" s="103"/>
    </row>
    <row r="87" spans="1:14" x14ac:dyDescent="0.2">
      <c r="A87" s="75"/>
      <c r="B87" s="75"/>
      <c r="C87" s="75"/>
      <c r="D87" s="113" t="s">
        <v>223</v>
      </c>
      <c r="E87" s="114"/>
      <c r="F87" s="114"/>
      <c r="G87" s="114"/>
      <c r="H87" s="114"/>
      <c r="I87" s="115"/>
      <c r="J87" s="119">
        <v>0</v>
      </c>
      <c r="K87" s="119"/>
      <c r="L87" s="119">
        <v>0</v>
      </c>
      <c r="M87" s="103"/>
    </row>
    <row r="91" spans="1:14" x14ac:dyDescent="0.2">
      <c r="A91" s="544" t="s">
        <v>224</v>
      </c>
      <c r="B91" s="544"/>
      <c r="C91" s="544"/>
      <c r="D91" s="544"/>
      <c r="E91" s="544"/>
      <c r="F91" s="544"/>
      <c r="G91" s="544"/>
      <c r="H91" s="544"/>
      <c r="I91" s="544"/>
      <c r="J91" s="120"/>
      <c r="K91" s="545" t="s">
        <v>228</v>
      </c>
      <c r="L91" s="545"/>
      <c r="M91" s="103"/>
      <c r="N91" s="104"/>
    </row>
    <row r="92" spans="1:14" x14ac:dyDescent="0.2">
      <c r="A92" s="107"/>
      <c r="B92" s="107"/>
      <c r="C92" s="107"/>
      <c r="D92" s="546"/>
      <c r="E92" s="546"/>
      <c r="F92" s="107"/>
      <c r="G92" s="107"/>
      <c r="H92" s="547"/>
      <c r="I92" s="547"/>
      <c r="J92" s="547"/>
      <c r="K92" s="547"/>
      <c r="L92" s="547"/>
      <c r="M92" s="103"/>
      <c r="N92" s="104"/>
    </row>
    <row r="93" spans="1:14" x14ac:dyDescent="0.2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2"/>
      <c r="N93" s="123"/>
    </row>
    <row r="94" spans="1:14" x14ac:dyDescent="0.2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2"/>
      <c r="N94" s="123"/>
    </row>
    <row r="95" spans="1:14" x14ac:dyDescent="0.2">
      <c r="A95" s="124" t="s">
        <v>225</v>
      </c>
      <c r="B95" s="124"/>
      <c r="C95" s="124"/>
      <c r="D95" s="124"/>
      <c r="E95" s="124"/>
      <c r="F95" s="124"/>
      <c r="G95" s="124"/>
      <c r="H95" s="124"/>
      <c r="I95" s="124"/>
      <c r="J95" s="545" t="s">
        <v>226</v>
      </c>
      <c r="K95" s="545"/>
      <c r="L95" s="545"/>
      <c r="M95" s="103"/>
      <c r="N95" s="104"/>
    </row>
  </sheetData>
  <mergeCells count="59">
    <mergeCell ref="J95:L95"/>
    <mergeCell ref="D61:H61"/>
    <mergeCell ref="D62:H62"/>
    <mergeCell ref="A91:I91"/>
    <mergeCell ref="K91:L91"/>
    <mergeCell ref="D92:E92"/>
    <mergeCell ref="H92:L92"/>
    <mergeCell ref="A12:L12"/>
    <mergeCell ref="A13:L13"/>
    <mergeCell ref="A14:L14"/>
    <mergeCell ref="A15:L15"/>
    <mergeCell ref="A16:L16"/>
    <mergeCell ref="A17:L17"/>
    <mergeCell ref="D59:H59"/>
    <mergeCell ref="I59:J59"/>
    <mergeCell ref="K59:L59"/>
    <mergeCell ref="A30:L30"/>
    <mergeCell ref="I41:J41"/>
    <mergeCell ref="K41:L41"/>
    <mergeCell ref="I46:J46"/>
    <mergeCell ref="K46:L46"/>
    <mergeCell ref="I48:J48"/>
    <mergeCell ref="K48:L48"/>
    <mergeCell ref="A19:L19"/>
    <mergeCell ref="I22:J22"/>
    <mergeCell ref="K22:L22"/>
    <mergeCell ref="I24:J24"/>
    <mergeCell ref="K24:L24"/>
    <mergeCell ref="A26:H26"/>
    <mergeCell ref="I26:J26"/>
    <mergeCell ref="K26:L26"/>
    <mergeCell ref="D57:H57"/>
    <mergeCell ref="I57:J57"/>
    <mergeCell ref="K57:L57"/>
    <mergeCell ref="D58:H58"/>
    <mergeCell ref="I58:J58"/>
    <mergeCell ref="K58:L58"/>
    <mergeCell ref="A50:H50"/>
    <mergeCell ref="I50:J50"/>
    <mergeCell ref="K50:L50"/>
    <mergeCell ref="A54:H54"/>
    <mergeCell ref="I54:J54"/>
    <mergeCell ref="K54:L54"/>
    <mergeCell ref="A1:L1"/>
    <mergeCell ref="A2:L2"/>
    <mergeCell ref="J5:J9"/>
    <mergeCell ref="K5:K9"/>
    <mergeCell ref="L5:L9"/>
    <mergeCell ref="A6:A9"/>
    <mergeCell ref="B6:B9"/>
    <mergeCell ref="A4:L4"/>
    <mergeCell ref="A5:B5"/>
    <mergeCell ref="C5:C9"/>
    <mergeCell ref="D5:D9"/>
    <mergeCell ref="E5:E9"/>
    <mergeCell ref="F5:F9"/>
    <mergeCell ref="G5:G9"/>
    <mergeCell ref="H5:H9"/>
    <mergeCell ref="I5:I9"/>
  </mergeCells>
  <pageMargins left="0.39370078740157483" right="0.19685039370078741" top="0.19685039370078741" bottom="0.39370078740157483" header="0.19685039370078741" footer="0.19685039370078741"/>
  <pageSetup paperSize="9" scale="61" firstPageNumber="11" fitToHeight="0" orientation="portrait" useFirstPageNumber="1" r:id="rId1"/>
  <headerFooter>
    <oddHeader>&amp;L&amp;8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93"/>
  <sheetViews>
    <sheetView view="pageBreakPreview" topLeftCell="A137" zoomScale="70" zoomScaleNormal="100" zoomScaleSheetLayoutView="70" workbookViewId="0">
      <selection activeCell="L180" sqref="L180"/>
    </sheetView>
  </sheetViews>
  <sheetFormatPr defaultRowHeight="12.75" x14ac:dyDescent="0.2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9" max="9" width="10.7109375" customWidth="1"/>
    <col min="10" max="10" width="14" customWidth="1"/>
    <col min="11" max="11" width="12.7109375" customWidth="1"/>
    <col min="12" max="12" width="17" customWidth="1"/>
    <col min="13" max="13" width="14.28515625" bestFit="1" customWidth="1"/>
    <col min="15" max="30" width="0" hidden="1" customWidth="1"/>
    <col min="31" max="31" width="155.7109375" hidden="1" customWidth="1"/>
    <col min="32" max="32" width="109.7109375" hidden="1" customWidth="1"/>
    <col min="33" max="36" width="0" hidden="1" customWidth="1"/>
  </cols>
  <sheetData>
    <row r="1" spans="1:12" s="32" customFormat="1" ht="14.25" customHeight="1" x14ac:dyDescent="0.25">
      <c r="A1" s="533" t="s">
        <v>394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1:12" s="32" customFormat="1" ht="37.5" customHeight="1" x14ac:dyDescent="0.2">
      <c r="A2" s="534" t="s">
        <v>166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25" x14ac:dyDescent="0.2">
      <c r="A4" s="519" t="s">
        <v>107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ht="14.25" x14ac:dyDescent="0.2">
      <c r="A5" s="520" t="s">
        <v>7</v>
      </c>
      <c r="B5" s="520"/>
      <c r="C5" s="520" t="s">
        <v>8</v>
      </c>
      <c r="D5" s="520" t="s">
        <v>9</v>
      </c>
      <c r="E5" s="520" t="s">
        <v>10</v>
      </c>
      <c r="F5" s="520" t="s">
        <v>11</v>
      </c>
      <c r="G5" s="520" t="s">
        <v>12</v>
      </c>
      <c r="H5" s="521" t="s">
        <v>13</v>
      </c>
      <c r="I5" s="521" t="s">
        <v>14</v>
      </c>
      <c r="J5" s="520" t="s">
        <v>15</v>
      </c>
      <c r="K5" s="520" t="s">
        <v>16</v>
      </c>
      <c r="L5" s="520" t="s">
        <v>17</v>
      </c>
    </row>
    <row r="6" spans="1:12" x14ac:dyDescent="0.2">
      <c r="A6" s="521" t="s">
        <v>18</v>
      </c>
      <c r="B6" s="521" t="s">
        <v>19</v>
      </c>
      <c r="C6" s="520"/>
      <c r="D6" s="520"/>
      <c r="E6" s="520"/>
      <c r="F6" s="520"/>
      <c r="G6" s="520"/>
      <c r="H6" s="522"/>
      <c r="I6" s="522"/>
      <c r="J6" s="520"/>
      <c r="K6" s="520"/>
      <c r="L6" s="520"/>
    </row>
    <row r="7" spans="1:12" x14ac:dyDescent="0.2">
      <c r="A7" s="522"/>
      <c r="B7" s="522"/>
      <c r="C7" s="520"/>
      <c r="D7" s="520"/>
      <c r="E7" s="520"/>
      <c r="F7" s="520"/>
      <c r="G7" s="520"/>
      <c r="H7" s="522"/>
      <c r="I7" s="522"/>
      <c r="J7" s="520"/>
      <c r="K7" s="520"/>
      <c r="L7" s="520"/>
    </row>
    <row r="8" spans="1:12" ht="20.100000000000001" customHeight="1" x14ac:dyDescent="0.2">
      <c r="A8" s="522"/>
      <c r="B8" s="522"/>
      <c r="C8" s="520"/>
      <c r="D8" s="520"/>
      <c r="E8" s="520"/>
      <c r="F8" s="520"/>
      <c r="G8" s="520"/>
      <c r="H8" s="522"/>
      <c r="I8" s="522"/>
      <c r="J8" s="520"/>
      <c r="K8" s="520"/>
      <c r="L8" s="520"/>
    </row>
    <row r="9" spans="1:12" ht="20.100000000000001" customHeight="1" x14ac:dyDescent="0.2">
      <c r="A9" s="523"/>
      <c r="B9" s="523"/>
      <c r="C9" s="520"/>
      <c r="D9" s="520"/>
      <c r="E9" s="520"/>
      <c r="F9" s="520"/>
      <c r="G9" s="520"/>
      <c r="H9" s="523"/>
      <c r="I9" s="523"/>
      <c r="J9" s="520"/>
      <c r="K9" s="520"/>
      <c r="L9" s="520"/>
    </row>
    <row r="10" spans="1:12" ht="14.25" x14ac:dyDescent="0.2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  <c r="J10" s="28">
        <v>10</v>
      </c>
      <c r="K10" s="28">
        <v>11</v>
      </c>
      <c r="L10" s="28">
        <v>12</v>
      </c>
    </row>
    <row r="12" spans="1:12" s="32" customFormat="1" ht="15.75" x14ac:dyDescent="0.25">
      <c r="A12" s="515" t="s">
        <v>57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1:12" s="32" customFormat="1" ht="15.75" x14ac:dyDescent="0.25">
      <c r="A13" s="515" t="s">
        <v>167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1:12" s="32" customFormat="1" ht="15.75" x14ac:dyDescent="0.25">
      <c r="A14" s="515" t="s">
        <v>168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1:12" s="32" customFormat="1" ht="15.75" hidden="1" x14ac:dyDescent="0.25">
      <c r="A15" s="516" t="s">
        <v>60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</row>
    <row r="16" spans="1:12" s="32" customFormat="1" ht="15.75" hidden="1" x14ac:dyDescent="0.2">
      <c r="A16" s="549" t="s">
        <v>61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49"/>
      <c r="L16" s="549"/>
    </row>
    <row r="17" spans="1:31" s="32" customFormat="1" ht="15.75" hidden="1" x14ac:dyDescent="0.2">
      <c r="A17" s="549" t="s">
        <v>62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</row>
    <row r="18" spans="1:31" s="32" customFormat="1" ht="14.25" x14ac:dyDescent="0.2">
      <c r="A18" s="33" t="s">
        <v>63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31" ht="33" x14ac:dyDescent="0.25">
      <c r="A19" s="514" t="str">
        <f>CONCATENATE("Раздел: ",IF([84]Source!G24&lt;&gt;"Новый раздел", [84]Source!G24, ""))</f>
        <v>Раздел: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  <c r="B19" s="514"/>
      <c r="C19" s="514"/>
      <c r="D19" s="514"/>
      <c r="E19" s="514"/>
      <c r="F19" s="514"/>
      <c r="G19" s="514"/>
      <c r="H19" s="514"/>
      <c r="I19" s="514"/>
      <c r="J19" s="514"/>
      <c r="K19" s="514"/>
      <c r="L19" s="514"/>
      <c r="AE19" s="27" t="str">
        <f>CONCATENATE("Раздел: ",IF([84]Source!G24&lt;&gt;"Новый раздел", [84]Source!G24, ""))</f>
        <v>Раздел: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</row>
    <row r="20" spans="1:31" ht="99.75" x14ac:dyDescent="0.2">
      <c r="D20" s="61" t="str">
        <f>[84]Source!G39</f>
        <v>+п. 100 раздел Дополнительно к смете: 3.16-15-2 (установка ветилей,задвижек, затворов, клапанов обратных кранов проходных на трубопроводах из стальных труб диаметром до 50 мм - 2 шт)</v>
      </c>
    </row>
    <row r="21" spans="1:31" ht="71.25" x14ac:dyDescent="0.2">
      <c r="A21" s="4">
        <v>1</v>
      </c>
      <c r="B21" s="4" t="str">
        <f>[84]Source!E50</f>
        <v>10</v>
      </c>
      <c r="C21" s="5" t="str">
        <f>[84]Source!F50</f>
        <v>1.12-7-98</v>
      </c>
      <c r="D21" s="5" t="s">
        <v>169</v>
      </c>
      <c r="E21" s="6" t="str">
        <f>[84]Source!H50</f>
        <v>м</v>
      </c>
      <c r="F21" s="2">
        <f>[84]Source!I50</f>
        <v>3.6</v>
      </c>
      <c r="G21" s="7">
        <f>[84]Source!AL50</f>
        <v>451.61</v>
      </c>
      <c r="H21" s="8" t="str">
        <f>[84]Source!DD50</f>
        <v/>
      </c>
      <c r="I21" s="2">
        <f>[84]Source!AW51</f>
        <v>1</v>
      </c>
      <c r="J21" s="25">
        <f>[84]Source!P50</f>
        <v>1625.8</v>
      </c>
      <c r="K21" s="2">
        <f>IF([84]Source!BC51&lt;&gt; 0, [84]Source!BC51, 1)</f>
        <v>3.32</v>
      </c>
      <c r="L21" s="25">
        <f>[84]Source!P51</f>
        <v>5397.66</v>
      </c>
      <c r="Q21">
        <f>[84]Source!X50</f>
        <v>0</v>
      </c>
      <c r="R21">
        <f>[84]Source!X51</f>
        <v>0</v>
      </c>
      <c r="S21">
        <f>[84]Source!Y50</f>
        <v>0</v>
      </c>
      <c r="T21">
        <f>[84]Source!Y51</f>
        <v>0</v>
      </c>
      <c r="U21">
        <f>ROUND((175/100)*ROUND([84]Source!R50, 2), 2)</f>
        <v>0</v>
      </c>
      <c r="V21">
        <f>ROUND((157/100)*ROUND([84]Source!R51, 2), 2)</f>
        <v>0</v>
      </c>
    </row>
    <row r="22" spans="1:31" ht="15" x14ac:dyDescent="0.25">
      <c r="A22" s="35"/>
      <c r="B22" s="35"/>
      <c r="C22" s="35"/>
      <c r="D22" s="35"/>
      <c r="E22" s="35"/>
      <c r="F22" s="35"/>
      <c r="G22" s="35"/>
      <c r="H22" s="35"/>
      <c r="I22" s="524">
        <f>J21</f>
        <v>1625.8</v>
      </c>
      <c r="J22" s="524"/>
      <c r="K22" s="524">
        <f>L21</f>
        <v>5397.66</v>
      </c>
      <c r="L22" s="524"/>
      <c r="O22" s="11">
        <f>J21</f>
        <v>1625.8</v>
      </c>
      <c r="P22" s="11">
        <f>L21</f>
        <v>5397.66</v>
      </c>
    </row>
    <row r="23" spans="1:31" ht="71.25" x14ac:dyDescent="0.2">
      <c r="A23" s="4">
        <v>2</v>
      </c>
      <c r="B23" s="4" t="str">
        <f>[84]Source!E60</f>
        <v>15</v>
      </c>
      <c r="C23" s="5" t="str">
        <f>[84]Source!F60</f>
        <v>МКЭ-33-1982/7-1 от 09.11.2017г.</v>
      </c>
      <c r="D23" s="5" t="s">
        <v>175</v>
      </c>
      <c r="E23" s="6" t="str">
        <f>[84]Source!H60</f>
        <v>шт.</v>
      </c>
      <c r="F23" s="2">
        <f>[84]Source!I60</f>
        <v>36</v>
      </c>
      <c r="G23" s="7">
        <v>189.78</v>
      </c>
      <c r="H23" s="8" t="s">
        <v>160</v>
      </c>
      <c r="I23" s="2">
        <f>[84]Source!AW61</f>
        <v>1</v>
      </c>
      <c r="J23" s="25">
        <f>L23/K23</f>
        <v>6968.76</v>
      </c>
      <c r="K23" s="2">
        <v>5.48</v>
      </c>
      <c r="L23" s="25">
        <f>1040*F23*1.02</f>
        <v>38188.800000000003</v>
      </c>
      <c r="Q23">
        <f>[84]Source!X60</f>
        <v>0</v>
      </c>
      <c r="R23">
        <f>[84]Source!X61</f>
        <v>0</v>
      </c>
      <c r="S23">
        <f>[84]Source!Y60</f>
        <v>0</v>
      </c>
      <c r="T23">
        <f>[84]Source!Y61</f>
        <v>0</v>
      </c>
      <c r="U23">
        <f>ROUND((175/100)*ROUND([84]Source!R60, 2), 2)</f>
        <v>0</v>
      </c>
      <c r="V23">
        <f>ROUND((157/100)*ROUND([84]Source!R61, 2), 2)</f>
        <v>0</v>
      </c>
    </row>
    <row r="24" spans="1:31" ht="15" x14ac:dyDescent="0.25">
      <c r="A24" s="35"/>
      <c r="B24" s="35"/>
      <c r="C24" s="35"/>
      <c r="D24" s="35"/>
      <c r="E24" s="35"/>
      <c r="F24" s="35"/>
      <c r="G24" s="35"/>
      <c r="H24" s="35"/>
      <c r="I24" s="524">
        <f>J23</f>
        <v>6968.76</v>
      </c>
      <c r="J24" s="524"/>
      <c r="K24" s="524">
        <f>L23</f>
        <v>38188.800000000003</v>
      </c>
      <c r="L24" s="524"/>
      <c r="O24" s="11">
        <f>J23</f>
        <v>6968.76</v>
      </c>
      <c r="P24" s="11">
        <f>L23</f>
        <v>38188.800000000003</v>
      </c>
    </row>
    <row r="25" spans="1:31" ht="71.25" x14ac:dyDescent="0.2">
      <c r="A25" s="4">
        <v>3</v>
      </c>
      <c r="B25" s="4" t="str">
        <f>[84]Source!E66</f>
        <v>17</v>
      </c>
      <c r="C25" s="5" t="str">
        <f>[84]Source!F66</f>
        <v>1.12-7-67</v>
      </c>
      <c r="D25" s="5" t="s">
        <v>170</v>
      </c>
      <c r="E25" s="6" t="str">
        <f>[84]Source!H66</f>
        <v>м</v>
      </c>
      <c r="F25" s="2">
        <f>[84]Source!I66</f>
        <v>9.6</v>
      </c>
      <c r="G25" s="7">
        <f>[84]Source!AL66</f>
        <v>220.88</v>
      </c>
      <c r="H25" s="8" t="str">
        <f>[84]Source!DD66</f>
        <v/>
      </c>
      <c r="I25" s="2">
        <f>[84]Source!AW67</f>
        <v>1</v>
      </c>
      <c r="J25" s="25">
        <f>[84]Source!P66</f>
        <v>2120.4499999999998</v>
      </c>
      <c r="K25" s="2">
        <f>IF([84]Source!BC67&lt;&gt; 0, [84]Source!BC67, 1)</f>
        <v>3.59</v>
      </c>
      <c r="L25" s="25">
        <f>[84]Source!P67</f>
        <v>7612.42</v>
      </c>
      <c r="Q25">
        <f>[84]Source!X66</f>
        <v>0</v>
      </c>
      <c r="R25">
        <f>[84]Source!X67</f>
        <v>0</v>
      </c>
      <c r="S25">
        <f>[84]Source!Y66</f>
        <v>0</v>
      </c>
      <c r="T25">
        <f>[84]Source!Y67</f>
        <v>0</v>
      </c>
      <c r="U25">
        <f>ROUND((175/100)*ROUND([84]Source!R66, 2), 2)</f>
        <v>0</v>
      </c>
      <c r="V25">
        <f>ROUND((157/100)*ROUND([84]Source!R67, 2), 2)</f>
        <v>0</v>
      </c>
    </row>
    <row r="26" spans="1:31" ht="15" x14ac:dyDescent="0.25">
      <c r="A26" s="35"/>
      <c r="B26" s="35"/>
      <c r="C26" s="35"/>
      <c r="D26" s="35"/>
      <c r="E26" s="35"/>
      <c r="F26" s="35"/>
      <c r="G26" s="35"/>
      <c r="H26" s="35"/>
      <c r="I26" s="524">
        <f>J25</f>
        <v>2120.4499999999998</v>
      </c>
      <c r="J26" s="524"/>
      <c r="K26" s="524">
        <f>L25</f>
        <v>7612.42</v>
      </c>
      <c r="L26" s="524"/>
      <c r="O26" s="11">
        <f>J25</f>
        <v>2120.4499999999998</v>
      </c>
      <c r="P26" s="11">
        <f>L25</f>
        <v>7612.42</v>
      </c>
    </row>
    <row r="27" spans="1:31" ht="71.25" x14ac:dyDescent="0.2">
      <c r="A27" s="4">
        <v>4</v>
      </c>
      <c r="B27" s="4" t="str">
        <f>[84]Source!E82</f>
        <v>24</v>
      </c>
      <c r="C27" s="5" t="str">
        <f>[84]Source!F82</f>
        <v>1.12-7-98</v>
      </c>
      <c r="D27" s="5" t="s">
        <v>169</v>
      </c>
      <c r="E27" s="6" t="str">
        <f>[84]Source!H82</f>
        <v>м</v>
      </c>
      <c r="F27" s="2">
        <f>[84]Source!I82</f>
        <v>0.8</v>
      </c>
      <c r="G27" s="7">
        <f>[84]Source!AL82</f>
        <v>451.61</v>
      </c>
      <c r="H27" s="8" t="str">
        <f>[84]Source!DD82</f>
        <v/>
      </c>
      <c r="I27" s="2">
        <f>[84]Source!AW83</f>
        <v>1</v>
      </c>
      <c r="J27" s="25">
        <f>[84]Source!P82</f>
        <v>361.29</v>
      </c>
      <c r="K27" s="2">
        <f>IF([84]Source!BC83&lt;&gt; 0, [84]Source!BC83, 1)</f>
        <v>3.32</v>
      </c>
      <c r="L27" s="25">
        <f>[84]Source!P83</f>
        <v>1199.48</v>
      </c>
      <c r="Q27">
        <f>[84]Source!X82</f>
        <v>0</v>
      </c>
      <c r="R27">
        <f>[84]Source!X83</f>
        <v>0</v>
      </c>
      <c r="S27">
        <f>[84]Source!Y82</f>
        <v>0</v>
      </c>
      <c r="T27">
        <f>[84]Source!Y83</f>
        <v>0</v>
      </c>
      <c r="U27">
        <f>ROUND((175/100)*ROUND([84]Source!R82, 2), 2)</f>
        <v>0</v>
      </c>
      <c r="V27">
        <f>ROUND((157/100)*ROUND([84]Source!R83, 2), 2)</f>
        <v>0</v>
      </c>
    </row>
    <row r="28" spans="1:31" ht="15" x14ac:dyDescent="0.25">
      <c r="A28" s="35"/>
      <c r="B28" s="35"/>
      <c r="C28" s="35"/>
      <c r="D28" s="35"/>
      <c r="E28" s="35"/>
      <c r="F28" s="35"/>
      <c r="G28" s="35"/>
      <c r="H28" s="35"/>
      <c r="I28" s="524">
        <f>J27</f>
        <v>361.29</v>
      </c>
      <c r="J28" s="524"/>
      <c r="K28" s="524">
        <f>L27</f>
        <v>1199.48</v>
      </c>
      <c r="L28" s="524"/>
      <c r="O28" s="11">
        <f>J27</f>
        <v>361.29</v>
      </c>
      <c r="P28" s="11">
        <f>L27</f>
        <v>1199.48</v>
      </c>
    </row>
    <row r="29" spans="1:31" ht="42.75" x14ac:dyDescent="0.2">
      <c r="A29" s="4">
        <v>5</v>
      </c>
      <c r="B29" s="4" t="str">
        <f>[84]Source!E118</f>
        <v>40</v>
      </c>
      <c r="C29" s="5" t="str">
        <f>[84]Source!F118</f>
        <v>3.16-9-3</v>
      </c>
      <c r="D29" s="5" t="s">
        <v>171</v>
      </c>
      <c r="E29" s="6" t="str">
        <f>[84]Source!H118</f>
        <v>100 м трубопровода</v>
      </c>
      <c r="F29" s="2">
        <f>[84]Source!I118</f>
        <v>28.8</v>
      </c>
      <c r="G29" s="7"/>
      <c r="H29" s="8"/>
      <c r="I29" s="2"/>
      <c r="J29" s="25"/>
      <c r="K29" s="2"/>
      <c r="L29" s="25"/>
      <c r="Q29">
        <f>[84]Source!X118</f>
        <v>58692.25</v>
      </c>
      <c r="R29">
        <f>[84]Source!X119</f>
        <v>1124073.97</v>
      </c>
      <c r="S29">
        <f>[84]Source!Y118</f>
        <v>44136.57</v>
      </c>
      <c r="T29">
        <f>[84]Source!Y119</f>
        <v>505833.29</v>
      </c>
      <c r="U29">
        <f>ROUND((175/100)*ROUND([84]Source!R118, 2), 2)</f>
        <v>2786.72</v>
      </c>
      <c r="V29">
        <f>ROUND((157/100)*ROUND([84]Source!R119, 2), 2)</f>
        <v>59852.01</v>
      </c>
    </row>
    <row r="30" spans="1:31" ht="14.25" x14ac:dyDescent="0.2">
      <c r="A30" s="4"/>
      <c r="B30" s="4"/>
      <c r="C30" s="5"/>
      <c r="D30" s="5" t="s">
        <v>20</v>
      </c>
      <c r="E30" s="6"/>
      <c r="F30" s="2"/>
      <c r="G30" s="7">
        <f>[84]Source!AO118</f>
        <v>914.95</v>
      </c>
      <c r="H30" s="8" t="str">
        <f>[84]Source!DG118</f>
        <v>*1,67</v>
      </c>
      <c r="I30" s="2">
        <f>[84]Source!AV119</f>
        <v>1.0669999999999999</v>
      </c>
      <c r="J30" s="25">
        <f>[84]Source!S118</f>
        <v>46953.8</v>
      </c>
      <c r="K30" s="2">
        <f>IF([84]Source!BA119&lt;&gt; 0, [84]Source!BA119, 1)</f>
        <v>23.94</v>
      </c>
      <c r="L30" s="25">
        <f>[84]Source!S119</f>
        <v>1124073.97</v>
      </c>
    </row>
    <row r="31" spans="1:31" ht="14.25" x14ac:dyDescent="0.2">
      <c r="A31" s="4"/>
      <c r="B31" s="4"/>
      <c r="C31" s="5"/>
      <c r="D31" s="5" t="s">
        <v>21</v>
      </c>
      <c r="E31" s="6"/>
      <c r="F31" s="2"/>
      <c r="G31" s="7">
        <f>[84]Source!AM118</f>
        <v>218.14</v>
      </c>
      <c r="H31" s="8" t="str">
        <f>[84]Source!DE118</f>
        <v/>
      </c>
      <c r="I31" s="2">
        <f>[84]Source!AV119</f>
        <v>1.0669999999999999</v>
      </c>
      <c r="J31" s="25">
        <f>[84]Source!Q118-J40</f>
        <v>6703.35</v>
      </c>
      <c r="K31" s="2">
        <f>IF([84]Source!BB119&lt;&gt; 0, [84]Source!BB119, 1)</f>
        <v>7.99</v>
      </c>
      <c r="L31" s="25">
        <f>[84]Source!Q119-L40</f>
        <v>53559.74</v>
      </c>
    </row>
    <row r="32" spans="1:31" ht="14.25" x14ac:dyDescent="0.2">
      <c r="A32" s="4"/>
      <c r="B32" s="4"/>
      <c r="C32" s="5"/>
      <c r="D32" s="5" t="s">
        <v>22</v>
      </c>
      <c r="E32" s="6"/>
      <c r="F32" s="2"/>
      <c r="G32" s="7">
        <f>[84]Source!AN118</f>
        <v>31.03</v>
      </c>
      <c r="H32" s="8" t="str">
        <f>[84]Source!DE118</f>
        <v/>
      </c>
      <c r="I32" s="2">
        <f>[84]Source!AV119</f>
        <v>1.0669999999999999</v>
      </c>
      <c r="J32" s="10">
        <f>[84]Source!R118-J41</f>
        <v>953.54</v>
      </c>
      <c r="K32" s="2">
        <f>IF([84]Source!BS119&lt;&gt; 0, [84]Source!BS119, 1)</f>
        <v>23.94</v>
      </c>
      <c r="L32" s="10">
        <f>[84]Source!R119-L41</f>
        <v>22827.72</v>
      </c>
    </row>
    <row r="33" spans="1:22" ht="14.25" x14ac:dyDescent="0.2">
      <c r="A33" s="4"/>
      <c r="B33" s="4"/>
      <c r="C33" s="5"/>
      <c r="D33" s="5" t="s">
        <v>23</v>
      </c>
      <c r="E33" s="6"/>
      <c r="F33" s="2"/>
      <c r="G33" s="7">
        <f>[84]Source!AL118</f>
        <v>51.59</v>
      </c>
      <c r="H33" s="8" t="str">
        <f>[84]Source!DD118</f>
        <v/>
      </c>
      <c r="I33" s="2">
        <f>[84]Source!AW119</f>
        <v>1</v>
      </c>
      <c r="J33" s="25">
        <f>[84]Source!P118</f>
        <v>1485.79</v>
      </c>
      <c r="K33" s="2">
        <f>IF([84]Source!BC119&lt;&gt; 0, [84]Source!BC119, 1)</f>
        <v>5.54</v>
      </c>
      <c r="L33" s="25">
        <f>[84]Source!P119</f>
        <v>8231.2800000000007</v>
      </c>
    </row>
    <row r="34" spans="1:22" ht="14.25" x14ac:dyDescent="0.2">
      <c r="A34" s="4"/>
      <c r="B34" s="4"/>
      <c r="C34" s="5"/>
      <c r="D34" s="5" t="s">
        <v>24</v>
      </c>
      <c r="E34" s="6" t="s">
        <v>25</v>
      </c>
      <c r="F34" s="2">
        <f>[84]Source!DN119</f>
        <v>125</v>
      </c>
      <c r="G34" s="7"/>
      <c r="H34" s="8"/>
      <c r="I34" s="2"/>
      <c r="J34" s="25">
        <f>SUM(Q29:Q33)</f>
        <v>58692.25</v>
      </c>
      <c r="K34" s="2">
        <f>[84]Source!BZ119</f>
        <v>100</v>
      </c>
      <c r="L34" s="25">
        <f>SUM(R29:R33)</f>
        <v>1124073.97</v>
      </c>
    </row>
    <row r="35" spans="1:22" ht="14.25" x14ac:dyDescent="0.2">
      <c r="A35" s="4"/>
      <c r="B35" s="4"/>
      <c r="C35" s="5"/>
      <c r="D35" s="5" t="s">
        <v>26</v>
      </c>
      <c r="E35" s="6" t="s">
        <v>25</v>
      </c>
      <c r="F35" s="2">
        <f>[84]Source!DO119</f>
        <v>94</v>
      </c>
      <c r="G35" s="7"/>
      <c r="H35" s="8"/>
      <c r="I35" s="2"/>
      <c r="J35" s="25">
        <f>SUM(S29:S34)</f>
        <v>44136.57</v>
      </c>
      <c r="K35" s="2">
        <f>[84]Source!CA119</f>
        <v>45</v>
      </c>
      <c r="L35" s="25">
        <f>SUM(T29:T34)</f>
        <v>505833.29</v>
      </c>
    </row>
    <row r="36" spans="1:22" ht="14.25" x14ac:dyDescent="0.2">
      <c r="A36" s="4"/>
      <c r="B36" s="4"/>
      <c r="C36" s="5"/>
      <c r="D36" s="5" t="s">
        <v>27</v>
      </c>
      <c r="E36" s="6" t="s">
        <v>25</v>
      </c>
      <c r="F36" s="2">
        <f>175</f>
        <v>175</v>
      </c>
      <c r="G36" s="7"/>
      <c r="H36" s="8"/>
      <c r="I36" s="2"/>
      <c r="J36" s="25">
        <f>SUM(U29:U35)-J42</f>
        <v>1668.7</v>
      </c>
      <c r="K36" s="2">
        <f>157</f>
        <v>157</v>
      </c>
      <c r="L36" s="25">
        <f>SUM(V29:V35)-L42</f>
        <v>35839.519999999997</v>
      </c>
    </row>
    <row r="37" spans="1:22" ht="14.25" x14ac:dyDescent="0.2">
      <c r="A37" s="4"/>
      <c r="B37" s="4"/>
      <c r="C37" s="5"/>
      <c r="D37" s="5" t="s">
        <v>28</v>
      </c>
      <c r="E37" s="6" t="s">
        <v>29</v>
      </c>
      <c r="F37" s="2">
        <f>[84]Source!AQ118</f>
        <v>72.5</v>
      </c>
      <c r="G37" s="7"/>
      <c r="H37" s="8" t="str">
        <f>[84]Source!DI118</f>
        <v/>
      </c>
      <c r="I37" s="2">
        <f>[84]Source!AV119</f>
        <v>1.0669999999999999</v>
      </c>
      <c r="J37" s="25">
        <f>[84]Source!U118</f>
        <v>2227.9</v>
      </c>
      <c r="K37" s="2"/>
      <c r="L37" s="25"/>
    </row>
    <row r="38" spans="1:22" ht="15" x14ac:dyDescent="0.25">
      <c r="I38" s="525">
        <f>J30+J31+J33+J34+J35+J36</f>
        <v>159640.46</v>
      </c>
      <c r="J38" s="525"/>
      <c r="K38" s="525">
        <f>L30+L31+L33+L34+L35+L36</f>
        <v>2851611.77</v>
      </c>
      <c r="L38" s="525"/>
      <c r="O38" s="11">
        <f>J30+J31+J33+J34+J35+J36</f>
        <v>159640.46</v>
      </c>
      <c r="P38" s="11">
        <f>L30+L31+L33+L34+L35+L36</f>
        <v>2851611.77</v>
      </c>
    </row>
    <row r="39" spans="1:22" ht="28.5" x14ac:dyDescent="0.2">
      <c r="A39" s="12"/>
      <c r="B39" s="12"/>
      <c r="C39" s="13"/>
      <c r="D39" s="13" t="s">
        <v>30</v>
      </c>
      <c r="E39" s="6"/>
      <c r="F39" s="14"/>
      <c r="G39" s="15"/>
      <c r="H39" s="6"/>
      <c r="I39" s="14"/>
      <c r="J39" s="10"/>
      <c r="K39" s="14"/>
      <c r="L39" s="10"/>
    </row>
    <row r="40" spans="1:22" ht="14.25" x14ac:dyDescent="0.2">
      <c r="A40" s="12"/>
      <c r="B40" s="12"/>
      <c r="C40" s="13"/>
      <c r="D40" s="13" t="s">
        <v>21</v>
      </c>
      <c r="E40" s="6"/>
      <c r="F40" s="14"/>
      <c r="G40" s="15">
        <f t="shared" ref="G40:L40" si="0">G41</f>
        <v>31.03</v>
      </c>
      <c r="H40" s="16" t="str">
        <f t="shared" si="0"/>
        <v>)*(1.67-1)</v>
      </c>
      <c r="I40" s="14">
        <f t="shared" si="0"/>
        <v>1.0669999999999999</v>
      </c>
      <c r="J40" s="10">
        <f t="shared" si="0"/>
        <v>638.87</v>
      </c>
      <c r="K40" s="14">
        <f t="shared" si="0"/>
        <v>23.94</v>
      </c>
      <c r="L40" s="10">
        <f t="shared" si="0"/>
        <v>15294.58</v>
      </c>
    </row>
    <row r="41" spans="1:22" ht="14.25" x14ac:dyDescent="0.2">
      <c r="A41" s="12"/>
      <c r="B41" s="12"/>
      <c r="C41" s="13"/>
      <c r="D41" s="13" t="s">
        <v>22</v>
      </c>
      <c r="E41" s="6"/>
      <c r="F41" s="14"/>
      <c r="G41" s="15">
        <f>[84]Source!AN118</f>
        <v>31.03</v>
      </c>
      <c r="H41" s="16" t="s">
        <v>31</v>
      </c>
      <c r="I41" s="14">
        <f>[84]Source!AV119</f>
        <v>1.0669999999999999</v>
      </c>
      <c r="J41" s="10">
        <f>ROUND(F29*G41*I41*(1.67-1), 2)</f>
        <v>638.87</v>
      </c>
      <c r="K41" s="14">
        <f>IF([84]Source!BS119&lt;&gt; 0, [84]Source!BS119, 1)</f>
        <v>23.94</v>
      </c>
      <c r="L41" s="10">
        <f>ROUND(F29*G41*I41*(1.67-1)*K41, 2)</f>
        <v>15294.58</v>
      </c>
    </row>
    <row r="42" spans="1:22" ht="14.25" x14ac:dyDescent="0.2">
      <c r="A42" s="12"/>
      <c r="B42" s="12"/>
      <c r="C42" s="13"/>
      <c r="D42" s="13" t="s">
        <v>27</v>
      </c>
      <c r="E42" s="6" t="s">
        <v>25</v>
      </c>
      <c r="F42" s="14">
        <f>175</f>
        <v>175</v>
      </c>
      <c r="G42" s="15"/>
      <c r="H42" s="6"/>
      <c r="I42" s="14"/>
      <c r="J42" s="10">
        <f>ROUND(J41*(F42/100), 2)</f>
        <v>1118.02</v>
      </c>
      <c r="K42" s="14">
        <f>157</f>
        <v>157</v>
      </c>
      <c r="L42" s="10">
        <f>ROUND(L41*(K42/100), 2)</f>
        <v>24012.49</v>
      </c>
    </row>
    <row r="43" spans="1:22" ht="15" x14ac:dyDescent="0.25">
      <c r="I43" s="525">
        <f>J42+J41</f>
        <v>1756.89</v>
      </c>
      <c r="J43" s="525"/>
      <c r="K43" s="525">
        <f>L42+L41</f>
        <v>39307.07</v>
      </c>
      <c r="L43" s="525"/>
      <c r="O43" s="11">
        <f>I43</f>
        <v>1756.89</v>
      </c>
      <c r="P43" s="11">
        <f>K43</f>
        <v>39307.07</v>
      </c>
    </row>
    <row r="45" spans="1:22" ht="15" x14ac:dyDescent="0.25">
      <c r="A45" s="37"/>
      <c r="B45" s="37"/>
      <c r="C45" s="38"/>
      <c r="D45" s="38" t="s">
        <v>32</v>
      </c>
      <c r="E45" s="39"/>
      <c r="F45" s="40"/>
      <c r="G45" s="41"/>
      <c r="H45" s="42"/>
      <c r="I45" s="524">
        <f>I38+I43</f>
        <v>161397.35</v>
      </c>
      <c r="J45" s="524"/>
      <c r="K45" s="524">
        <f>K38+K43</f>
        <v>2890918.84</v>
      </c>
      <c r="L45" s="524"/>
    </row>
    <row r="46" spans="1:22" ht="71.25" x14ac:dyDescent="0.2">
      <c r="A46" s="4">
        <v>6</v>
      </c>
      <c r="B46" s="4" t="str">
        <f>[84]Source!E120</f>
        <v>41</v>
      </c>
      <c r="C46" s="5" t="str">
        <f>[84]Source!F120</f>
        <v>1.12-7-132</v>
      </c>
      <c r="D46" s="5" t="s">
        <v>112</v>
      </c>
      <c r="E46" s="6" t="str">
        <f>[84]Source!H120</f>
        <v>м</v>
      </c>
      <c r="F46" s="2">
        <f>[84]Source!I120</f>
        <v>2880</v>
      </c>
      <c r="G46" s="7">
        <f>[84]Source!AL120</f>
        <v>830.37</v>
      </c>
      <c r="H46" s="8" t="str">
        <f>[84]Source!DD120</f>
        <v/>
      </c>
      <c r="I46" s="2">
        <f>[84]Source!AW121</f>
        <v>1</v>
      </c>
      <c r="J46" s="25">
        <f>[84]Source!P120</f>
        <v>2391465.6</v>
      </c>
      <c r="K46" s="2">
        <f>IF([84]Source!BC121&lt;&gt; 0, [84]Source!BC121, 1)</f>
        <v>3.53</v>
      </c>
      <c r="L46" s="25">
        <f>[84]Source!P121</f>
        <v>8441873.5700000003</v>
      </c>
      <c r="Q46">
        <f>[84]Source!X120</f>
        <v>0</v>
      </c>
      <c r="R46">
        <f>[84]Source!X121</f>
        <v>0</v>
      </c>
      <c r="S46">
        <f>[84]Source!Y120</f>
        <v>0</v>
      </c>
      <c r="T46">
        <f>[84]Source!Y121</f>
        <v>0</v>
      </c>
      <c r="U46">
        <f>ROUND((175/100)*ROUND([84]Source!R120, 2), 2)</f>
        <v>0</v>
      </c>
      <c r="V46">
        <f>ROUND((157/100)*ROUND([84]Source!R121, 2), 2)</f>
        <v>0</v>
      </c>
    </row>
    <row r="47" spans="1:22" ht="15" x14ac:dyDescent="0.25">
      <c r="A47" s="35"/>
      <c r="B47" s="35"/>
      <c r="C47" s="35"/>
      <c r="D47" s="35"/>
      <c r="E47" s="35"/>
      <c r="F47" s="35"/>
      <c r="G47" s="35"/>
      <c r="H47" s="35"/>
      <c r="I47" s="524">
        <f>J46</f>
        <v>2391465.6</v>
      </c>
      <c r="J47" s="524"/>
      <c r="K47" s="524">
        <f>L46</f>
        <v>8441873.5700000003</v>
      </c>
      <c r="L47" s="524"/>
      <c r="O47" s="11">
        <f>J46</f>
        <v>2391465.6</v>
      </c>
      <c r="P47" s="11">
        <f>L46</f>
        <v>8441873.5700000003</v>
      </c>
    </row>
    <row r="48" spans="1:22" ht="57" x14ac:dyDescent="0.2">
      <c r="A48" s="4">
        <v>7</v>
      </c>
      <c r="B48" s="4" t="str">
        <f>[84]Source!E160</f>
        <v>64</v>
      </c>
      <c r="C48" s="5" t="str">
        <f>[84]Source!F160</f>
        <v>1.6-1-269</v>
      </c>
      <c r="D48" s="5" t="s">
        <v>116</v>
      </c>
      <c r="E48" s="6" t="str">
        <f>[84]Source!H160</f>
        <v>т</v>
      </c>
      <c r="F48" s="2">
        <f>[84]Source!I160</f>
        <v>1.2654000000000001</v>
      </c>
      <c r="G48" s="7">
        <f>[84]Source!AL160</f>
        <v>12416.1</v>
      </c>
      <c r="H48" s="8" t="str">
        <f>[84]Source!DD160</f>
        <v/>
      </c>
      <c r="I48" s="2">
        <f>[84]Source!AW161</f>
        <v>1</v>
      </c>
      <c r="J48" s="25">
        <f>[84]Source!P160</f>
        <v>15711.33</v>
      </c>
      <c r="K48" s="2">
        <f>IF([84]Source!BC161&lt;&gt; 0, [84]Source!BC161, 1)</f>
        <v>6.7</v>
      </c>
      <c r="L48" s="25">
        <f>[84]Source!P161</f>
        <v>105265.91</v>
      </c>
      <c r="Q48">
        <f>[84]Source!X160</f>
        <v>0</v>
      </c>
      <c r="R48">
        <f>[84]Source!X161</f>
        <v>0</v>
      </c>
      <c r="S48">
        <f>[84]Source!Y160</f>
        <v>0</v>
      </c>
      <c r="T48">
        <f>[84]Source!Y161</f>
        <v>0</v>
      </c>
      <c r="U48">
        <f>ROUND((175/100)*ROUND([84]Source!R160, 2), 2)</f>
        <v>0</v>
      </c>
      <c r="V48">
        <f>ROUND((157/100)*ROUND([84]Source!R161, 2), 2)</f>
        <v>0</v>
      </c>
    </row>
    <row r="49" spans="1:22" ht="15" x14ac:dyDescent="0.25">
      <c r="A49" s="35"/>
      <c r="B49" s="35"/>
      <c r="C49" s="35"/>
      <c r="D49" s="35"/>
      <c r="E49" s="35"/>
      <c r="F49" s="35"/>
      <c r="G49" s="35"/>
      <c r="H49" s="35"/>
      <c r="I49" s="524">
        <f>J48</f>
        <v>15711.33</v>
      </c>
      <c r="J49" s="524"/>
      <c r="K49" s="524">
        <f>L48</f>
        <v>105265.91</v>
      </c>
      <c r="L49" s="524"/>
      <c r="O49" s="11">
        <f>J48</f>
        <v>15711.33</v>
      </c>
      <c r="P49" s="11">
        <f>L48</f>
        <v>105265.91</v>
      </c>
    </row>
    <row r="50" spans="1:22" ht="14.25" x14ac:dyDescent="0.2">
      <c r="A50" s="4">
        <v>8</v>
      </c>
      <c r="B50" s="4" t="str">
        <f>[84]Source!E162</f>
        <v>65</v>
      </c>
      <c r="C50" s="5" t="str">
        <f>[84]Source!F162</f>
        <v>1.1-1-1002</v>
      </c>
      <c r="D50" s="5" t="s">
        <v>117</v>
      </c>
      <c r="E50" s="6" t="str">
        <f>[84]Source!H162</f>
        <v>кг</v>
      </c>
      <c r="F50" s="2">
        <f>[84]Source!I162</f>
        <v>52.25</v>
      </c>
      <c r="G50" s="7">
        <f>[84]Source!AL162</f>
        <v>20.89</v>
      </c>
      <c r="H50" s="8" t="str">
        <f>[84]Source!DD162</f>
        <v/>
      </c>
      <c r="I50" s="2">
        <f>[84]Source!AW163</f>
        <v>1</v>
      </c>
      <c r="J50" s="25">
        <f>[84]Source!P162</f>
        <v>1091.5</v>
      </c>
      <c r="K50" s="2">
        <f>IF([84]Source!BC163&lt;&gt; 0, [84]Source!BC163, 1)</f>
        <v>12.53</v>
      </c>
      <c r="L50" s="25">
        <f>[84]Source!P163</f>
        <v>13676.5</v>
      </c>
      <c r="Q50">
        <f>[84]Source!X162</f>
        <v>0</v>
      </c>
      <c r="R50">
        <f>[84]Source!X163</f>
        <v>0</v>
      </c>
      <c r="S50">
        <f>[84]Source!Y162</f>
        <v>0</v>
      </c>
      <c r="T50">
        <f>[84]Source!Y163</f>
        <v>0</v>
      </c>
      <c r="U50">
        <f>ROUND((175/100)*ROUND([84]Source!R162, 2), 2)</f>
        <v>0</v>
      </c>
      <c r="V50">
        <f>ROUND((157/100)*ROUND([84]Source!R163, 2), 2)</f>
        <v>0</v>
      </c>
    </row>
    <row r="51" spans="1:22" ht="15" x14ac:dyDescent="0.25">
      <c r="A51" s="35"/>
      <c r="B51" s="35"/>
      <c r="C51" s="35"/>
      <c r="D51" s="35"/>
      <c r="E51" s="35"/>
      <c r="F51" s="35"/>
      <c r="G51" s="35"/>
      <c r="H51" s="35"/>
      <c r="I51" s="524">
        <f>J50</f>
        <v>1091.5</v>
      </c>
      <c r="J51" s="524"/>
      <c r="K51" s="524">
        <f>L50</f>
        <v>13676.5</v>
      </c>
      <c r="L51" s="524"/>
      <c r="O51" s="11">
        <f>J50</f>
        <v>1091.5</v>
      </c>
      <c r="P51" s="11">
        <f>L50</f>
        <v>13676.5</v>
      </c>
    </row>
    <row r="52" spans="1:22" ht="28.5" x14ac:dyDescent="0.2">
      <c r="A52" s="4">
        <v>9</v>
      </c>
      <c r="B52" s="4" t="str">
        <f>[84]Source!E164</f>
        <v>66</v>
      </c>
      <c r="C52" s="5" t="str">
        <f>[84]Source!F164</f>
        <v>1.1-1-3732</v>
      </c>
      <c r="D52" s="5" t="s">
        <v>118</v>
      </c>
      <c r="E52" s="6" t="str">
        <f>[84]Source!H164</f>
        <v>100 шт.</v>
      </c>
      <c r="F52" s="2">
        <f>[84]Source!I164</f>
        <v>22.8</v>
      </c>
      <c r="G52" s="7">
        <f>[84]Source!AL164</f>
        <v>679.91</v>
      </c>
      <c r="H52" s="8" t="str">
        <f>[84]Source!DD164</f>
        <v/>
      </c>
      <c r="I52" s="2">
        <f>[84]Source!AW165</f>
        <v>1</v>
      </c>
      <c r="J52" s="25">
        <f>[84]Source!P164</f>
        <v>15501.95</v>
      </c>
      <c r="K52" s="2">
        <f>IF([84]Source!BC165&lt;&gt; 0, [84]Source!BC165, 1)</f>
        <v>1.21</v>
      </c>
      <c r="L52" s="25">
        <f>[84]Source!P165</f>
        <v>18757.36</v>
      </c>
      <c r="Q52">
        <f>[84]Source!X164</f>
        <v>0</v>
      </c>
      <c r="R52">
        <f>[84]Source!X165</f>
        <v>0</v>
      </c>
      <c r="S52">
        <f>[84]Source!Y164</f>
        <v>0</v>
      </c>
      <c r="T52">
        <f>[84]Source!Y165</f>
        <v>0</v>
      </c>
      <c r="U52">
        <f>ROUND((175/100)*ROUND([84]Source!R164, 2), 2)</f>
        <v>0</v>
      </c>
      <c r="V52">
        <f>ROUND((157/100)*ROUND([84]Source!R165, 2), 2)</f>
        <v>0</v>
      </c>
    </row>
    <row r="53" spans="1:22" ht="15" x14ac:dyDescent="0.25">
      <c r="A53" s="35"/>
      <c r="B53" s="35"/>
      <c r="C53" s="35"/>
      <c r="D53" s="35"/>
      <c r="E53" s="35"/>
      <c r="F53" s="35"/>
      <c r="G53" s="35"/>
      <c r="H53" s="35"/>
      <c r="I53" s="524">
        <f>J52</f>
        <v>15501.95</v>
      </c>
      <c r="J53" s="524"/>
      <c r="K53" s="524">
        <f>L52</f>
        <v>18757.36</v>
      </c>
      <c r="L53" s="524"/>
      <c r="O53" s="11">
        <f>J52</f>
        <v>15501.95</v>
      </c>
      <c r="P53" s="11">
        <f>L52</f>
        <v>18757.36</v>
      </c>
    </row>
    <row r="54" spans="1:22" ht="28.5" x14ac:dyDescent="0.2">
      <c r="A54" s="4">
        <v>10</v>
      </c>
      <c r="B54" s="4" t="str">
        <f>[84]Source!E166</f>
        <v>67</v>
      </c>
      <c r="C54" s="5" t="str">
        <f>[84]Source!F166</f>
        <v>1.1-1-3733</v>
      </c>
      <c r="D54" s="5" t="s">
        <v>119</v>
      </c>
      <c r="E54" s="6" t="str">
        <f>[84]Source!H166</f>
        <v>100 шт.</v>
      </c>
      <c r="F54" s="2">
        <f>[84]Source!I166</f>
        <v>11.4</v>
      </c>
      <c r="G54" s="7">
        <f>[84]Source!AL166</f>
        <v>98.74</v>
      </c>
      <c r="H54" s="8" t="str">
        <f>[84]Source!DD166</f>
        <v/>
      </c>
      <c r="I54" s="2">
        <f>[84]Source!AW167</f>
        <v>1</v>
      </c>
      <c r="J54" s="25">
        <f>[84]Source!P166</f>
        <v>1125.6400000000001</v>
      </c>
      <c r="K54" s="2">
        <f>IF([84]Source!BC167&lt;&gt; 0, [84]Source!BC167, 1)</f>
        <v>1.95</v>
      </c>
      <c r="L54" s="25">
        <f>[84]Source!P167</f>
        <v>2195</v>
      </c>
      <c r="Q54">
        <f>[84]Source!X166</f>
        <v>0</v>
      </c>
      <c r="R54">
        <f>[84]Source!X167</f>
        <v>0</v>
      </c>
      <c r="S54">
        <f>[84]Source!Y166</f>
        <v>0</v>
      </c>
      <c r="T54">
        <f>[84]Source!Y167</f>
        <v>0</v>
      </c>
      <c r="U54">
        <f>ROUND((175/100)*ROUND([84]Source!R166, 2), 2)</f>
        <v>0</v>
      </c>
      <c r="V54">
        <f>ROUND((157/100)*ROUND([84]Source!R167, 2), 2)</f>
        <v>0</v>
      </c>
    </row>
    <row r="55" spans="1:22" ht="15" x14ac:dyDescent="0.25">
      <c r="A55" s="35"/>
      <c r="B55" s="35"/>
      <c r="C55" s="35"/>
      <c r="D55" s="35"/>
      <c r="E55" s="35"/>
      <c r="F55" s="35"/>
      <c r="G55" s="35"/>
      <c r="H55" s="35"/>
      <c r="I55" s="524">
        <f>J54</f>
        <v>1125.6400000000001</v>
      </c>
      <c r="J55" s="524"/>
      <c r="K55" s="524">
        <f>L54</f>
        <v>2195</v>
      </c>
      <c r="L55" s="524"/>
      <c r="O55" s="11">
        <f>J54</f>
        <v>1125.6400000000001</v>
      </c>
      <c r="P55" s="11">
        <f>L54</f>
        <v>2195</v>
      </c>
    </row>
    <row r="56" spans="1:22" ht="99.75" x14ac:dyDescent="0.2">
      <c r="A56" s="4">
        <v>11</v>
      </c>
      <c r="B56" s="4" t="str">
        <f>[84]Source!E168</f>
        <v>68</v>
      </c>
      <c r="C56" s="5" t="str">
        <f>[84]Source!F168</f>
        <v>1.7-5-237</v>
      </c>
      <c r="D56" s="5" t="s">
        <v>172</v>
      </c>
      <c r="E56" s="6" t="str">
        <f>[84]Source!H168</f>
        <v>шт.</v>
      </c>
      <c r="F56" s="2">
        <f>[84]Source!I168</f>
        <v>1140</v>
      </c>
      <c r="G56" s="7">
        <f>[84]Source!AL168</f>
        <v>69.040000000000006</v>
      </c>
      <c r="H56" s="8" t="str">
        <f>[84]Source!DD168</f>
        <v/>
      </c>
      <c r="I56" s="2">
        <f>[84]Source!AW169</f>
        <v>1</v>
      </c>
      <c r="J56" s="25">
        <f>[84]Source!P168</f>
        <v>78705.600000000006</v>
      </c>
      <c r="K56" s="2">
        <f>IF([84]Source!BC169&lt;&gt; 0, [84]Source!BC169, 1)</f>
        <v>3.98</v>
      </c>
      <c r="L56" s="25">
        <f>[84]Source!P169</f>
        <v>313248.28999999998</v>
      </c>
      <c r="Q56">
        <f>[84]Source!X168</f>
        <v>0</v>
      </c>
      <c r="R56">
        <f>[84]Source!X169</f>
        <v>0</v>
      </c>
      <c r="S56">
        <f>[84]Source!Y168</f>
        <v>0</v>
      </c>
      <c r="T56">
        <f>[84]Source!Y169</f>
        <v>0</v>
      </c>
      <c r="U56">
        <f>ROUND((175/100)*ROUND([84]Source!R168, 2), 2)</f>
        <v>0</v>
      </c>
      <c r="V56">
        <f>ROUND((157/100)*ROUND([84]Source!R169, 2), 2)</f>
        <v>0</v>
      </c>
    </row>
    <row r="57" spans="1:22" ht="15" x14ac:dyDescent="0.25">
      <c r="A57" s="35"/>
      <c r="B57" s="35"/>
      <c r="C57" s="35"/>
      <c r="D57" s="35"/>
      <c r="E57" s="35"/>
      <c r="F57" s="35"/>
      <c r="G57" s="35"/>
      <c r="H57" s="35"/>
      <c r="I57" s="524">
        <f>J56</f>
        <v>78705.600000000006</v>
      </c>
      <c r="J57" s="524"/>
      <c r="K57" s="524">
        <f>L56</f>
        <v>313248.28999999998</v>
      </c>
      <c r="L57" s="524"/>
      <c r="O57" s="11">
        <f>J56</f>
        <v>78705.600000000006</v>
      </c>
      <c r="P57" s="11">
        <f>L56</f>
        <v>313248.28999999998</v>
      </c>
    </row>
    <row r="58" spans="1:22" ht="57" x14ac:dyDescent="0.2">
      <c r="A58" s="4">
        <v>12</v>
      </c>
      <c r="B58" s="4" t="str">
        <f>[84]Source!E170</f>
        <v>69</v>
      </c>
      <c r="C58" s="5" t="str">
        <f>[84]Source!F170</f>
        <v>3.13-11-6</v>
      </c>
      <c r="D58" s="5" t="s">
        <v>128</v>
      </c>
      <c r="E58" s="6" t="str">
        <f>[84]Source!H170</f>
        <v>100 м2</v>
      </c>
      <c r="F58" s="2">
        <f>[84]Source!I170</f>
        <v>0.66200000000000003</v>
      </c>
      <c r="G58" s="7"/>
      <c r="H58" s="8"/>
      <c r="I58" s="2"/>
      <c r="J58" s="25"/>
      <c r="K58" s="2"/>
      <c r="L58" s="25"/>
      <c r="Q58">
        <f>[84]Source!X170</f>
        <v>36.74</v>
      </c>
      <c r="R58">
        <f>[84]Source!X171</f>
        <v>712.01</v>
      </c>
      <c r="S58">
        <f>[84]Source!Y170</f>
        <v>26.94</v>
      </c>
      <c r="T58">
        <f>[84]Source!Y171</f>
        <v>343.44</v>
      </c>
      <c r="U58">
        <f>ROUND((175/100)*ROUND([84]Source!R170, 2), 2)</f>
        <v>4.5</v>
      </c>
      <c r="V58">
        <f>ROUND((157/100)*ROUND([84]Source!R171, 2), 2)</f>
        <v>96.6</v>
      </c>
    </row>
    <row r="59" spans="1:22" ht="14.25" x14ac:dyDescent="0.2">
      <c r="A59" s="4"/>
      <c r="B59" s="4"/>
      <c r="C59" s="5"/>
      <c r="D59" s="5" t="s">
        <v>20</v>
      </c>
      <c r="E59" s="6"/>
      <c r="F59" s="2"/>
      <c r="G59" s="7">
        <f>[84]Source!AO170</f>
        <v>30.23</v>
      </c>
      <c r="H59" s="8" t="str">
        <f>[84]Source!DG170</f>
        <v>*1,67</v>
      </c>
      <c r="I59" s="2">
        <f>[84]Source!AV171</f>
        <v>1.0469999999999999</v>
      </c>
      <c r="J59" s="25">
        <f>[84]Source!S170</f>
        <v>34.99</v>
      </c>
      <c r="K59" s="2">
        <f>IF([84]Source!BA171&lt;&gt; 0, [84]Source!BA171, 1)</f>
        <v>23.94</v>
      </c>
      <c r="L59" s="25">
        <f>[84]Source!S171</f>
        <v>837.66</v>
      </c>
    </row>
    <row r="60" spans="1:22" ht="14.25" x14ac:dyDescent="0.2">
      <c r="A60" s="4"/>
      <c r="B60" s="4"/>
      <c r="C60" s="5"/>
      <c r="D60" s="5" t="s">
        <v>21</v>
      </c>
      <c r="E60" s="6"/>
      <c r="F60" s="2"/>
      <c r="G60" s="7">
        <f>[84]Source!AM170</f>
        <v>22.38</v>
      </c>
      <c r="H60" s="8" t="str">
        <f>[84]Source!DE170</f>
        <v/>
      </c>
      <c r="I60" s="2">
        <f>[84]Source!AV171</f>
        <v>1.0469999999999999</v>
      </c>
      <c r="J60" s="25">
        <f>[84]Source!Q170-J70</f>
        <v>15.51</v>
      </c>
      <c r="K60" s="2">
        <f>IF([84]Source!BB171&lt;&gt; 0, [84]Source!BB171, 1)</f>
        <v>6.27</v>
      </c>
      <c r="L60" s="25">
        <f>[84]Source!Q171-L70</f>
        <v>97.23</v>
      </c>
    </row>
    <row r="61" spans="1:22" ht="14.25" x14ac:dyDescent="0.2">
      <c r="A61" s="4"/>
      <c r="B61" s="4"/>
      <c r="C61" s="5"/>
      <c r="D61" s="5" t="s">
        <v>22</v>
      </c>
      <c r="E61" s="6"/>
      <c r="F61" s="2"/>
      <c r="G61" s="7">
        <f>[84]Source!AN170</f>
        <v>2.2200000000000002</v>
      </c>
      <c r="H61" s="8" t="str">
        <f>[84]Source!DE170</f>
        <v/>
      </c>
      <c r="I61" s="2">
        <f>[84]Source!AV171</f>
        <v>1.0469999999999999</v>
      </c>
      <c r="J61" s="10">
        <f>[84]Source!R170-J71</f>
        <v>1.54</v>
      </c>
      <c r="K61" s="2">
        <f>IF([84]Source!BS171&lt;&gt; 0, [84]Source!BS171, 1)</f>
        <v>23.94</v>
      </c>
      <c r="L61" s="10">
        <f>[84]Source!R171-L71</f>
        <v>36.85</v>
      </c>
    </row>
    <row r="62" spans="1:22" ht="14.25" x14ac:dyDescent="0.2">
      <c r="A62" s="4"/>
      <c r="B62" s="4"/>
      <c r="C62" s="5"/>
      <c r="D62" s="5" t="s">
        <v>23</v>
      </c>
      <c r="E62" s="6"/>
      <c r="F62" s="2"/>
      <c r="G62" s="7">
        <f>[84]Source!AL170</f>
        <v>20.16</v>
      </c>
      <c r="H62" s="8" t="str">
        <f>[84]Source!DD170</f>
        <v/>
      </c>
      <c r="I62" s="2">
        <f>[84]Source!AW171</f>
        <v>1</v>
      </c>
      <c r="J62" s="25">
        <f>[84]Source!P170</f>
        <v>13.35</v>
      </c>
      <c r="K62" s="2">
        <f>IF([84]Source!BC171&lt;&gt; 0, [84]Source!BC171, 1)</f>
        <v>8.16</v>
      </c>
      <c r="L62" s="25">
        <f>[84]Source!P171</f>
        <v>108.94</v>
      </c>
    </row>
    <row r="63" spans="1:22" ht="57" x14ac:dyDescent="0.2">
      <c r="A63" s="4">
        <v>13</v>
      </c>
      <c r="B63" s="4" t="str">
        <f>[84]Source!E172</f>
        <v>69,1</v>
      </c>
      <c r="C63" s="5" t="str">
        <f>[84]Source!F172</f>
        <v>1.1-1-413</v>
      </c>
      <c r="D63" s="5" t="s">
        <v>114</v>
      </c>
      <c r="E63" s="6" t="str">
        <f>[84]Source!H172</f>
        <v>кг</v>
      </c>
      <c r="F63" s="2">
        <f>[84]Source!I172</f>
        <v>51</v>
      </c>
      <c r="G63" s="7">
        <f>[84]Source!AK172</f>
        <v>47.9</v>
      </c>
      <c r="H63" s="36" t="s">
        <v>90</v>
      </c>
      <c r="I63" s="2">
        <f>[84]Source!AW173</f>
        <v>1</v>
      </c>
      <c r="J63" s="25">
        <f>[84]Source!O172</f>
        <v>2442.9</v>
      </c>
      <c r="K63" s="2">
        <f>IF([84]Source!BC173&lt;&gt; 0, [84]Source!BC173, 1)</f>
        <v>2.64</v>
      </c>
      <c r="L63" s="25">
        <f>[84]Source!O173</f>
        <v>6449.26</v>
      </c>
      <c r="Q63">
        <f>[84]Source!X172</f>
        <v>0</v>
      </c>
      <c r="R63">
        <f>[84]Source!X173</f>
        <v>0</v>
      </c>
      <c r="S63">
        <f>[84]Source!Y172</f>
        <v>0</v>
      </c>
      <c r="T63">
        <f>[84]Source!Y173</f>
        <v>0</v>
      </c>
      <c r="U63">
        <f>ROUND((175/100)*ROUND([84]Source!R172, 2), 2)</f>
        <v>0</v>
      </c>
      <c r="V63">
        <f>ROUND((157/100)*ROUND([84]Source!R173, 2), 2)</f>
        <v>0</v>
      </c>
    </row>
    <row r="64" spans="1:22" ht="14.25" x14ac:dyDescent="0.2">
      <c r="A64" s="4"/>
      <c r="B64" s="4"/>
      <c r="C64" s="5"/>
      <c r="D64" s="5" t="s">
        <v>24</v>
      </c>
      <c r="E64" s="6" t="s">
        <v>25</v>
      </c>
      <c r="F64" s="2">
        <f>[84]Source!DN171</f>
        <v>105</v>
      </c>
      <c r="G64" s="7"/>
      <c r="H64" s="8"/>
      <c r="I64" s="2"/>
      <c r="J64" s="25">
        <f>SUM(Q58:Q63)</f>
        <v>36.74</v>
      </c>
      <c r="K64" s="2">
        <f>[84]Source!BZ171</f>
        <v>85</v>
      </c>
      <c r="L64" s="25">
        <f>SUM(R58:R63)</f>
        <v>712.01</v>
      </c>
    </row>
    <row r="65" spans="1:32" ht="14.25" x14ac:dyDescent="0.2">
      <c r="A65" s="4"/>
      <c r="B65" s="4"/>
      <c r="C65" s="5"/>
      <c r="D65" s="5" t="s">
        <v>26</v>
      </c>
      <c r="E65" s="6" t="s">
        <v>25</v>
      </c>
      <c r="F65" s="2">
        <f>[84]Source!DO171</f>
        <v>77</v>
      </c>
      <c r="G65" s="7"/>
      <c r="H65" s="8"/>
      <c r="I65" s="2"/>
      <c r="J65" s="25">
        <f>SUM(S58:S64)</f>
        <v>26.94</v>
      </c>
      <c r="K65" s="2">
        <f>[84]Source!CA171</f>
        <v>41</v>
      </c>
      <c r="L65" s="25">
        <f>SUM(T58:T64)</f>
        <v>343.44</v>
      </c>
    </row>
    <row r="66" spans="1:32" ht="14.25" x14ac:dyDescent="0.2">
      <c r="A66" s="4"/>
      <c r="B66" s="4"/>
      <c r="C66" s="5"/>
      <c r="D66" s="5" t="s">
        <v>27</v>
      </c>
      <c r="E66" s="6" t="s">
        <v>25</v>
      </c>
      <c r="F66" s="2">
        <f>175</f>
        <v>175</v>
      </c>
      <c r="G66" s="7"/>
      <c r="H66" s="8"/>
      <c r="I66" s="2"/>
      <c r="J66" s="25">
        <f>SUM(U58:U65)-J72</f>
        <v>2.7</v>
      </c>
      <c r="K66" s="2">
        <f>157</f>
        <v>157</v>
      </c>
      <c r="L66" s="25">
        <f>SUM(V58:V65)-L72</f>
        <v>57.85</v>
      </c>
    </row>
    <row r="67" spans="1:32" ht="14.25" x14ac:dyDescent="0.2">
      <c r="A67" s="4"/>
      <c r="B67" s="4"/>
      <c r="C67" s="5"/>
      <c r="D67" s="5" t="s">
        <v>28</v>
      </c>
      <c r="E67" s="6" t="s">
        <v>29</v>
      </c>
      <c r="F67" s="2">
        <f>[84]Source!AQ170</f>
        <v>2.54</v>
      </c>
      <c r="G67" s="7"/>
      <c r="H67" s="8" t="str">
        <f>[84]Source!DI170</f>
        <v/>
      </c>
      <c r="I67" s="2">
        <f>[84]Source!AV171</f>
        <v>1.0469999999999999</v>
      </c>
      <c r="J67" s="25">
        <f>[84]Source!U170</f>
        <v>1.76</v>
      </c>
      <c r="K67" s="2"/>
      <c r="L67" s="25"/>
    </row>
    <row r="68" spans="1:32" ht="15" x14ac:dyDescent="0.25">
      <c r="I68" s="525">
        <f>J59+J60+J62+J64+J65+J66+SUM(J63:J63)</f>
        <v>2573.13</v>
      </c>
      <c r="J68" s="525"/>
      <c r="K68" s="525">
        <f>L59+L60+L62+L64+L65+L66+SUM(L63:L63)</f>
        <v>8606.39</v>
      </c>
      <c r="L68" s="525"/>
      <c r="O68" s="11">
        <f>J59+J60+J62+J64+J65+J66+SUM(J63:J63)</f>
        <v>2573.13</v>
      </c>
      <c r="P68" s="11">
        <f>L59+L60+L62+L64+L65+L66+SUM(L63:L63)</f>
        <v>8606.39</v>
      </c>
    </row>
    <row r="69" spans="1:32" ht="28.5" x14ac:dyDescent="0.2">
      <c r="A69" s="12"/>
      <c r="B69" s="12"/>
      <c r="C69" s="13"/>
      <c r="D69" s="13" t="s">
        <v>30</v>
      </c>
      <c r="E69" s="6"/>
      <c r="F69" s="14"/>
      <c r="G69" s="15"/>
      <c r="H69" s="6"/>
      <c r="I69" s="14"/>
      <c r="J69" s="10"/>
      <c r="K69" s="14"/>
      <c r="L69" s="10"/>
    </row>
    <row r="70" spans="1:32" ht="14.25" x14ac:dyDescent="0.2">
      <c r="A70" s="12"/>
      <c r="B70" s="12"/>
      <c r="C70" s="13"/>
      <c r="D70" s="13" t="s">
        <v>21</v>
      </c>
      <c r="E70" s="6"/>
      <c r="F70" s="14"/>
      <c r="G70" s="15">
        <f t="shared" ref="G70:L70" si="1">G71</f>
        <v>2.2200000000000002</v>
      </c>
      <c r="H70" s="16" t="str">
        <f t="shared" si="1"/>
        <v>)*(1.67-1)</v>
      </c>
      <c r="I70" s="14">
        <f t="shared" si="1"/>
        <v>1.0469999999999999</v>
      </c>
      <c r="J70" s="10">
        <f t="shared" si="1"/>
        <v>1.03</v>
      </c>
      <c r="K70" s="14">
        <f t="shared" si="1"/>
        <v>23.94</v>
      </c>
      <c r="L70" s="10">
        <f t="shared" si="1"/>
        <v>24.68</v>
      </c>
    </row>
    <row r="71" spans="1:32" ht="14.25" x14ac:dyDescent="0.2">
      <c r="A71" s="12"/>
      <c r="B71" s="12"/>
      <c r="C71" s="13"/>
      <c r="D71" s="13" t="s">
        <v>22</v>
      </c>
      <c r="E71" s="6"/>
      <c r="F71" s="14"/>
      <c r="G71" s="15">
        <f>[84]Source!AN170</f>
        <v>2.2200000000000002</v>
      </c>
      <c r="H71" s="16" t="s">
        <v>31</v>
      </c>
      <c r="I71" s="14">
        <f>[84]Source!AV171</f>
        <v>1.0469999999999999</v>
      </c>
      <c r="J71" s="10">
        <f>ROUND(F58*G71*I71*(1.67-1), 2)</f>
        <v>1.03</v>
      </c>
      <c r="K71" s="14">
        <f>IF([84]Source!BS171&lt;&gt; 0, [84]Source!BS171, 1)</f>
        <v>23.94</v>
      </c>
      <c r="L71" s="10">
        <f>ROUND(F58*G71*I71*(1.67-1)*K71, 2)</f>
        <v>24.68</v>
      </c>
    </row>
    <row r="72" spans="1:32" ht="14.25" x14ac:dyDescent="0.2">
      <c r="A72" s="12"/>
      <c r="B72" s="12"/>
      <c r="C72" s="13"/>
      <c r="D72" s="13" t="s">
        <v>27</v>
      </c>
      <c r="E72" s="6" t="s">
        <v>25</v>
      </c>
      <c r="F72" s="14">
        <f>175</f>
        <v>175</v>
      </c>
      <c r="G72" s="15"/>
      <c r="H72" s="6"/>
      <c r="I72" s="14"/>
      <c r="J72" s="10">
        <f>ROUND(J71*(F72/100), 2)</f>
        <v>1.8</v>
      </c>
      <c r="K72" s="14">
        <f>157</f>
        <v>157</v>
      </c>
      <c r="L72" s="10">
        <f>ROUND(L71*(K72/100), 2)</f>
        <v>38.75</v>
      </c>
    </row>
    <row r="73" spans="1:32" ht="15" x14ac:dyDescent="0.25">
      <c r="I73" s="525">
        <f>J72+J71</f>
        <v>2.83</v>
      </c>
      <c r="J73" s="525"/>
      <c r="K73" s="525">
        <f>L72+L71</f>
        <v>63.43</v>
      </c>
      <c r="L73" s="525"/>
      <c r="O73" s="11">
        <f>I73</f>
        <v>2.83</v>
      </c>
      <c r="P73" s="11">
        <f>K73</f>
        <v>63.43</v>
      </c>
    </row>
    <row r="75" spans="1:32" ht="15" x14ac:dyDescent="0.25">
      <c r="A75" s="37"/>
      <c r="B75" s="37"/>
      <c r="C75" s="38"/>
      <c r="D75" s="38" t="s">
        <v>32</v>
      </c>
      <c r="E75" s="39"/>
      <c r="F75" s="40"/>
      <c r="G75" s="41"/>
      <c r="H75" s="42"/>
      <c r="I75" s="524">
        <f>I68+I73</f>
        <v>2575.96</v>
      </c>
      <c r="J75" s="524"/>
      <c r="K75" s="524">
        <f>K68+K73</f>
        <v>8669.82</v>
      </c>
      <c r="L75" s="524"/>
    </row>
    <row r="77" spans="1:32" ht="30" x14ac:dyDescent="0.25">
      <c r="A77" s="528" t="str">
        <f>CONCATENATE("Итого по разделу: ",IF([84]Source!G181&lt;&gt;"Новый раздел", [84]Source!G181, ""))</f>
        <v>Итого по разделу: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  <c r="B77" s="528"/>
      <c r="C77" s="528"/>
      <c r="D77" s="528"/>
      <c r="E77" s="528"/>
      <c r="F77" s="528"/>
      <c r="G77" s="528"/>
      <c r="H77" s="528"/>
      <c r="I77" s="526">
        <f>SUM(O19:O76)</f>
        <v>2678651.23</v>
      </c>
      <c r="J77" s="527"/>
      <c r="K77" s="526">
        <f>SUM(P19:P76)</f>
        <v>11847003.65</v>
      </c>
      <c r="L77" s="527"/>
      <c r="AF77" s="26" t="str">
        <f>CONCATENATE("Итого по разделу: ",IF([84]Source!G181&lt;&gt;"Новый раздел", [84]Source!G181, ""))</f>
        <v>Итого по разделу: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</row>
    <row r="78" spans="1:32" hidden="1" x14ac:dyDescent="0.2">
      <c r="A78" t="s">
        <v>48</v>
      </c>
      <c r="J78">
        <f>SUM(W19:W77)</f>
        <v>0</v>
      </c>
      <c r="K78">
        <f>SUM(X19:X77)</f>
        <v>0</v>
      </c>
    </row>
    <row r="79" spans="1:32" hidden="1" x14ac:dyDescent="0.2">
      <c r="A79" t="s">
        <v>49</v>
      </c>
      <c r="J79">
        <f>SUM(Y19:Y78)</f>
        <v>0</v>
      </c>
      <c r="K79">
        <f>SUM(Z19:Z78)</f>
        <v>0</v>
      </c>
    </row>
    <row r="81" spans="1:31" ht="16.5" x14ac:dyDescent="0.25">
      <c r="A81" s="514" t="str">
        <f>CONCATENATE("Раздел: ",IF([84]Source!G210&lt;&gt;"Новый раздел", [84]Source!G210, ""))</f>
        <v>Раздел: Перегоны от ст. "Мичуренский проспект" до ст. "Аминьевское шоссе". Тонельный напорный водопровод (К2НТ)</v>
      </c>
      <c r="B81" s="514"/>
      <c r="C81" s="514"/>
      <c r="D81" s="514"/>
      <c r="E81" s="514"/>
      <c r="F81" s="514"/>
      <c r="G81" s="514"/>
      <c r="H81" s="514"/>
      <c r="I81" s="514"/>
      <c r="J81" s="514"/>
      <c r="K81" s="514"/>
      <c r="L81" s="514"/>
      <c r="AE81" s="27" t="str">
        <f>CONCATENATE("Раздел: ",IF([84]Source!G210&lt;&gt;"Новый раздел", [84]Source!G210, ""))</f>
        <v>Раздел: Перегоны от ст. "Мичуренский проспект" до ст. "Аминьевское шоссе". Тонельный напорный водопровод (К2НТ)</v>
      </c>
    </row>
    <row r="82" spans="1:31" ht="42.75" x14ac:dyDescent="0.2">
      <c r="A82" s="4">
        <v>14</v>
      </c>
      <c r="B82" s="4" t="str">
        <f>[84]Source!E232</f>
        <v>80</v>
      </c>
      <c r="C82" s="5" t="str">
        <f>[84]Source!F232</f>
        <v>3.16-9-7</v>
      </c>
      <c r="D82" s="5" t="s">
        <v>149</v>
      </c>
      <c r="E82" s="6" t="str">
        <f>[84]Source!H232</f>
        <v>100 м трубопровода</v>
      </c>
      <c r="F82" s="2">
        <f>[84]Source!I232</f>
        <v>6.5</v>
      </c>
      <c r="G82" s="7"/>
      <c r="H82" s="8"/>
      <c r="I82" s="2"/>
      <c r="J82" s="25"/>
      <c r="K82" s="2"/>
      <c r="L82" s="25"/>
      <c r="Q82">
        <f>[84]Source!X232</f>
        <v>29632.99</v>
      </c>
      <c r="R82">
        <f>[84]Source!X233</f>
        <v>567530.98</v>
      </c>
      <c r="S82">
        <f>[84]Source!Y232</f>
        <v>22284.01</v>
      </c>
      <c r="T82">
        <f>[84]Source!Y233</f>
        <v>255388.94</v>
      </c>
      <c r="U82">
        <f>ROUND((175/100)*ROUND([84]Source!R232, 2), 2)</f>
        <v>1300.06</v>
      </c>
      <c r="V82">
        <f>ROUND((157/100)*ROUND([84]Source!R233, 2), 2)</f>
        <v>27922.12</v>
      </c>
    </row>
    <row r="83" spans="1:31" ht="14.25" x14ac:dyDescent="0.2">
      <c r="A83" s="4"/>
      <c r="B83" s="4"/>
      <c r="C83" s="5"/>
      <c r="D83" s="5" t="s">
        <v>20</v>
      </c>
      <c r="E83" s="6"/>
      <c r="F83" s="2"/>
      <c r="G83" s="7">
        <f>[84]Source!AO232</f>
        <v>2046.78</v>
      </c>
      <c r="H83" s="8" t="str">
        <f>[84]Source!DG232</f>
        <v>*1,67</v>
      </c>
      <c r="I83" s="2">
        <f>[84]Source!AV233</f>
        <v>1.0669999999999999</v>
      </c>
      <c r="J83" s="25">
        <f>[84]Source!S232</f>
        <v>23706.39</v>
      </c>
      <c r="K83" s="2">
        <f>IF([84]Source!BA233&lt;&gt; 0, [84]Source!BA233, 1)</f>
        <v>23.94</v>
      </c>
      <c r="L83" s="25">
        <f>[84]Source!S233</f>
        <v>567530.98</v>
      </c>
    </row>
    <row r="84" spans="1:31" ht="14.25" x14ac:dyDescent="0.2">
      <c r="A84" s="4"/>
      <c r="B84" s="4"/>
      <c r="C84" s="5"/>
      <c r="D84" s="5" t="s">
        <v>21</v>
      </c>
      <c r="E84" s="6"/>
      <c r="F84" s="2"/>
      <c r="G84" s="7">
        <f>[84]Source!AM232</f>
        <v>393.06</v>
      </c>
      <c r="H84" s="8" t="str">
        <f>[84]Source!DE232</f>
        <v/>
      </c>
      <c r="I84" s="2">
        <f>[84]Source!AV233</f>
        <v>1.0669999999999999</v>
      </c>
      <c r="J84" s="25">
        <f>[84]Source!Q232-J93</f>
        <v>2726.07</v>
      </c>
      <c r="K84" s="2">
        <f>IF([84]Source!BB233&lt;&gt; 0, [84]Source!BB233, 1)</f>
        <v>8.3800000000000008</v>
      </c>
      <c r="L84" s="25">
        <f>[84]Source!Q233-L93</f>
        <v>22844.36</v>
      </c>
    </row>
    <row r="85" spans="1:31" ht="14.25" x14ac:dyDescent="0.2">
      <c r="A85" s="4"/>
      <c r="B85" s="4"/>
      <c r="C85" s="5"/>
      <c r="D85" s="5" t="s">
        <v>22</v>
      </c>
      <c r="E85" s="6"/>
      <c r="F85" s="2"/>
      <c r="G85" s="7">
        <f>[84]Source!AN232</f>
        <v>64.14</v>
      </c>
      <c r="H85" s="8" t="str">
        <f>[84]Source!DE232</f>
        <v/>
      </c>
      <c r="I85" s="2">
        <f>[84]Source!AV233</f>
        <v>1.0669999999999999</v>
      </c>
      <c r="J85" s="10">
        <f>[84]Source!R232-J94</f>
        <v>444.85</v>
      </c>
      <c r="K85" s="2">
        <f>IF([84]Source!BS233&lt;&gt; 0, [84]Source!BS233, 1)</f>
        <v>23.94</v>
      </c>
      <c r="L85" s="10">
        <f>[84]Source!R233-L94</f>
        <v>10649.6</v>
      </c>
    </row>
    <row r="86" spans="1:31" ht="14.25" x14ac:dyDescent="0.2">
      <c r="A86" s="4"/>
      <c r="B86" s="4"/>
      <c r="C86" s="5"/>
      <c r="D86" s="5" t="s">
        <v>23</v>
      </c>
      <c r="E86" s="6"/>
      <c r="F86" s="2"/>
      <c r="G86" s="7">
        <f>[84]Source!AL232</f>
        <v>5583.75</v>
      </c>
      <c r="H86" s="8" t="str">
        <f>[84]Source!DD232</f>
        <v/>
      </c>
      <c r="I86" s="2">
        <f>[84]Source!AW233</f>
        <v>1</v>
      </c>
      <c r="J86" s="25">
        <f>[84]Source!P232</f>
        <v>36294.379999999997</v>
      </c>
      <c r="K86" s="2">
        <f>IF([84]Source!BC233&lt;&gt; 0, [84]Source!BC233, 1)</f>
        <v>3.98</v>
      </c>
      <c r="L86" s="25">
        <f>[84]Source!P233</f>
        <v>144451.63</v>
      </c>
    </row>
    <row r="87" spans="1:31" ht="14.25" x14ac:dyDescent="0.2">
      <c r="A87" s="4"/>
      <c r="B87" s="4"/>
      <c r="C87" s="5"/>
      <c r="D87" s="5" t="s">
        <v>24</v>
      </c>
      <c r="E87" s="6" t="s">
        <v>25</v>
      </c>
      <c r="F87" s="2">
        <f>[84]Source!DN233</f>
        <v>125</v>
      </c>
      <c r="G87" s="7"/>
      <c r="H87" s="8"/>
      <c r="I87" s="2"/>
      <c r="J87" s="25">
        <f>SUM(Q82:Q86)</f>
        <v>29632.99</v>
      </c>
      <c r="K87" s="2">
        <f>[84]Source!BZ233</f>
        <v>100</v>
      </c>
      <c r="L87" s="25">
        <f>SUM(R82:R86)</f>
        <v>567530.98</v>
      </c>
    </row>
    <row r="88" spans="1:31" ht="14.25" x14ac:dyDescent="0.2">
      <c r="A88" s="4"/>
      <c r="B88" s="4"/>
      <c r="C88" s="5"/>
      <c r="D88" s="5" t="s">
        <v>26</v>
      </c>
      <c r="E88" s="6" t="s">
        <v>25</v>
      </c>
      <c r="F88" s="2">
        <f>[84]Source!DO233</f>
        <v>94</v>
      </c>
      <c r="G88" s="7"/>
      <c r="H88" s="8"/>
      <c r="I88" s="2"/>
      <c r="J88" s="25">
        <f>SUM(S82:S87)</f>
        <v>22284.01</v>
      </c>
      <c r="K88" s="2">
        <f>[84]Source!CA233</f>
        <v>45</v>
      </c>
      <c r="L88" s="25">
        <f>SUM(T82:T87)</f>
        <v>255388.94</v>
      </c>
    </row>
    <row r="89" spans="1:31" ht="14.25" x14ac:dyDescent="0.2">
      <c r="A89" s="4"/>
      <c r="B89" s="4"/>
      <c r="C89" s="5"/>
      <c r="D89" s="5" t="s">
        <v>27</v>
      </c>
      <c r="E89" s="6" t="s">
        <v>25</v>
      </c>
      <c r="F89" s="2">
        <f>175</f>
        <v>175</v>
      </c>
      <c r="G89" s="7"/>
      <c r="H89" s="8"/>
      <c r="I89" s="2"/>
      <c r="J89" s="25">
        <f>SUM(U82:U88)-J95</f>
        <v>778.49</v>
      </c>
      <c r="K89" s="2">
        <f>157</f>
        <v>157</v>
      </c>
      <c r="L89" s="25">
        <f>SUM(V82:V88)-L95</f>
        <v>16719.87</v>
      </c>
    </row>
    <row r="90" spans="1:31" ht="14.25" x14ac:dyDescent="0.2">
      <c r="A90" s="4"/>
      <c r="B90" s="4"/>
      <c r="C90" s="5"/>
      <c r="D90" s="5" t="s">
        <v>28</v>
      </c>
      <c r="E90" s="6" t="s">
        <v>29</v>
      </c>
      <c r="F90" s="2">
        <f>[84]Source!AQ232</f>
        <v>166</v>
      </c>
      <c r="G90" s="7"/>
      <c r="H90" s="8" t="str">
        <f>[84]Source!DI232</f>
        <v/>
      </c>
      <c r="I90" s="2">
        <f>[84]Source!AV233</f>
        <v>1.0669999999999999</v>
      </c>
      <c r="J90" s="25">
        <f>[84]Source!U232</f>
        <v>1151.29</v>
      </c>
      <c r="K90" s="2"/>
      <c r="L90" s="25"/>
    </row>
    <row r="91" spans="1:31" ht="15" x14ac:dyDescent="0.25">
      <c r="I91" s="525">
        <f>J83+J84+J86+J87+J88+J89</f>
        <v>115422.33</v>
      </c>
      <c r="J91" s="525"/>
      <c r="K91" s="525">
        <f>L83+L84+L86+L87+L88+L89</f>
        <v>1574466.76</v>
      </c>
      <c r="L91" s="525"/>
      <c r="O91" s="11">
        <f>J83+J84+J86+J87+J88+J89</f>
        <v>115422.33</v>
      </c>
      <c r="P91" s="11">
        <f>L83+L84+L86+L87+L88+L89</f>
        <v>1574466.76</v>
      </c>
    </row>
    <row r="92" spans="1:31" ht="28.5" x14ac:dyDescent="0.2">
      <c r="A92" s="12"/>
      <c r="B92" s="12"/>
      <c r="C92" s="13"/>
      <c r="D92" s="13" t="s">
        <v>30</v>
      </c>
      <c r="E92" s="6"/>
      <c r="F92" s="14"/>
      <c r="G92" s="15"/>
      <c r="H92" s="6"/>
      <c r="I92" s="14"/>
      <c r="J92" s="10"/>
      <c r="K92" s="14"/>
      <c r="L92" s="10"/>
    </row>
    <row r="93" spans="1:31" ht="14.25" x14ac:dyDescent="0.2">
      <c r="A93" s="12"/>
      <c r="B93" s="12"/>
      <c r="C93" s="13"/>
      <c r="D93" s="13" t="s">
        <v>21</v>
      </c>
      <c r="E93" s="6"/>
      <c r="F93" s="14"/>
      <c r="G93" s="15">
        <f t="shared" ref="G93:L93" si="2">G94</f>
        <v>64.14</v>
      </c>
      <c r="H93" s="16" t="str">
        <f t="shared" si="2"/>
        <v>)*(1.67-1)</v>
      </c>
      <c r="I93" s="14">
        <f t="shared" si="2"/>
        <v>1.0669999999999999</v>
      </c>
      <c r="J93" s="10">
        <f t="shared" si="2"/>
        <v>298.04000000000002</v>
      </c>
      <c r="K93" s="14">
        <f t="shared" si="2"/>
        <v>23.94</v>
      </c>
      <c r="L93" s="10">
        <f t="shared" si="2"/>
        <v>7135.19</v>
      </c>
    </row>
    <row r="94" spans="1:31" ht="14.25" x14ac:dyDescent="0.2">
      <c r="A94" s="12"/>
      <c r="B94" s="12"/>
      <c r="C94" s="13"/>
      <c r="D94" s="13" t="s">
        <v>22</v>
      </c>
      <c r="E94" s="6"/>
      <c r="F94" s="14"/>
      <c r="G94" s="15">
        <f>[84]Source!AN232</f>
        <v>64.14</v>
      </c>
      <c r="H94" s="16" t="s">
        <v>31</v>
      </c>
      <c r="I94" s="14">
        <f>[84]Source!AV233</f>
        <v>1.0669999999999999</v>
      </c>
      <c r="J94" s="10">
        <f>ROUND(F82*G94*I94*(1.67-1), 2)</f>
        <v>298.04000000000002</v>
      </c>
      <c r="K94" s="14">
        <f>IF([84]Source!BS233&lt;&gt; 0, [84]Source!BS233, 1)</f>
        <v>23.94</v>
      </c>
      <c r="L94" s="10">
        <f>ROUND(F82*G94*I94*(1.67-1)*K94, 2)</f>
        <v>7135.19</v>
      </c>
    </row>
    <row r="95" spans="1:31" ht="14.25" x14ac:dyDescent="0.2">
      <c r="A95" s="12"/>
      <c r="B95" s="12"/>
      <c r="C95" s="13"/>
      <c r="D95" s="13" t="s">
        <v>27</v>
      </c>
      <c r="E95" s="6" t="s">
        <v>25</v>
      </c>
      <c r="F95" s="14">
        <f>175</f>
        <v>175</v>
      </c>
      <c r="G95" s="15"/>
      <c r="H95" s="6"/>
      <c r="I95" s="14"/>
      <c r="J95" s="10">
        <f>ROUND(J94*(F95/100), 2)</f>
        <v>521.57000000000005</v>
      </c>
      <c r="K95" s="14">
        <f>157</f>
        <v>157</v>
      </c>
      <c r="L95" s="10">
        <f>ROUND(L94*(K95/100), 2)</f>
        <v>11202.25</v>
      </c>
    </row>
    <row r="96" spans="1:31" ht="15" x14ac:dyDescent="0.25">
      <c r="I96" s="525">
        <f>J95+J94</f>
        <v>819.61</v>
      </c>
      <c r="J96" s="525"/>
      <c r="K96" s="525">
        <f>L95+L94</f>
        <v>18337.439999999999</v>
      </c>
      <c r="L96" s="525"/>
      <c r="O96" s="11">
        <f>I96</f>
        <v>819.61</v>
      </c>
      <c r="P96" s="11">
        <f>K96</f>
        <v>18337.439999999999</v>
      </c>
    </row>
    <row r="98" spans="1:22" ht="15" x14ac:dyDescent="0.25">
      <c r="A98" s="37"/>
      <c r="B98" s="37"/>
      <c r="C98" s="38"/>
      <c r="D98" s="38" t="s">
        <v>32</v>
      </c>
      <c r="E98" s="39"/>
      <c r="F98" s="40"/>
      <c r="G98" s="41"/>
      <c r="H98" s="42"/>
      <c r="I98" s="524">
        <f>I91+I96</f>
        <v>116241.94</v>
      </c>
      <c r="J98" s="524"/>
      <c r="K98" s="524">
        <f>K91+K96</f>
        <v>1592804.2</v>
      </c>
      <c r="L98" s="524"/>
    </row>
    <row r="99" spans="1:22" ht="71.25" x14ac:dyDescent="0.2">
      <c r="A99" s="4">
        <v>15</v>
      </c>
      <c r="B99" s="4" t="str">
        <f>[84]Source!E234</f>
        <v>81</v>
      </c>
      <c r="C99" s="5" t="str">
        <f>[84]Source!F234</f>
        <v>1.12-6-206</v>
      </c>
      <c r="D99" s="5" t="s">
        <v>173</v>
      </c>
      <c r="E99" s="6" t="str">
        <f>[84]Source!H234</f>
        <v>м</v>
      </c>
      <c r="F99" s="2">
        <f>[84]Source!I234</f>
        <v>650</v>
      </c>
      <c r="G99" s="7">
        <f>[84]Source!AL234</f>
        <v>139.91</v>
      </c>
      <c r="H99" s="8" t="str">
        <f>[84]Source!DD234</f>
        <v/>
      </c>
      <c r="I99" s="2">
        <f>[84]Source!AW235</f>
        <v>1</v>
      </c>
      <c r="J99" s="25">
        <f>[84]Source!P234</f>
        <v>90941.5</v>
      </c>
      <c r="K99" s="2">
        <f>IF([84]Source!BC235&lt;&gt; 0, [84]Source!BC235, 1)</f>
        <v>8.1199999999999992</v>
      </c>
      <c r="L99" s="25">
        <f>[84]Source!P235</f>
        <v>738444.98</v>
      </c>
      <c r="Q99">
        <f>[84]Source!X234</f>
        <v>0</v>
      </c>
      <c r="R99">
        <f>[84]Source!X235</f>
        <v>0</v>
      </c>
      <c r="S99">
        <f>[84]Source!Y234</f>
        <v>0</v>
      </c>
      <c r="T99">
        <f>[84]Source!Y235</f>
        <v>0</v>
      </c>
      <c r="U99">
        <f>ROUND((175/100)*ROUND([84]Source!R234, 2), 2)</f>
        <v>0</v>
      </c>
      <c r="V99">
        <f>ROUND((157/100)*ROUND([84]Source!R235, 2), 2)</f>
        <v>0</v>
      </c>
    </row>
    <row r="100" spans="1:22" ht="15" x14ac:dyDescent="0.25">
      <c r="A100" s="35"/>
      <c r="B100" s="35"/>
      <c r="C100" s="35"/>
      <c r="D100" s="35"/>
      <c r="E100" s="35"/>
      <c r="F100" s="35"/>
      <c r="G100" s="35"/>
      <c r="H100" s="35"/>
      <c r="I100" s="524">
        <f>J99</f>
        <v>90941.5</v>
      </c>
      <c r="J100" s="524"/>
      <c r="K100" s="524">
        <f>L99</f>
        <v>738444.98</v>
      </c>
      <c r="L100" s="524"/>
      <c r="O100" s="11">
        <f>J99</f>
        <v>90941.5</v>
      </c>
      <c r="P100" s="11">
        <f>L99</f>
        <v>738444.98</v>
      </c>
    </row>
    <row r="101" spans="1:22" ht="42.75" x14ac:dyDescent="0.2">
      <c r="A101" s="4">
        <v>16</v>
      </c>
      <c r="B101" s="4" t="str">
        <f>[84]Source!E238</f>
        <v>83</v>
      </c>
      <c r="C101" s="5" t="str">
        <f>[84]Source!F238</f>
        <v>3.13-11-3</v>
      </c>
      <c r="D101" s="5" t="s">
        <v>158</v>
      </c>
      <c r="E101" s="6" t="str">
        <f>[84]Source!H238</f>
        <v>100 м2</v>
      </c>
      <c r="F101" s="2">
        <f>[84]Source!I238</f>
        <v>0.86960000000000004</v>
      </c>
      <c r="G101" s="7"/>
      <c r="H101" s="8"/>
      <c r="I101" s="2"/>
      <c r="J101" s="25"/>
      <c r="K101" s="2"/>
      <c r="L101" s="25"/>
      <c r="Q101">
        <f>[84]Source!X238</f>
        <v>47.11</v>
      </c>
      <c r="R101">
        <f>[84]Source!X239</f>
        <v>913.06</v>
      </c>
      <c r="S101">
        <f>[84]Source!Y238</f>
        <v>34.549999999999997</v>
      </c>
      <c r="T101">
        <f>[84]Source!Y239</f>
        <v>440.42</v>
      </c>
      <c r="U101">
        <f>ROUND((175/100)*ROUND([84]Source!R238, 2), 2)</f>
        <v>3.75</v>
      </c>
      <c r="V101">
        <f>ROUND((157/100)*ROUND([84]Source!R239, 2), 2)</f>
        <v>80.430000000000007</v>
      </c>
    </row>
    <row r="102" spans="1:22" ht="14.25" x14ac:dyDescent="0.2">
      <c r="A102" s="4"/>
      <c r="B102" s="4"/>
      <c r="C102" s="5"/>
      <c r="D102" s="5" t="s">
        <v>20</v>
      </c>
      <c r="E102" s="6"/>
      <c r="F102" s="2"/>
      <c r="G102" s="7">
        <f>[84]Source!AO238</f>
        <v>29.51</v>
      </c>
      <c r="H102" s="8" t="str">
        <f>[84]Source!DG238</f>
        <v>*1,67</v>
      </c>
      <c r="I102" s="2">
        <f>[84]Source!AV239</f>
        <v>1.0469999999999999</v>
      </c>
      <c r="J102" s="25">
        <f>[84]Source!S238</f>
        <v>44.87</v>
      </c>
      <c r="K102" s="2">
        <f>IF([84]Source!BA239&lt;&gt; 0, [84]Source!BA239, 1)</f>
        <v>23.94</v>
      </c>
      <c r="L102" s="25">
        <f>[84]Source!S239</f>
        <v>1074.19</v>
      </c>
    </row>
    <row r="103" spans="1:22" ht="14.25" x14ac:dyDescent="0.2">
      <c r="A103" s="4"/>
      <c r="B103" s="4"/>
      <c r="C103" s="5"/>
      <c r="D103" s="5" t="s">
        <v>21</v>
      </c>
      <c r="E103" s="6"/>
      <c r="F103" s="2"/>
      <c r="G103" s="7">
        <f>[84]Source!AM238</f>
        <v>13.49</v>
      </c>
      <c r="H103" s="8" t="str">
        <f>[84]Source!DE238</f>
        <v/>
      </c>
      <c r="I103" s="2">
        <f>[84]Source!AV239</f>
        <v>1.0469999999999999</v>
      </c>
      <c r="J103" s="25">
        <f>[84]Source!Q238-J113</f>
        <v>12.28</v>
      </c>
      <c r="K103" s="2">
        <f>IF([84]Source!BB239&lt;&gt; 0, [84]Source!BB239, 1)</f>
        <v>6.41</v>
      </c>
      <c r="L103" s="25">
        <f>[84]Source!Q239-L113</f>
        <v>78.709999999999994</v>
      </c>
    </row>
    <row r="104" spans="1:22" ht="14.25" x14ac:dyDescent="0.2">
      <c r="A104" s="4"/>
      <c r="B104" s="4"/>
      <c r="C104" s="5"/>
      <c r="D104" s="5" t="s">
        <v>22</v>
      </c>
      <c r="E104" s="6"/>
      <c r="F104" s="2"/>
      <c r="G104" s="7">
        <f>[84]Source!AN238</f>
        <v>1.41</v>
      </c>
      <c r="H104" s="8" t="str">
        <f>[84]Source!DE238</f>
        <v/>
      </c>
      <c r="I104" s="2">
        <f>[84]Source!AV239</f>
        <v>1.0469999999999999</v>
      </c>
      <c r="J104" s="10">
        <f>[84]Source!R238-J114</f>
        <v>1.28</v>
      </c>
      <c r="K104" s="2">
        <f>IF([84]Source!BS239&lt;&gt; 0, [84]Source!BS239, 1)</f>
        <v>23.94</v>
      </c>
      <c r="L104" s="10">
        <f>[84]Source!R239-L114</f>
        <v>30.64</v>
      </c>
    </row>
    <row r="105" spans="1:22" ht="14.25" x14ac:dyDescent="0.2">
      <c r="A105" s="4"/>
      <c r="B105" s="4"/>
      <c r="C105" s="5"/>
      <c r="D105" s="5" t="s">
        <v>23</v>
      </c>
      <c r="E105" s="6"/>
      <c r="F105" s="2"/>
      <c r="G105" s="7">
        <f>[84]Source!AL238</f>
        <v>103.14</v>
      </c>
      <c r="H105" s="8" t="str">
        <f>[84]Source!DD238</f>
        <v/>
      </c>
      <c r="I105" s="2">
        <f>[84]Source!AW239</f>
        <v>1</v>
      </c>
      <c r="J105" s="25">
        <f>[84]Source!P238</f>
        <v>89.69</v>
      </c>
      <c r="K105" s="2">
        <f>IF([84]Source!BC239&lt;&gt; 0, [84]Source!BC239, 1)</f>
        <v>8.58</v>
      </c>
      <c r="L105" s="25">
        <f>[84]Source!P239</f>
        <v>769.54</v>
      </c>
    </row>
    <row r="106" spans="1:22" ht="14.25" x14ac:dyDescent="0.2">
      <c r="A106" s="4">
        <v>17</v>
      </c>
      <c r="B106" s="4" t="str">
        <f>[84]Source!E240</f>
        <v>83,1</v>
      </c>
      <c r="C106" s="5" t="str">
        <f>[84]Source!F240</f>
        <v>1.1-1-492</v>
      </c>
      <c r="D106" s="5" t="s">
        <v>174</v>
      </c>
      <c r="E106" s="6" t="str">
        <f>[84]Source!H240</f>
        <v>т</v>
      </c>
      <c r="F106" s="2">
        <f>[84]Source!I240</f>
        <v>2.0001000000000001E-2</v>
      </c>
      <c r="G106" s="7">
        <f>[84]Source!AK240</f>
        <v>11242.42</v>
      </c>
      <c r="H106" s="36" t="s">
        <v>90</v>
      </c>
      <c r="I106" s="2">
        <f>[84]Source!AW241</f>
        <v>1</v>
      </c>
      <c r="J106" s="25">
        <f>[84]Source!O240</f>
        <v>224.86</v>
      </c>
      <c r="K106" s="2">
        <f>IF([84]Source!BC241&lt;&gt; 0, [84]Source!BC241, 1)</f>
        <v>8.41</v>
      </c>
      <c r="L106" s="25">
        <f>[84]Source!O241</f>
        <v>1891.07</v>
      </c>
      <c r="Q106">
        <f>[84]Source!X240</f>
        <v>0</v>
      </c>
      <c r="R106">
        <f>[84]Source!X241</f>
        <v>0</v>
      </c>
      <c r="S106">
        <f>[84]Source!Y240</f>
        <v>0</v>
      </c>
      <c r="T106">
        <f>[84]Source!Y241</f>
        <v>0</v>
      </c>
      <c r="U106">
        <f>ROUND((175/100)*ROUND([84]Source!R240, 2), 2)</f>
        <v>0</v>
      </c>
      <c r="V106">
        <f>ROUND((157/100)*ROUND([84]Source!R241, 2), 2)</f>
        <v>0</v>
      </c>
    </row>
    <row r="107" spans="1:22" ht="14.25" x14ac:dyDescent="0.2">
      <c r="A107" s="4"/>
      <c r="B107" s="4"/>
      <c r="C107" s="5"/>
      <c r="D107" s="5" t="s">
        <v>24</v>
      </c>
      <c r="E107" s="6" t="s">
        <v>25</v>
      </c>
      <c r="F107" s="2">
        <f>[84]Source!DN239</f>
        <v>105</v>
      </c>
      <c r="G107" s="7"/>
      <c r="H107" s="8"/>
      <c r="I107" s="2"/>
      <c r="J107" s="25">
        <f>SUM(Q101:Q106)</f>
        <v>47.11</v>
      </c>
      <c r="K107" s="2">
        <f>[84]Source!BZ239</f>
        <v>85</v>
      </c>
      <c r="L107" s="25">
        <f>SUM(R101:R106)</f>
        <v>913.06</v>
      </c>
    </row>
    <row r="108" spans="1:22" ht="14.25" x14ac:dyDescent="0.2">
      <c r="A108" s="4"/>
      <c r="B108" s="4"/>
      <c r="C108" s="5"/>
      <c r="D108" s="5" t="s">
        <v>26</v>
      </c>
      <c r="E108" s="6" t="s">
        <v>25</v>
      </c>
      <c r="F108" s="2">
        <f>[84]Source!DO239</f>
        <v>77</v>
      </c>
      <c r="G108" s="7"/>
      <c r="H108" s="8"/>
      <c r="I108" s="2"/>
      <c r="J108" s="25">
        <f>SUM(S101:S107)</f>
        <v>34.549999999999997</v>
      </c>
      <c r="K108" s="2">
        <f>[84]Source!CA239</f>
        <v>41</v>
      </c>
      <c r="L108" s="25">
        <f>SUM(T101:T107)</f>
        <v>440.42</v>
      </c>
    </row>
    <row r="109" spans="1:22" ht="14.25" x14ac:dyDescent="0.2">
      <c r="A109" s="4"/>
      <c r="B109" s="4"/>
      <c r="C109" s="5"/>
      <c r="D109" s="5" t="s">
        <v>27</v>
      </c>
      <c r="E109" s="6" t="s">
        <v>25</v>
      </c>
      <c r="F109" s="2">
        <f>175</f>
        <v>175</v>
      </c>
      <c r="G109" s="7"/>
      <c r="H109" s="8"/>
      <c r="I109" s="2"/>
      <c r="J109" s="25">
        <f>SUM(U101:U108)-J115</f>
        <v>2.2400000000000002</v>
      </c>
      <c r="K109" s="2">
        <f>157</f>
        <v>157</v>
      </c>
      <c r="L109" s="25">
        <f>SUM(V101:V108)-L115</f>
        <v>48.1</v>
      </c>
    </row>
    <row r="110" spans="1:22" ht="14.25" x14ac:dyDescent="0.2">
      <c r="A110" s="4"/>
      <c r="B110" s="4"/>
      <c r="C110" s="5"/>
      <c r="D110" s="5" t="s">
        <v>28</v>
      </c>
      <c r="E110" s="6" t="s">
        <v>29</v>
      </c>
      <c r="F110" s="2">
        <f>[84]Source!AQ238</f>
        <v>2.48</v>
      </c>
      <c r="G110" s="7"/>
      <c r="H110" s="8" t="str">
        <f>[84]Source!DI238</f>
        <v/>
      </c>
      <c r="I110" s="2">
        <f>[84]Source!AV239</f>
        <v>1.0469999999999999</v>
      </c>
      <c r="J110" s="25">
        <f>[84]Source!U238</f>
        <v>2.2599999999999998</v>
      </c>
      <c r="K110" s="2"/>
      <c r="L110" s="25"/>
    </row>
    <row r="111" spans="1:22" ht="15" x14ac:dyDescent="0.25">
      <c r="I111" s="525">
        <f>J102+J103+J105+J107+J108+J109+SUM(J106:J106)</f>
        <v>455.6</v>
      </c>
      <c r="J111" s="525"/>
      <c r="K111" s="525">
        <f>L102+L103+L105+L107+L108+L109+SUM(L106:L106)</f>
        <v>5215.09</v>
      </c>
      <c r="L111" s="525"/>
      <c r="O111" s="11">
        <f>J102+J103+J105+J107+J108+J109+SUM(J106:J106)</f>
        <v>455.6</v>
      </c>
      <c r="P111" s="11">
        <f>L102+L103+L105+L107+L108+L109+SUM(L106:L106)</f>
        <v>5215.09</v>
      </c>
    </row>
    <row r="112" spans="1:22" ht="28.5" x14ac:dyDescent="0.2">
      <c r="A112" s="12"/>
      <c r="B112" s="12"/>
      <c r="C112" s="13"/>
      <c r="D112" s="13" t="s">
        <v>30</v>
      </c>
      <c r="E112" s="6"/>
      <c r="F112" s="14"/>
      <c r="G112" s="15"/>
      <c r="H112" s="6"/>
      <c r="I112" s="14"/>
      <c r="J112" s="10"/>
      <c r="K112" s="14"/>
      <c r="L112" s="10"/>
    </row>
    <row r="113" spans="1:22" ht="14.25" x14ac:dyDescent="0.2">
      <c r="A113" s="12"/>
      <c r="B113" s="12"/>
      <c r="C113" s="13"/>
      <c r="D113" s="13" t="s">
        <v>21</v>
      </c>
      <c r="E113" s="6"/>
      <c r="F113" s="14"/>
      <c r="G113" s="15">
        <f t="shared" ref="G113:L113" si="3">G114</f>
        <v>1.41</v>
      </c>
      <c r="H113" s="16" t="str">
        <f t="shared" si="3"/>
        <v>)*(1.67-1)</v>
      </c>
      <c r="I113" s="14">
        <f t="shared" si="3"/>
        <v>1.0469999999999999</v>
      </c>
      <c r="J113" s="10">
        <f t="shared" si="3"/>
        <v>0.86</v>
      </c>
      <c r="K113" s="14">
        <f t="shared" si="3"/>
        <v>23.94</v>
      </c>
      <c r="L113" s="10">
        <f t="shared" si="3"/>
        <v>20.59</v>
      </c>
    </row>
    <row r="114" spans="1:22" ht="14.25" x14ac:dyDescent="0.2">
      <c r="A114" s="12"/>
      <c r="B114" s="12"/>
      <c r="C114" s="13"/>
      <c r="D114" s="13" t="s">
        <v>22</v>
      </c>
      <c r="E114" s="6"/>
      <c r="F114" s="14"/>
      <c r="G114" s="15">
        <f>[84]Source!AN238</f>
        <v>1.41</v>
      </c>
      <c r="H114" s="16" t="s">
        <v>31</v>
      </c>
      <c r="I114" s="14">
        <f>[84]Source!AV239</f>
        <v>1.0469999999999999</v>
      </c>
      <c r="J114" s="10">
        <f>ROUND(F101*G114*I114*(1.67-1), 2)</f>
        <v>0.86</v>
      </c>
      <c r="K114" s="14">
        <f>IF([84]Source!BS239&lt;&gt; 0, [84]Source!BS239, 1)</f>
        <v>23.94</v>
      </c>
      <c r="L114" s="10">
        <f>ROUND(F101*G114*I114*(1.67-1)*K114, 2)</f>
        <v>20.59</v>
      </c>
    </row>
    <row r="115" spans="1:22" ht="14.25" x14ac:dyDescent="0.2">
      <c r="A115" s="12"/>
      <c r="B115" s="12"/>
      <c r="C115" s="13"/>
      <c r="D115" s="13" t="s">
        <v>27</v>
      </c>
      <c r="E115" s="6" t="s">
        <v>25</v>
      </c>
      <c r="F115" s="14">
        <f>175</f>
        <v>175</v>
      </c>
      <c r="G115" s="15"/>
      <c r="H115" s="6"/>
      <c r="I115" s="14"/>
      <c r="J115" s="10">
        <f>ROUND(J114*(F115/100), 2)</f>
        <v>1.51</v>
      </c>
      <c r="K115" s="14">
        <f>157</f>
        <v>157</v>
      </c>
      <c r="L115" s="10">
        <f>ROUND(L114*(K115/100), 2)</f>
        <v>32.33</v>
      </c>
    </row>
    <row r="116" spans="1:22" ht="15" x14ac:dyDescent="0.25">
      <c r="I116" s="525">
        <f>J115+J114</f>
        <v>2.37</v>
      </c>
      <c r="J116" s="525"/>
      <c r="K116" s="525">
        <f>L115+L114</f>
        <v>52.92</v>
      </c>
      <c r="L116" s="525"/>
      <c r="O116" s="11">
        <f>I116</f>
        <v>2.37</v>
      </c>
      <c r="P116" s="11">
        <f>K116</f>
        <v>52.92</v>
      </c>
    </row>
    <row r="118" spans="1:22" ht="15" x14ac:dyDescent="0.25">
      <c r="A118" s="37"/>
      <c r="B118" s="37"/>
      <c r="C118" s="38"/>
      <c r="D118" s="38" t="s">
        <v>32</v>
      </c>
      <c r="E118" s="39"/>
      <c r="F118" s="40"/>
      <c r="G118" s="41"/>
      <c r="H118" s="42"/>
      <c r="I118" s="524">
        <f>I111+I116</f>
        <v>457.97</v>
      </c>
      <c r="J118" s="524"/>
      <c r="K118" s="524">
        <f>K111+K116</f>
        <v>5268.01</v>
      </c>
      <c r="L118" s="524"/>
    </row>
    <row r="119" spans="1:22" ht="57" x14ac:dyDescent="0.2">
      <c r="A119" s="4">
        <v>18</v>
      </c>
      <c r="B119" s="4" t="str">
        <f>[84]Source!E244</f>
        <v>88</v>
      </c>
      <c r="C119" s="5" t="str">
        <f>[84]Source!F244</f>
        <v>1.6-1-269</v>
      </c>
      <c r="D119" s="5" t="s">
        <v>116</v>
      </c>
      <c r="E119" s="6" t="str">
        <f>[84]Source!H244</f>
        <v>т</v>
      </c>
      <c r="F119" s="2">
        <f>[84]Source!I244</f>
        <v>0.90905999999999998</v>
      </c>
      <c r="G119" s="7">
        <f>[84]Source!AL244</f>
        <v>12416.1</v>
      </c>
      <c r="H119" s="8" t="str">
        <f>[84]Source!DD244</f>
        <v/>
      </c>
      <c r="I119" s="2">
        <f>[84]Source!AW245</f>
        <v>1</v>
      </c>
      <c r="J119" s="25">
        <f>[84]Source!P244</f>
        <v>11286.98</v>
      </c>
      <c r="K119" s="2">
        <f>IF([84]Source!BC245&lt;&gt; 0, [84]Source!BC245, 1)</f>
        <v>6.7</v>
      </c>
      <c r="L119" s="25">
        <f>[84]Source!P245</f>
        <v>75622.77</v>
      </c>
      <c r="Q119">
        <f>[84]Source!X244</f>
        <v>0</v>
      </c>
      <c r="R119">
        <f>[84]Source!X245</f>
        <v>0</v>
      </c>
      <c r="S119">
        <f>[84]Source!Y244</f>
        <v>0</v>
      </c>
      <c r="T119">
        <f>[84]Source!Y245</f>
        <v>0</v>
      </c>
      <c r="U119">
        <f>ROUND((175/100)*ROUND([84]Source!R244, 2), 2)</f>
        <v>0</v>
      </c>
      <c r="V119">
        <f>ROUND((157/100)*ROUND([84]Source!R245, 2), 2)</f>
        <v>0</v>
      </c>
    </row>
    <row r="120" spans="1:22" ht="15" x14ac:dyDescent="0.25">
      <c r="A120" s="35"/>
      <c r="B120" s="35"/>
      <c r="C120" s="35"/>
      <c r="D120" s="35"/>
      <c r="E120" s="35"/>
      <c r="F120" s="35"/>
      <c r="G120" s="35"/>
      <c r="H120" s="35"/>
      <c r="I120" s="524">
        <f>J119</f>
        <v>11286.98</v>
      </c>
      <c r="J120" s="524"/>
      <c r="K120" s="524">
        <f>L119</f>
        <v>75622.77</v>
      </c>
      <c r="L120" s="524"/>
      <c r="O120" s="11">
        <f>J119</f>
        <v>11286.98</v>
      </c>
      <c r="P120" s="11">
        <f>L119</f>
        <v>75622.77</v>
      </c>
    </row>
    <row r="121" spans="1:22" ht="14.25" x14ac:dyDescent="0.2">
      <c r="A121" s="4">
        <v>19</v>
      </c>
      <c r="B121" s="4" t="str">
        <f>[84]Source!E246</f>
        <v>89</v>
      </c>
      <c r="C121" s="5" t="str">
        <f>[84]Source!F246</f>
        <v>1.1-1-1002</v>
      </c>
      <c r="D121" s="5" t="s">
        <v>117</v>
      </c>
      <c r="E121" s="6" t="str">
        <f>[84]Source!H246</f>
        <v>кг</v>
      </c>
      <c r="F121" s="2">
        <f>[84]Source!I246</f>
        <v>56.32</v>
      </c>
      <c r="G121" s="7">
        <f>[84]Source!AL246</f>
        <v>20.89</v>
      </c>
      <c r="H121" s="8" t="str">
        <f>[84]Source!DD246</f>
        <v/>
      </c>
      <c r="I121" s="2">
        <f>[84]Source!AW247</f>
        <v>1</v>
      </c>
      <c r="J121" s="25">
        <f>[84]Source!P246</f>
        <v>1176.52</v>
      </c>
      <c r="K121" s="2">
        <f>IF([84]Source!BC247&lt;&gt; 0, [84]Source!BC247, 1)</f>
        <v>12.53</v>
      </c>
      <c r="L121" s="25">
        <f>[84]Source!P247</f>
        <v>14741.8</v>
      </c>
      <c r="Q121">
        <f>[84]Source!X246</f>
        <v>0</v>
      </c>
      <c r="R121">
        <f>[84]Source!X247</f>
        <v>0</v>
      </c>
      <c r="S121">
        <f>[84]Source!Y246</f>
        <v>0</v>
      </c>
      <c r="T121">
        <f>[84]Source!Y247</f>
        <v>0</v>
      </c>
      <c r="U121">
        <f>ROUND((175/100)*ROUND([84]Source!R246, 2), 2)</f>
        <v>0</v>
      </c>
      <c r="V121">
        <f>ROUND((157/100)*ROUND([84]Source!R247, 2), 2)</f>
        <v>0</v>
      </c>
    </row>
    <row r="122" spans="1:22" ht="15" x14ac:dyDescent="0.25">
      <c r="A122" s="35"/>
      <c r="B122" s="35"/>
      <c r="C122" s="35"/>
      <c r="D122" s="35"/>
      <c r="E122" s="35"/>
      <c r="F122" s="35"/>
      <c r="G122" s="35"/>
      <c r="H122" s="35"/>
      <c r="I122" s="524">
        <f>J121</f>
        <v>1176.52</v>
      </c>
      <c r="J122" s="524"/>
      <c r="K122" s="524">
        <f>L121</f>
        <v>14741.8</v>
      </c>
      <c r="L122" s="524"/>
      <c r="O122" s="11">
        <f>J121</f>
        <v>1176.52</v>
      </c>
      <c r="P122" s="11">
        <f>L121</f>
        <v>14741.8</v>
      </c>
    </row>
    <row r="123" spans="1:22" ht="28.5" x14ac:dyDescent="0.2">
      <c r="A123" s="4">
        <v>20</v>
      </c>
      <c r="B123" s="4" t="str">
        <f>[84]Source!E248</f>
        <v>90</v>
      </c>
      <c r="C123" s="5" t="str">
        <f>[84]Source!F248</f>
        <v>1.1-1-3732</v>
      </c>
      <c r="D123" s="5" t="s">
        <v>118</v>
      </c>
      <c r="E123" s="6" t="str">
        <f>[84]Source!H248</f>
        <v>100 шт.</v>
      </c>
      <c r="F123" s="2">
        <f>[84]Source!I248</f>
        <v>9.7200000000000006</v>
      </c>
      <c r="G123" s="7">
        <f>[84]Source!AL248</f>
        <v>679.91</v>
      </c>
      <c r="H123" s="8" t="str">
        <f>[84]Source!DD248</f>
        <v/>
      </c>
      <c r="I123" s="2">
        <f>[84]Source!AW249</f>
        <v>1</v>
      </c>
      <c r="J123" s="25">
        <f>[84]Source!P248</f>
        <v>6608.73</v>
      </c>
      <c r="K123" s="2">
        <f>IF([84]Source!BC249&lt;&gt; 0, [84]Source!BC249, 1)</f>
        <v>1.21</v>
      </c>
      <c r="L123" s="25">
        <f>[84]Source!P249</f>
        <v>7996.56</v>
      </c>
      <c r="Q123">
        <f>[84]Source!X248</f>
        <v>0</v>
      </c>
      <c r="R123">
        <f>[84]Source!X249</f>
        <v>0</v>
      </c>
      <c r="S123">
        <f>[84]Source!Y248</f>
        <v>0</v>
      </c>
      <c r="T123">
        <f>[84]Source!Y249</f>
        <v>0</v>
      </c>
      <c r="U123">
        <f>ROUND((175/100)*ROUND([84]Source!R248, 2), 2)</f>
        <v>0</v>
      </c>
      <c r="V123">
        <f>ROUND((157/100)*ROUND([84]Source!R249, 2), 2)</f>
        <v>0</v>
      </c>
    </row>
    <row r="124" spans="1:22" ht="15" x14ac:dyDescent="0.25">
      <c r="A124" s="35"/>
      <c r="B124" s="35"/>
      <c r="C124" s="35"/>
      <c r="D124" s="35"/>
      <c r="E124" s="35"/>
      <c r="F124" s="35"/>
      <c r="G124" s="35"/>
      <c r="H124" s="35"/>
      <c r="I124" s="524">
        <f>J123</f>
        <v>6608.73</v>
      </c>
      <c r="J124" s="524"/>
      <c r="K124" s="524">
        <f>L123</f>
        <v>7996.56</v>
      </c>
      <c r="L124" s="524"/>
      <c r="O124" s="11">
        <f>J123</f>
        <v>6608.73</v>
      </c>
      <c r="P124" s="11">
        <f>L123</f>
        <v>7996.56</v>
      </c>
    </row>
    <row r="125" spans="1:22" ht="28.5" x14ac:dyDescent="0.2">
      <c r="A125" s="4">
        <v>21</v>
      </c>
      <c r="B125" s="4" t="str">
        <f>[84]Source!E250</f>
        <v>91</v>
      </c>
      <c r="C125" s="5" t="str">
        <f>[84]Source!F250</f>
        <v>1.1-1-3733</v>
      </c>
      <c r="D125" s="5" t="s">
        <v>119</v>
      </c>
      <c r="E125" s="6" t="str">
        <f>[84]Source!H250</f>
        <v>100 шт.</v>
      </c>
      <c r="F125" s="2">
        <f>[84]Source!I250</f>
        <v>6.48</v>
      </c>
      <c r="G125" s="7">
        <f>[84]Source!AL250</f>
        <v>98.74</v>
      </c>
      <c r="H125" s="8" t="str">
        <f>[84]Source!DD250</f>
        <v/>
      </c>
      <c r="I125" s="2">
        <f>[84]Source!AW251</f>
        <v>1</v>
      </c>
      <c r="J125" s="25">
        <f>[84]Source!P250</f>
        <v>639.84</v>
      </c>
      <c r="K125" s="2">
        <f>IF([84]Source!BC251&lt;&gt; 0, [84]Source!BC251, 1)</f>
        <v>1.95</v>
      </c>
      <c r="L125" s="25">
        <f>[84]Source!P251</f>
        <v>1247.69</v>
      </c>
      <c r="Q125">
        <f>[84]Source!X250</f>
        <v>0</v>
      </c>
      <c r="R125">
        <f>[84]Source!X251</f>
        <v>0</v>
      </c>
      <c r="S125">
        <f>[84]Source!Y250</f>
        <v>0</v>
      </c>
      <c r="T125">
        <f>[84]Source!Y251</f>
        <v>0</v>
      </c>
      <c r="U125">
        <f>ROUND((175/100)*ROUND([84]Source!R250, 2), 2)</f>
        <v>0</v>
      </c>
      <c r="V125">
        <f>ROUND((157/100)*ROUND([84]Source!R251, 2), 2)</f>
        <v>0</v>
      </c>
    </row>
    <row r="126" spans="1:22" ht="15" x14ac:dyDescent="0.25">
      <c r="A126" s="35"/>
      <c r="B126" s="35"/>
      <c r="C126" s="35"/>
      <c r="D126" s="35"/>
      <c r="E126" s="35"/>
      <c r="F126" s="35"/>
      <c r="G126" s="35"/>
      <c r="H126" s="35"/>
      <c r="I126" s="524">
        <f>J125</f>
        <v>639.84</v>
      </c>
      <c r="J126" s="524"/>
      <c r="K126" s="524">
        <f>L125</f>
        <v>1247.69</v>
      </c>
      <c r="L126" s="524"/>
      <c r="O126" s="11">
        <f>J125</f>
        <v>639.84</v>
      </c>
      <c r="P126" s="11">
        <f>L125</f>
        <v>1247.69</v>
      </c>
    </row>
    <row r="127" spans="1:22" ht="99.75" x14ac:dyDescent="0.2">
      <c r="A127" s="4">
        <v>22</v>
      </c>
      <c r="B127" s="4" t="str">
        <f>[84]Source!E252</f>
        <v>92</v>
      </c>
      <c r="C127" s="5" t="str">
        <f>[84]Source!F252</f>
        <v>1.7-5-237</v>
      </c>
      <c r="D127" s="5" t="s">
        <v>172</v>
      </c>
      <c r="E127" s="6" t="str">
        <f>[84]Source!H252</f>
        <v>шт.</v>
      </c>
      <c r="F127" s="2">
        <f>[84]Source!I252</f>
        <v>324</v>
      </c>
      <c r="G127" s="7">
        <f>[84]Source!AL252</f>
        <v>69.040000000000006</v>
      </c>
      <c r="H127" s="8" t="str">
        <f>[84]Source!DD252</f>
        <v/>
      </c>
      <c r="I127" s="2">
        <f>[84]Source!AW253</f>
        <v>1</v>
      </c>
      <c r="J127" s="25">
        <f>[84]Source!P252</f>
        <v>22368.959999999999</v>
      </c>
      <c r="K127" s="2">
        <f>IF([84]Source!BC253&lt;&gt; 0, [84]Source!BC253, 1)</f>
        <v>3.98</v>
      </c>
      <c r="L127" s="25">
        <f>[84]Source!P253</f>
        <v>89028.46</v>
      </c>
      <c r="Q127">
        <f>[84]Source!X252</f>
        <v>0</v>
      </c>
      <c r="R127">
        <f>[84]Source!X253</f>
        <v>0</v>
      </c>
      <c r="S127">
        <f>[84]Source!Y252</f>
        <v>0</v>
      </c>
      <c r="T127">
        <f>[84]Source!Y253</f>
        <v>0</v>
      </c>
      <c r="U127">
        <f>ROUND((175/100)*ROUND([84]Source!R252, 2), 2)</f>
        <v>0</v>
      </c>
      <c r="V127">
        <f>ROUND((157/100)*ROUND([84]Source!R253, 2), 2)</f>
        <v>0</v>
      </c>
    </row>
    <row r="128" spans="1:22" ht="15" x14ac:dyDescent="0.25">
      <c r="A128" s="35"/>
      <c r="B128" s="35"/>
      <c r="C128" s="35"/>
      <c r="D128" s="35"/>
      <c r="E128" s="35"/>
      <c r="F128" s="35"/>
      <c r="G128" s="35"/>
      <c r="H128" s="35"/>
      <c r="I128" s="524">
        <f>J127</f>
        <v>22368.959999999999</v>
      </c>
      <c r="J128" s="524"/>
      <c r="K128" s="524">
        <f>L127</f>
        <v>89028.46</v>
      </c>
      <c r="L128" s="524"/>
      <c r="O128" s="11">
        <f>J127</f>
        <v>22368.959999999999</v>
      </c>
      <c r="P128" s="11">
        <f>L127</f>
        <v>89028.46</v>
      </c>
    </row>
    <row r="129" spans="1:22" ht="57" x14ac:dyDescent="0.2">
      <c r="A129" s="4">
        <v>23</v>
      </c>
      <c r="B129" s="4" t="str">
        <f>[84]Source!E264</f>
        <v>98</v>
      </c>
      <c r="C129" s="5" t="str">
        <f>[84]Source!F264</f>
        <v>3.13-11-6</v>
      </c>
      <c r="D129" s="5" t="s">
        <v>128</v>
      </c>
      <c r="E129" s="6" t="str">
        <f>[84]Source!H264</f>
        <v>100 м2</v>
      </c>
      <c r="F129" s="2">
        <f>[84]Source!I264</f>
        <v>0.52</v>
      </c>
      <c r="G129" s="7"/>
      <c r="H129" s="8"/>
      <c r="I129" s="2"/>
      <c r="J129" s="25"/>
      <c r="K129" s="2"/>
      <c r="L129" s="25"/>
      <c r="Q129">
        <f>[84]Source!X264</f>
        <v>28.86</v>
      </c>
      <c r="R129">
        <f>[84]Source!X265</f>
        <v>559.39</v>
      </c>
      <c r="S129">
        <f>[84]Source!Y264</f>
        <v>21.17</v>
      </c>
      <c r="T129">
        <f>[84]Source!Y265</f>
        <v>269.83</v>
      </c>
      <c r="U129">
        <f>ROUND((175/100)*ROUND([84]Source!R264, 2), 2)</f>
        <v>3.54</v>
      </c>
      <c r="V129">
        <f>ROUND((157/100)*ROUND([84]Source!R265, 2), 2)</f>
        <v>75.930000000000007</v>
      </c>
    </row>
    <row r="130" spans="1:22" ht="14.25" x14ac:dyDescent="0.2">
      <c r="A130" s="4"/>
      <c r="B130" s="4"/>
      <c r="C130" s="5"/>
      <c r="D130" s="5" t="s">
        <v>20</v>
      </c>
      <c r="E130" s="6"/>
      <c r="F130" s="2"/>
      <c r="G130" s="7">
        <f>[84]Source!AO264</f>
        <v>30.23</v>
      </c>
      <c r="H130" s="8" t="str">
        <f>[84]Source!DG264</f>
        <v>*1,67</v>
      </c>
      <c r="I130" s="2">
        <f>[84]Source!AV265</f>
        <v>1.0469999999999999</v>
      </c>
      <c r="J130" s="25">
        <f>[84]Source!S264</f>
        <v>27.49</v>
      </c>
      <c r="K130" s="2">
        <f>IF([84]Source!BA265&lt;&gt; 0, [84]Source!BA265, 1)</f>
        <v>23.94</v>
      </c>
      <c r="L130" s="25">
        <f>[84]Source!S265</f>
        <v>658.11</v>
      </c>
    </row>
    <row r="131" spans="1:22" ht="14.25" x14ac:dyDescent="0.2">
      <c r="A131" s="4"/>
      <c r="B131" s="4"/>
      <c r="C131" s="5"/>
      <c r="D131" s="5" t="s">
        <v>21</v>
      </c>
      <c r="E131" s="6"/>
      <c r="F131" s="2"/>
      <c r="G131" s="7">
        <f>[84]Source!AM264</f>
        <v>22.38</v>
      </c>
      <c r="H131" s="8" t="str">
        <f>[84]Source!DE264</f>
        <v/>
      </c>
      <c r="I131" s="2">
        <f>[84]Source!AV265</f>
        <v>1.0469999999999999</v>
      </c>
      <c r="J131" s="25">
        <f>[84]Source!Q264-J141</f>
        <v>12.18</v>
      </c>
      <c r="K131" s="2">
        <f>IF([84]Source!BB265&lt;&gt; 0, [84]Source!BB265, 1)</f>
        <v>6.27</v>
      </c>
      <c r="L131" s="25">
        <f>[84]Source!Q265-L141</f>
        <v>76.37</v>
      </c>
    </row>
    <row r="132" spans="1:22" ht="14.25" x14ac:dyDescent="0.2">
      <c r="A132" s="4"/>
      <c r="B132" s="4"/>
      <c r="C132" s="5"/>
      <c r="D132" s="5" t="s">
        <v>22</v>
      </c>
      <c r="E132" s="6"/>
      <c r="F132" s="2"/>
      <c r="G132" s="7">
        <f>[84]Source!AN264</f>
        <v>2.2200000000000002</v>
      </c>
      <c r="H132" s="8" t="str">
        <f>[84]Source!DE264</f>
        <v/>
      </c>
      <c r="I132" s="2">
        <f>[84]Source!AV265</f>
        <v>1.0469999999999999</v>
      </c>
      <c r="J132" s="10">
        <f>[84]Source!R264-J142</f>
        <v>1.21</v>
      </c>
      <c r="K132" s="2">
        <f>IF([84]Source!BS265&lt;&gt; 0, [84]Source!BS265, 1)</f>
        <v>23.94</v>
      </c>
      <c r="L132" s="10">
        <f>[84]Source!R265-L142</f>
        <v>28.97</v>
      </c>
    </row>
    <row r="133" spans="1:22" ht="14.25" x14ac:dyDescent="0.2">
      <c r="A133" s="4"/>
      <c r="B133" s="4"/>
      <c r="C133" s="5"/>
      <c r="D133" s="5" t="s">
        <v>23</v>
      </c>
      <c r="E133" s="6"/>
      <c r="F133" s="2"/>
      <c r="G133" s="7">
        <f>[84]Source!AL264</f>
        <v>20.16</v>
      </c>
      <c r="H133" s="8" t="str">
        <f>[84]Source!DD264</f>
        <v/>
      </c>
      <c r="I133" s="2">
        <f>[84]Source!AW265</f>
        <v>1</v>
      </c>
      <c r="J133" s="25">
        <f>[84]Source!P264</f>
        <v>10.48</v>
      </c>
      <c r="K133" s="2">
        <f>IF([84]Source!BC265&lt;&gt; 0, [84]Source!BC265, 1)</f>
        <v>8.16</v>
      </c>
      <c r="L133" s="25">
        <f>[84]Source!P265</f>
        <v>85.52</v>
      </c>
    </row>
    <row r="134" spans="1:22" ht="57" x14ac:dyDescent="0.2">
      <c r="A134" s="4">
        <v>24</v>
      </c>
      <c r="B134" s="4" t="str">
        <f>[84]Source!E266</f>
        <v>98,1</v>
      </c>
      <c r="C134" s="5" t="str">
        <f>[84]Source!F266</f>
        <v>1.1-1-413</v>
      </c>
      <c r="D134" s="5" t="s">
        <v>114</v>
      </c>
      <c r="E134" s="6" t="str">
        <f>[84]Source!H266</f>
        <v>кг</v>
      </c>
      <c r="F134" s="2">
        <f>[84]Source!I266</f>
        <v>40.007561000000003</v>
      </c>
      <c r="G134" s="7">
        <f>[84]Source!AK266</f>
        <v>47.9</v>
      </c>
      <c r="H134" s="36" t="s">
        <v>90</v>
      </c>
      <c r="I134" s="2">
        <f>[84]Source!AW267</f>
        <v>1</v>
      </c>
      <c r="J134" s="25">
        <f>[84]Source!O266</f>
        <v>1916.36</v>
      </c>
      <c r="K134" s="2">
        <f>IF([84]Source!BC267&lt;&gt; 0, [84]Source!BC267, 1)</f>
        <v>2.64</v>
      </c>
      <c r="L134" s="25">
        <f>[84]Source!O267</f>
        <v>5059.1899999999996</v>
      </c>
      <c r="Q134">
        <f>[84]Source!X266</f>
        <v>0</v>
      </c>
      <c r="R134">
        <f>[84]Source!X267</f>
        <v>0</v>
      </c>
      <c r="S134">
        <f>[84]Source!Y266</f>
        <v>0</v>
      </c>
      <c r="T134">
        <f>[84]Source!Y267</f>
        <v>0</v>
      </c>
      <c r="U134">
        <f>ROUND((175/100)*ROUND([84]Source!R266, 2), 2)</f>
        <v>0</v>
      </c>
      <c r="V134">
        <f>ROUND((157/100)*ROUND([84]Source!R267, 2), 2)</f>
        <v>0</v>
      </c>
    </row>
    <row r="135" spans="1:22" ht="14.25" x14ac:dyDescent="0.2">
      <c r="A135" s="4"/>
      <c r="B135" s="4"/>
      <c r="C135" s="5"/>
      <c r="D135" s="5" t="s">
        <v>24</v>
      </c>
      <c r="E135" s="6" t="s">
        <v>25</v>
      </c>
      <c r="F135" s="2">
        <f>[84]Source!DN265</f>
        <v>105</v>
      </c>
      <c r="G135" s="7"/>
      <c r="H135" s="8"/>
      <c r="I135" s="2"/>
      <c r="J135" s="25">
        <f>SUM(Q129:Q134)</f>
        <v>28.86</v>
      </c>
      <c r="K135" s="2">
        <f>[84]Source!BZ265</f>
        <v>85</v>
      </c>
      <c r="L135" s="25">
        <f>SUM(R129:R134)</f>
        <v>559.39</v>
      </c>
    </row>
    <row r="136" spans="1:22" ht="14.25" x14ac:dyDescent="0.2">
      <c r="A136" s="4"/>
      <c r="B136" s="4"/>
      <c r="C136" s="5"/>
      <c r="D136" s="5" t="s">
        <v>26</v>
      </c>
      <c r="E136" s="6" t="s">
        <v>25</v>
      </c>
      <c r="F136" s="2">
        <f>[84]Source!DO265</f>
        <v>77</v>
      </c>
      <c r="G136" s="7"/>
      <c r="H136" s="8"/>
      <c r="I136" s="2"/>
      <c r="J136" s="25">
        <f>SUM(S129:S135)</f>
        <v>21.17</v>
      </c>
      <c r="K136" s="2">
        <f>[84]Source!CA265</f>
        <v>41</v>
      </c>
      <c r="L136" s="25">
        <f>SUM(T129:T135)</f>
        <v>269.83</v>
      </c>
    </row>
    <row r="137" spans="1:22" ht="14.25" x14ac:dyDescent="0.2">
      <c r="A137" s="4"/>
      <c r="B137" s="4"/>
      <c r="C137" s="5"/>
      <c r="D137" s="5" t="s">
        <v>27</v>
      </c>
      <c r="E137" s="6" t="s">
        <v>25</v>
      </c>
      <c r="F137" s="2">
        <f>175</f>
        <v>175</v>
      </c>
      <c r="G137" s="7"/>
      <c r="H137" s="8"/>
      <c r="I137" s="2"/>
      <c r="J137" s="25">
        <f>SUM(U129:U136)-J143</f>
        <v>2.12</v>
      </c>
      <c r="K137" s="2">
        <f>157</f>
        <v>157</v>
      </c>
      <c r="L137" s="25">
        <f>SUM(V129:V136)-L143</f>
        <v>45.49</v>
      </c>
    </row>
    <row r="138" spans="1:22" ht="14.25" x14ac:dyDescent="0.2">
      <c r="A138" s="4"/>
      <c r="B138" s="4"/>
      <c r="C138" s="5"/>
      <c r="D138" s="5" t="s">
        <v>28</v>
      </c>
      <c r="E138" s="6" t="s">
        <v>29</v>
      </c>
      <c r="F138" s="2">
        <f>[84]Source!AQ264</f>
        <v>2.54</v>
      </c>
      <c r="G138" s="7"/>
      <c r="H138" s="8" t="str">
        <f>[84]Source!DI264</f>
        <v/>
      </c>
      <c r="I138" s="2">
        <f>[84]Source!AV265</f>
        <v>1.0469999999999999</v>
      </c>
      <c r="J138" s="25">
        <f>[84]Source!U264</f>
        <v>1.38</v>
      </c>
      <c r="K138" s="2"/>
      <c r="L138" s="25"/>
    </row>
    <row r="139" spans="1:22" ht="15" x14ac:dyDescent="0.25">
      <c r="I139" s="525">
        <f>J130+J131+J133+J135+J136+J137+SUM(J134:J134)</f>
        <v>2018.66</v>
      </c>
      <c r="J139" s="525"/>
      <c r="K139" s="525">
        <f>L130+L131+L133+L135+L136+L137+SUM(L134:L134)</f>
        <v>6753.9</v>
      </c>
      <c r="L139" s="525"/>
      <c r="O139" s="11">
        <f>J130+J131+J133+J135+J136+J137+SUM(J134:J134)</f>
        <v>2018.66</v>
      </c>
      <c r="P139" s="11">
        <f>L130+L131+L133+L135+L136+L137+SUM(L134:L134)</f>
        <v>6753.9</v>
      </c>
    </row>
    <row r="140" spans="1:22" ht="28.5" x14ac:dyDescent="0.2">
      <c r="A140" s="12"/>
      <c r="B140" s="12"/>
      <c r="C140" s="13"/>
      <c r="D140" s="13" t="s">
        <v>30</v>
      </c>
      <c r="E140" s="6"/>
      <c r="F140" s="14"/>
      <c r="G140" s="15"/>
      <c r="H140" s="6"/>
      <c r="I140" s="14"/>
      <c r="J140" s="10"/>
      <c r="K140" s="14"/>
      <c r="L140" s="10"/>
    </row>
    <row r="141" spans="1:22" ht="14.25" x14ac:dyDescent="0.2">
      <c r="A141" s="12"/>
      <c r="B141" s="12"/>
      <c r="C141" s="13"/>
      <c r="D141" s="13" t="s">
        <v>21</v>
      </c>
      <c r="E141" s="6"/>
      <c r="F141" s="14"/>
      <c r="G141" s="15">
        <f t="shared" ref="G141:L141" si="4">G142</f>
        <v>2.2200000000000002</v>
      </c>
      <c r="H141" s="16" t="str">
        <f t="shared" si="4"/>
        <v>)*(1.67-1)</v>
      </c>
      <c r="I141" s="14">
        <f t="shared" si="4"/>
        <v>1.0469999999999999</v>
      </c>
      <c r="J141" s="10">
        <f t="shared" si="4"/>
        <v>0.81</v>
      </c>
      <c r="K141" s="14">
        <f t="shared" si="4"/>
        <v>23.94</v>
      </c>
      <c r="L141" s="10">
        <f t="shared" si="4"/>
        <v>19.39</v>
      </c>
    </row>
    <row r="142" spans="1:22" ht="14.25" x14ac:dyDescent="0.2">
      <c r="A142" s="12"/>
      <c r="B142" s="12"/>
      <c r="C142" s="13"/>
      <c r="D142" s="13" t="s">
        <v>22</v>
      </c>
      <c r="E142" s="6"/>
      <c r="F142" s="14"/>
      <c r="G142" s="15">
        <f>[84]Source!AN264</f>
        <v>2.2200000000000002</v>
      </c>
      <c r="H142" s="16" t="s">
        <v>31</v>
      </c>
      <c r="I142" s="14">
        <f>[84]Source!AV265</f>
        <v>1.0469999999999999</v>
      </c>
      <c r="J142" s="10">
        <f>ROUND(F129*G142*I142*(1.67-1), 2)</f>
        <v>0.81</v>
      </c>
      <c r="K142" s="14">
        <f>IF([84]Source!BS265&lt;&gt; 0, [84]Source!BS265, 1)</f>
        <v>23.94</v>
      </c>
      <c r="L142" s="10">
        <f>ROUND(F129*G142*I142*(1.67-1)*K142, 2)</f>
        <v>19.39</v>
      </c>
    </row>
    <row r="143" spans="1:22" ht="14.25" x14ac:dyDescent="0.2">
      <c r="A143" s="12"/>
      <c r="B143" s="12"/>
      <c r="C143" s="13"/>
      <c r="D143" s="13" t="s">
        <v>27</v>
      </c>
      <c r="E143" s="6" t="s">
        <v>25</v>
      </c>
      <c r="F143" s="14">
        <f>175</f>
        <v>175</v>
      </c>
      <c r="G143" s="15"/>
      <c r="H143" s="6"/>
      <c r="I143" s="14"/>
      <c r="J143" s="10">
        <f>ROUND(J142*(F143/100), 2)</f>
        <v>1.42</v>
      </c>
      <c r="K143" s="14">
        <f>157</f>
        <v>157</v>
      </c>
      <c r="L143" s="10">
        <f>ROUND(L142*(K143/100), 2)</f>
        <v>30.44</v>
      </c>
    </row>
    <row r="144" spans="1:22" ht="15" x14ac:dyDescent="0.25">
      <c r="I144" s="525">
        <f>J143+J142</f>
        <v>2.23</v>
      </c>
      <c r="J144" s="525"/>
      <c r="K144" s="525">
        <f>L143+L142</f>
        <v>49.83</v>
      </c>
      <c r="L144" s="525"/>
      <c r="O144" s="11">
        <f>I144</f>
        <v>2.23</v>
      </c>
      <c r="P144" s="11">
        <f>K144</f>
        <v>49.83</v>
      </c>
    </row>
    <row r="146" spans="1:256" ht="15" x14ac:dyDescent="0.25">
      <c r="A146" s="37"/>
      <c r="B146" s="37"/>
      <c r="C146" s="38"/>
      <c r="D146" s="38" t="s">
        <v>32</v>
      </c>
      <c r="E146" s="39"/>
      <c r="F146" s="40"/>
      <c r="G146" s="41"/>
      <c r="H146" s="42"/>
      <c r="I146" s="524">
        <f>I139+I144</f>
        <v>2020.89</v>
      </c>
      <c r="J146" s="524"/>
      <c r="K146" s="524">
        <f>K139+K144</f>
        <v>6803.73</v>
      </c>
      <c r="L146" s="524"/>
    </row>
    <row r="148" spans="1:256" ht="30" x14ac:dyDescent="0.25">
      <c r="A148" s="528" t="str">
        <f>CONCATENATE("Итого по разделу: ",IF([84]Source!G269&lt;&gt;"Новый раздел", [84]Source!G269, ""))</f>
        <v>Итого по разделу: Перегоны от ст. "Мичуренский проспект" до ст. "Аминьевское шоссе". Тонельный напорный водопровод (К2НТ)</v>
      </c>
      <c r="B148" s="528"/>
      <c r="C148" s="528"/>
      <c r="D148" s="528"/>
      <c r="E148" s="528"/>
      <c r="F148" s="528"/>
      <c r="G148" s="528"/>
      <c r="H148" s="528"/>
      <c r="I148" s="526">
        <f>SUM(O81:O147)</f>
        <v>251743.33</v>
      </c>
      <c r="J148" s="527"/>
      <c r="K148" s="526">
        <f>SUM(P81:P147)</f>
        <v>2531958.2000000002</v>
      </c>
      <c r="L148" s="527"/>
      <c r="AF148" s="26" t="str">
        <f>CONCATENATE("Итого по разделу: ",IF([84]Source!G269&lt;&gt;"Новый раздел", [84]Source!G269, ""))</f>
        <v>Итого по разделу: Перегоны от ст. "Мичуренский проспект" до ст. "Аминьевское шоссе". Тонельный напорный водопровод (К2НТ)</v>
      </c>
    </row>
    <row r="149" spans="1:256" hidden="1" x14ac:dyDescent="0.2">
      <c r="A149" t="s">
        <v>48</v>
      </c>
      <c r="J149">
        <f>SUM(W81:W148)</f>
        <v>0</v>
      </c>
      <c r="K149">
        <f>SUM(X81:X148)</f>
        <v>0</v>
      </c>
    </row>
    <row r="150" spans="1:256" hidden="1" x14ac:dyDescent="0.2">
      <c r="A150" t="s">
        <v>49</v>
      </c>
      <c r="J150">
        <f>SUM(Y81:Y149)</f>
        <v>0</v>
      </c>
      <c r="K150">
        <f>SUM(Z81:Z149)</f>
        <v>0</v>
      </c>
    </row>
    <row r="152" spans="1:256" ht="15" x14ac:dyDescent="0.25">
      <c r="A152" s="528" t="str">
        <f>CONCATENATE("Итого по локальной смете: ",IF([84]Source!G338&lt;&gt;"Новая локальная смета", [84]Source!G338, ""))</f>
        <v>Итого по локальной смете: Инженерные системы. Тонельный водопровод и водоотвод.</v>
      </c>
      <c r="B152" s="528"/>
      <c r="C152" s="528"/>
      <c r="D152" s="528"/>
      <c r="E152" s="528"/>
      <c r="F152" s="528"/>
      <c r="G152" s="528"/>
      <c r="H152" s="528"/>
      <c r="I152" s="526">
        <f>SUM(O19:O151)</f>
        <v>2930394.56</v>
      </c>
      <c r="J152" s="527"/>
      <c r="K152" s="526">
        <f>SUM(P19:P151)</f>
        <v>14378961.85</v>
      </c>
      <c r="L152" s="527"/>
      <c r="M152" s="335"/>
      <c r="AF152" s="26" t="str">
        <f>CONCATENATE("Итого по локальной смете: ",IF([84]Source!G338&lt;&gt;"Новая локальная смета", [84]Source!G338, ""))</f>
        <v>Итого по локальной смете: Инженерные системы. Тонельный водопровод и водоотвод.</v>
      </c>
    </row>
    <row r="153" spans="1:256" hidden="1" x14ac:dyDescent="0.2">
      <c r="A153" t="s">
        <v>48</v>
      </c>
      <c r="J153">
        <f>SUM(W19:W152)</f>
        <v>0</v>
      </c>
      <c r="K153">
        <f>SUM(X19:X152)</f>
        <v>0</v>
      </c>
    </row>
    <row r="154" spans="1:256" hidden="1" x14ac:dyDescent="0.2">
      <c r="A154" t="s">
        <v>49</v>
      </c>
      <c r="J154">
        <f>SUM(Y19:Y153)</f>
        <v>0</v>
      </c>
      <c r="K154">
        <f>SUM(Z19:Z153)</f>
        <v>0</v>
      </c>
    </row>
    <row r="155" spans="1:256" ht="14.25" x14ac:dyDescent="0.2">
      <c r="D155" s="550" t="str">
        <f>[84]Source!H344</f>
        <v>Стоимость материалов (всего)</v>
      </c>
      <c r="E155" s="550"/>
      <c r="F155" s="550"/>
      <c r="G155" s="550"/>
      <c r="H155" s="550"/>
      <c r="I155" s="551">
        <f>J134+J133+J127+J125+J123+J121+J119+J106+J105+J99+J86+J63+J62+J56+J54+J52+J50+J48+J46+J33+J27+J25+J23+J21</f>
        <v>2690178.26</v>
      </c>
      <c r="J155" s="551"/>
      <c r="K155" s="551">
        <f>L134+L133+L127+L125+L123+L121+L119+L106+L105+L99+L86+L63+L62+L56+L54+L52+L50+L48+L46+L33+L27+L25+L23+L21</f>
        <v>10041543.68</v>
      </c>
      <c r="L155" s="551"/>
    </row>
    <row r="156" spans="1:256" ht="14.25" x14ac:dyDescent="0.2">
      <c r="D156" s="550" t="str">
        <f>[84]Source!H352</f>
        <v>ЗП машинистов</v>
      </c>
      <c r="E156" s="550"/>
      <c r="F156" s="550"/>
      <c r="G156" s="550"/>
      <c r="H156" s="550"/>
      <c r="I156" s="551">
        <f>[84]Source!F352</f>
        <v>2342.0300000000002</v>
      </c>
      <c r="J156" s="551"/>
      <c r="K156" s="551">
        <f>[84]Source!P352</f>
        <v>56068.21</v>
      </c>
      <c r="L156" s="551"/>
    </row>
    <row r="157" spans="1:256" ht="14.25" x14ac:dyDescent="0.2">
      <c r="D157" s="550" t="str">
        <f>[84]Source!H353</f>
        <v>Основная ЗП рабочих</v>
      </c>
      <c r="E157" s="550"/>
      <c r="F157" s="550"/>
      <c r="G157" s="550"/>
      <c r="H157" s="550"/>
      <c r="I157" s="551">
        <f>[84]Source!F353</f>
        <v>70767.539999999994</v>
      </c>
      <c r="J157" s="551"/>
      <c r="K157" s="551">
        <f>[84]Source!P353</f>
        <v>1694174.91</v>
      </c>
      <c r="L157" s="551"/>
    </row>
    <row r="159" spans="1:256" x14ac:dyDescent="0.2">
      <c r="A159" s="74"/>
      <c r="B159" s="74"/>
      <c r="C159" s="74"/>
      <c r="D159" s="543" t="s">
        <v>207</v>
      </c>
      <c r="E159" s="543"/>
      <c r="F159" s="543"/>
      <c r="G159" s="543"/>
      <c r="H159" s="543"/>
      <c r="I159" s="75"/>
      <c r="J159" s="76">
        <v>0</v>
      </c>
      <c r="K159" s="76"/>
      <c r="L159" s="76">
        <v>0</v>
      </c>
      <c r="M159" s="77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  <c r="DS159" s="74"/>
      <c r="DT159" s="74"/>
      <c r="DU159" s="74"/>
      <c r="DV159" s="74"/>
      <c r="DW159" s="74"/>
      <c r="DX159" s="74"/>
      <c r="DY159" s="74"/>
      <c r="DZ159" s="74"/>
      <c r="EA159" s="74"/>
      <c r="EB159" s="74"/>
      <c r="EC159" s="74"/>
      <c r="ED159" s="74"/>
      <c r="EE159" s="74"/>
      <c r="EF159" s="74"/>
      <c r="EG159" s="74"/>
      <c r="EH159" s="74"/>
      <c r="EI159" s="74"/>
      <c r="EJ159" s="74"/>
      <c r="EK159" s="74"/>
      <c r="EL159" s="74"/>
      <c r="EM159" s="74"/>
      <c r="EN159" s="74"/>
      <c r="EO159" s="74"/>
      <c r="EP159" s="74"/>
      <c r="EQ159" s="74"/>
      <c r="ER159" s="74"/>
      <c r="ES159" s="74"/>
      <c r="ET159" s="74"/>
      <c r="EU159" s="74"/>
      <c r="EV159" s="74"/>
      <c r="EW159" s="74"/>
      <c r="EX159" s="74"/>
      <c r="EY159" s="74"/>
      <c r="EZ159" s="74"/>
      <c r="FA159" s="74"/>
      <c r="FB159" s="74"/>
      <c r="FC159" s="74"/>
      <c r="FD159" s="74"/>
      <c r="FE159" s="74"/>
      <c r="FF159" s="74"/>
      <c r="FG159" s="74"/>
      <c r="FH159" s="74"/>
      <c r="FI159" s="74"/>
      <c r="FJ159" s="74"/>
      <c r="FK159" s="74"/>
      <c r="FL159" s="74"/>
      <c r="FM159" s="74"/>
      <c r="FN159" s="74"/>
      <c r="FO159" s="74"/>
      <c r="FP159" s="74"/>
      <c r="FQ159" s="74"/>
      <c r="FR159" s="74"/>
      <c r="FS159" s="74"/>
      <c r="FT159" s="74"/>
      <c r="FU159" s="74"/>
      <c r="FV159" s="74"/>
      <c r="FW159" s="74"/>
      <c r="FX159" s="74"/>
      <c r="FY159" s="74"/>
      <c r="FZ159" s="74"/>
      <c r="GA159" s="74"/>
      <c r="GB159" s="74"/>
      <c r="GC159" s="74"/>
      <c r="GD159" s="74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</row>
    <row r="160" spans="1:256" x14ac:dyDescent="0.2">
      <c r="A160" s="78"/>
      <c r="B160" s="78"/>
      <c r="C160" s="78"/>
      <c r="D160" s="543" t="s">
        <v>208</v>
      </c>
      <c r="E160" s="543"/>
      <c r="F160" s="543"/>
      <c r="G160" s="543"/>
      <c r="H160" s="543"/>
      <c r="I160" s="75"/>
      <c r="J160" s="76">
        <v>0</v>
      </c>
      <c r="K160" s="79"/>
      <c r="L160" s="76">
        <v>0</v>
      </c>
      <c r="M160" s="77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  <c r="CR160" s="80"/>
      <c r="CS160" s="80"/>
      <c r="CT160" s="80"/>
      <c r="CU160" s="80"/>
      <c r="CV160" s="80"/>
      <c r="CW160" s="80"/>
      <c r="CX160" s="80"/>
      <c r="CY160" s="80"/>
      <c r="CZ160" s="80"/>
      <c r="DA160" s="80"/>
      <c r="DB160" s="80"/>
      <c r="DC160" s="80"/>
      <c r="DD160" s="80"/>
      <c r="DE160" s="80"/>
      <c r="DF160" s="80"/>
      <c r="DG160" s="80"/>
      <c r="DH160" s="80"/>
      <c r="DI160" s="80"/>
      <c r="DJ160" s="80"/>
      <c r="DK160" s="80"/>
      <c r="DL160" s="80"/>
      <c r="DM160" s="80"/>
      <c r="DN160" s="80"/>
      <c r="DO160" s="80"/>
      <c r="DP160" s="80"/>
      <c r="DQ160" s="80"/>
      <c r="DR160" s="80"/>
      <c r="DS160" s="80"/>
      <c r="DT160" s="80"/>
      <c r="DU160" s="80"/>
      <c r="DV160" s="80"/>
      <c r="DW160" s="80"/>
      <c r="DX160" s="80"/>
      <c r="DY160" s="80"/>
      <c r="DZ160" s="80"/>
      <c r="EA160" s="80"/>
      <c r="EB160" s="80"/>
      <c r="EC160" s="80"/>
      <c r="ED160" s="80"/>
      <c r="EE160" s="80"/>
      <c r="EF160" s="80"/>
      <c r="EG160" s="80"/>
      <c r="EH160" s="80"/>
      <c r="EI160" s="80"/>
      <c r="EJ160" s="80"/>
      <c r="EK160" s="80"/>
      <c r="EL160" s="80"/>
      <c r="EM160" s="80"/>
      <c r="EN160" s="80"/>
      <c r="EO160" s="80"/>
      <c r="EP160" s="80"/>
      <c r="EQ160" s="80"/>
      <c r="ER160" s="80"/>
      <c r="ES160" s="80"/>
      <c r="ET160" s="80"/>
      <c r="EU160" s="80"/>
      <c r="EV160" s="80"/>
      <c r="EW160" s="80"/>
      <c r="EX160" s="80"/>
      <c r="EY160" s="80"/>
      <c r="EZ160" s="80"/>
      <c r="FA160" s="80"/>
      <c r="FB160" s="80"/>
      <c r="FC160" s="80"/>
      <c r="FD160" s="80"/>
      <c r="FE160" s="80"/>
      <c r="FF160" s="80"/>
      <c r="FG160" s="80"/>
      <c r="FH160" s="80"/>
      <c r="FI160" s="80"/>
      <c r="FJ160" s="80"/>
      <c r="FK160" s="80"/>
      <c r="FL160" s="80"/>
      <c r="FM160" s="80"/>
      <c r="FN160" s="80"/>
      <c r="FO160" s="80"/>
      <c r="FP160" s="80"/>
      <c r="FQ160" s="80"/>
      <c r="FR160" s="80"/>
      <c r="FS160" s="80"/>
      <c r="FT160" s="80"/>
      <c r="FU160" s="80"/>
      <c r="FV160" s="80"/>
      <c r="FW160" s="80"/>
      <c r="FX160" s="80"/>
      <c r="FY160" s="80"/>
      <c r="FZ160" s="80"/>
      <c r="GA160" s="80"/>
      <c r="GB160" s="80"/>
      <c r="GC160" s="80"/>
      <c r="GD160" s="80"/>
      <c r="GE160" s="80"/>
      <c r="GF160" s="80"/>
      <c r="GG160" s="80"/>
      <c r="GH160" s="80"/>
      <c r="GI160" s="80"/>
      <c r="GJ160" s="80"/>
      <c r="GK160" s="80"/>
      <c r="GL160" s="80"/>
      <c r="GM160" s="80"/>
      <c r="GN160" s="80"/>
      <c r="GO160" s="80"/>
      <c r="GP160" s="80"/>
      <c r="GQ160" s="80"/>
      <c r="GR160" s="80"/>
      <c r="GS160" s="80"/>
      <c r="GT160" s="80"/>
      <c r="GU160" s="80"/>
      <c r="GV160" s="80"/>
      <c r="GW160" s="80"/>
      <c r="GX160" s="80"/>
      <c r="GY160" s="80"/>
      <c r="GZ160" s="80"/>
      <c r="HA160" s="80"/>
      <c r="HB160" s="80"/>
      <c r="HC160" s="80"/>
      <c r="HD160" s="80"/>
      <c r="HE160" s="80"/>
      <c r="HF160" s="80"/>
      <c r="HG160" s="80"/>
      <c r="HH160" s="80"/>
      <c r="HI160" s="80"/>
      <c r="HJ160" s="80"/>
      <c r="HK160" s="80"/>
      <c r="HL160" s="80"/>
      <c r="HM160" s="80"/>
      <c r="HN160" s="80"/>
      <c r="HO160" s="80"/>
      <c r="HP160" s="80"/>
      <c r="HQ160" s="80"/>
      <c r="HR160" s="80"/>
      <c r="HS160" s="80"/>
      <c r="HT160" s="80"/>
      <c r="HU160" s="80"/>
      <c r="HV160" s="80"/>
      <c r="HW160" s="80"/>
      <c r="HX160" s="80"/>
      <c r="HY160" s="80"/>
      <c r="HZ160" s="80"/>
      <c r="IA160" s="80"/>
      <c r="IB160" s="80"/>
      <c r="IC160" s="80"/>
      <c r="ID160" s="80"/>
      <c r="IE160" s="80"/>
      <c r="IF160" s="80"/>
      <c r="IG160" s="80"/>
      <c r="IH160" s="80"/>
      <c r="II160" s="80"/>
      <c r="IJ160" s="80"/>
      <c r="IK160" s="80"/>
      <c r="IL160" s="80"/>
      <c r="IM160" s="80"/>
      <c r="IN160" s="80"/>
      <c r="IO160" s="80"/>
      <c r="IP160" s="80"/>
      <c r="IQ160" s="80"/>
      <c r="IR160" s="80"/>
      <c r="IS160" s="80"/>
      <c r="IT160" s="80"/>
      <c r="IU160" s="80"/>
      <c r="IV160" s="80"/>
    </row>
    <row r="161" spans="1:256" x14ac:dyDescent="0.2">
      <c r="A161" s="78"/>
      <c r="B161" s="78"/>
      <c r="C161" s="78"/>
      <c r="D161" s="79" t="s">
        <v>209</v>
      </c>
      <c r="E161" s="79"/>
      <c r="F161" s="79"/>
      <c r="G161" s="79"/>
      <c r="H161" s="79"/>
      <c r="I161" s="79"/>
      <c r="J161" s="76">
        <f>SUM(J159:J160)</f>
        <v>0</v>
      </c>
      <c r="K161" s="79"/>
      <c r="L161" s="76">
        <f>SUM(L159:L160)</f>
        <v>0</v>
      </c>
      <c r="M161" s="77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  <c r="CR161" s="80"/>
      <c r="CS161" s="80"/>
      <c r="CT161" s="80"/>
      <c r="CU161" s="80"/>
      <c r="CV161" s="80"/>
      <c r="CW161" s="80"/>
      <c r="CX161" s="80"/>
      <c r="CY161" s="80"/>
      <c r="CZ161" s="80"/>
      <c r="DA161" s="80"/>
      <c r="DB161" s="80"/>
      <c r="DC161" s="80"/>
      <c r="DD161" s="80"/>
      <c r="DE161" s="80"/>
      <c r="DF161" s="80"/>
      <c r="DG161" s="80"/>
      <c r="DH161" s="80"/>
      <c r="DI161" s="80"/>
      <c r="DJ161" s="80"/>
      <c r="DK161" s="80"/>
      <c r="DL161" s="80"/>
      <c r="DM161" s="80"/>
      <c r="DN161" s="80"/>
      <c r="DO161" s="80"/>
      <c r="DP161" s="80"/>
      <c r="DQ161" s="80"/>
      <c r="DR161" s="80"/>
      <c r="DS161" s="80"/>
      <c r="DT161" s="80"/>
      <c r="DU161" s="80"/>
      <c r="DV161" s="80"/>
      <c r="DW161" s="80"/>
      <c r="DX161" s="80"/>
      <c r="DY161" s="80"/>
      <c r="DZ161" s="80"/>
      <c r="EA161" s="80"/>
      <c r="EB161" s="80"/>
      <c r="EC161" s="80"/>
      <c r="ED161" s="80"/>
      <c r="EE161" s="80"/>
      <c r="EF161" s="80"/>
      <c r="EG161" s="80"/>
      <c r="EH161" s="80"/>
      <c r="EI161" s="80"/>
      <c r="EJ161" s="80"/>
      <c r="EK161" s="80"/>
      <c r="EL161" s="80"/>
      <c r="EM161" s="80"/>
      <c r="EN161" s="80"/>
      <c r="EO161" s="80"/>
      <c r="EP161" s="80"/>
      <c r="EQ161" s="80"/>
      <c r="ER161" s="80"/>
      <c r="ES161" s="80"/>
      <c r="ET161" s="80"/>
      <c r="EU161" s="80"/>
      <c r="EV161" s="80"/>
      <c r="EW161" s="80"/>
      <c r="EX161" s="80"/>
      <c r="EY161" s="80"/>
      <c r="EZ161" s="80"/>
      <c r="FA161" s="80"/>
      <c r="FB161" s="80"/>
      <c r="FC161" s="80"/>
      <c r="FD161" s="80"/>
      <c r="FE161" s="80"/>
      <c r="FF161" s="80"/>
      <c r="FG161" s="80"/>
      <c r="FH161" s="80"/>
      <c r="FI161" s="80"/>
      <c r="FJ161" s="80"/>
      <c r="FK161" s="80"/>
      <c r="FL161" s="80"/>
      <c r="FM161" s="80"/>
      <c r="FN161" s="80"/>
      <c r="FO161" s="80"/>
      <c r="FP161" s="80"/>
      <c r="FQ161" s="80"/>
      <c r="FR161" s="80"/>
      <c r="FS161" s="80"/>
      <c r="FT161" s="80"/>
      <c r="FU161" s="80"/>
      <c r="FV161" s="80"/>
      <c r="FW161" s="80"/>
      <c r="FX161" s="80"/>
      <c r="FY161" s="80"/>
      <c r="FZ161" s="80"/>
      <c r="GA161" s="80"/>
      <c r="GB161" s="80"/>
      <c r="GC161" s="80"/>
      <c r="GD161" s="80"/>
      <c r="GE161" s="80"/>
      <c r="GF161" s="80"/>
      <c r="GG161" s="80"/>
      <c r="GH161" s="80"/>
      <c r="GI161" s="80"/>
      <c r="GJ161" s="80"/>
      <c r="GK161" s="80"/>
      <c r="GL161" s="80"/>
      <c r="GM161" s="80"/>
      <c r="GN161" s="80"/>
      <c r="GO161" s="80"/>
      <c r="GP161" s="80"/>
      <c r="GQ161" s="80"/>
      <c r="GR161" s="80"/>
      <c r="GS161" s="80"/>
      <c r="GT161" s="80"/>
      <c r="GU161" s="80"/>
      <c r="GV161" s="80"/>
      <c r="GW161" s="80"/>
      <c r="GX161" s="80"/>
      <c r="GY161" s="80"/>
      <c r="GZ161" s="80"/>
      <c r="HA161" s="80"/>
      <c r="HB161" s="80"/>
      <c r="HC161" s="80"/>
      <c r="HD161" s="80"/>
      <c r="HE161" s="80"/>
      <c r="HF161" s="80"/>
      <c r="HG161" s="80"/>
      <c r="HH161" s="80"/>
      <c r="HI161" s="80"/>
      <c r="HJ161" s="80"/>
      <c r="HK161" s="80"/>
      <c r="HL161" s="80"/>
      <c r="HM161" s="80"/>
      <c r="HN161" s="80"/>
      <c r="HO161" s="80"/>
      <c r="HP161" s="80"/>
      <c r="HQ161" s="80"/>
      <c r="HR161" s="80"/>
      <c r="HS161" s="80"/>
      <c r="HT161" s="80"/>
      <c r="HU161" s="80"/>
      <c r="HV161" s="80"/>
      <c r="HW161" s="80"/>
      <c r="HX161" s="80"/>
      <c r="HY161" s="80"/>
      <c r="HZ161" s="80"/>
      <c r="IA161" s="80"/>
      <c r="IB161" s="80"/>
      <c r="IC161" s="80"/>
      <c r="ID161" s="80"/>
      <c r="IE161" s="80"/>
      <c r="IF161" s="80"/>
      <c r="IG161" s="80"/>
      <c r="IH161" s="80"/>
      <c r="II161" s="80"/>
      <c r="IJ161" s="80"/>
      <c r="IK161" s="80"/>
      <c r="IL161" s="80"/>
      <c r="IM161" s="80"/>
      <c r="IN161" s="80"/>
      <c r="IO161" s="80"/>
      <c r="IP161" s="80"/>
      <c r="IQ161" s="80"/>
      <c r="IR161" s="80"/>
      <c r="IS161" s="80"/>
      <c r="IT161" s="80"/>
      <c r="IU161" s="80"/>
      <c r="IV161" s="80"/>
    </row>
    <row r="162" spans="1:256" x14ac:dyDescent="0.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2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  <c r="DT162" s="81"/>
      <c r="DU162" s="81"/>
      <c r="DV162" s="81"/>
      <c r="DW162" s="81"/>
      <c r="DX162" s="81"/>
      <c r="DY162" s="81"/>
      <c r="DZ162" s="81"/>
      <c r="EA162" s="81"/>
      <c r="EB162" s="81"/>
      <c r="EC162" s="81"/>
      <c r="ED162" s="81"/>
      <c r="EE162" s="81"/>
      <c r="EF162" s="81"/>
      <c r="EG162" s="81"/>
      <c r="EH162" s="81"/>
      <c r="EI162" s="81"/>
      <c r="EJ162" s="81"/>
      <c r="EK162" s="81"/>
      <c r="EL162" s="81"/>
      <c r="EM162" s="81"/>
      <c r="EN162" s="81"/>
      <c r="EO162" s="81"/>
      <c r="EP162" s="81"/>
      <c r="EQ162" s="81"/>
      <c r="ER162" s="81"/>
      <c r="ES162" s="81"/>
      <c r="ET162" s="81"/>
      <c r="EU162" s="81"/>
      <c r="EV162" s="81"/>
      <c r="EW162" s="81"/>
      <c r="EX162" s="81"/>
      <c r="EY162" s="81"/>
      <c r="EZ162" s="81"/>
      <c r="FA162" s="81"/>
      <c r="FB162" s="81"/>
      <c r="FC162" s="81"/>
      <c r="FD162" s="81"/>
      <c r="FE162" s="81"/>
      <c r="FF162" s="81"/>
      <c r="FG162" s="81"/>
      <c r="FH162" s="81"/>
      <c r="FI162" s="81"/>
      <c r="FJ162" s="81"/>
      <c r="FK162" s="81"/>
      <c r="FL162" s="81"/>
      <c r="FM162" s="81"/>
      <c r="FN162" s="81"/>
      <c r="FO162" s="81"/>
      <c r="FP162" s="81"/>
      <c r="FQ162" s="81"/>
      <c r="FR162" s="81"/>
      <c r="FS162" s="81"/>
      <c r="FT162" s="81"/>
      <c r="FU162" s="81"/>
      <c r="FV162" s="81"/>
      <c r="FW162" s="81"/>
      <c r="FX162" s="81"/>
      <c r="FY162" s="81"/>
      <c r="FZ162" s="81"/>
      <c r="GA162" s="81"/>
      <c r="GB162" s="81"/>
      <c r="GC162" s="81"/>
      <c r="GD162" s="81"/>
      <c r="GE162" s="81"/>
      <c r="GF162" s="81"/>
      <c r="GG162" s="81"/>
      <c r="GH162" s="81"/>
      <c r="GI162" s="81"/>
      <c r="GJ162" s="81"/>
      <c r="GK162" s="81"/>
      <c r="GL162" s="81"/>
      <c r="GM162" s="81"/>
      <c r="GN162" s="81"/>
      <c r="GO162" s="81"/>
      <c r="GP162" s="81"/>
      <c r="GQ162" s="81"/>
      <c r="GR162" s="81"/>
      <c r="GS162" s="81"/>
      <c r="GT162" s="81"/>
      <c r="GU162" s="81"/>
      <c r="GV162" s="81"/>
      <c r="GW162" s="81"/>
      <c r="GX162" s="81"/>
      <c r="GY162" s="81"/>
      <c r="GZ162" s="81"/>
      <c r="HA162" s="81"/>
      <c r="HB162" s="81"/>
      <c r="HC162" s="81"/>
      <c r="HD162" s="81"/>
      <c r="HE162" s="81"/>
      <c r="HF162" s="81"/>
      <c r="HG162" s="81"/>
      <c r="HH162" s="81"/>
      <c r="HI162" s="81"/>
      <c r="HJ162" s="81"/>
      <c r="HK162" s="81"/>
      <c r="HL162" s="81"/>
      <c r="HM162" s="81"/>
      <c r="HN162" s="81"/>
      <c r="HO162" s="81"/>
      <c r="HP162" s="81"/>
      <c r="HQ162" s="81"/>
      <c r="HR162" s="81"/>
      <c r="HS162" s="81"/>
      <c r="HT162" s="81"/>
      <c r="HU162" s="81"/>
      <c r="HV162" s="81"/>
      <c r="HW162" s="81"/>
      <c r="HX162" s="81"/>
      <c r="HY162" s="81"/>
      <c r="HZ162" s="81"/>
      <c r="IA162" s="81"/>
      <c r="IB162" s="81"/>
      <c r="IC162" s="81"/>
      <c r="ID162" s="81"/>
      <c r="IE162" s="81"/>
      <c r="IF162" s="81"/>
      <c r="IG162" s="81"/>
      <c r="IH162" s="81"/>
      <c r="II162" s="81"/>
      <c r="IJ162" s="81"/>
      <c r="IK162" s="81"/>
      <c r="IL162" s="81"/>
      <c r="IM162" s="81"/>
      <c r="IN162" s="81"/>
      <c r="IO162" s="81"/>
      <c r="IP162" s="81"/>
      <c r="IQ162" s="81"/>
      <c r="IR162" s="81"/>
      <c r="IS162" s="81"/>
      <c r="IT162" s="81"/>
      <c r="IU162" s="81"/>
      <c r="IV162" s="81"/>
    </row>
    <row r="163" spans="1:256" ht="30" x14ac:dyDescent="0.25">
      <c r="A163" s="78"/>
      <c r="B163" s="78"/>
      <c r="C163" s="78"/>
      <c r="D163" s="83" t="s">
        <v>210</v>
      </c>
      <c r="E163" s="83"/>
      <c r="F163" s="83"/>
      <c r="G163" s="83"/>
      <c r="H163" s="83"/>
      <c r="I163" s="84"/>
      <c r="J163" s="85">
        <f>I152-J161</f>
        <v>2930394.56</v>
      </c>
      <c r="K163" s="86"/>
      <c r="L163" s="85">
        <f>K152-L161</f>
        <v>14378961.85</v>
      </c>
      <c r="M163" s="82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  <c r="CR163" s="80"/>
      <c r="CS163" s="80"/>
      <c r="CT163" s="80"/>
      <c r="CU163" s="80"/>
      <c r="CV163" s="80"/>
      <c r="CW163" s="80"/>
      <c r="CX163" s="80"/>
      <c r="CY163" s="80"/>
      <c r="CZ163" s="80"/>
      <c r="DA163" s="80"/>
      <c r="DB163" s="80"/>
      <c r="DC163" s="80"/>
      <c r="DD163" s="80"/>
      <c r="DE163" s="80"/>
      <c r="DF163" s="80"/>
      <c r="DG163" s="80"/>
      <c r="DH163" s="80"/>
      <c r="DI163" s="80"/>
      <c r="DJ163" s="80"/>
      <c r="DK163" s="80"/>
      <c r="DL163" s="80"/>
      <c r="DM163" s="80"/>
      <c r="DN163" s="80"/>
      <c r="DO163" s="80"/>
      <c r="DP163" s="80"/>
      <c r="DQ163" s="80"/>
      <c r="DR163" s="80"/>
      <c r="DS163" s="80"/>
      <c r="DT163" s="80"/>
      <c r="DU163" s="80"/>
      <c r="DV163" s="80"/>
      <c r="DW163" s="80"/>
      <c r="DX163" s="80"/>
      <c r="DY163" s="80"/>
      <c r="DZ163" s="80"/>
      <c r="EA163" s="80"/>
      <c r="EB163" s="80"/>
      <c r="EC163" s="80"/>
      <c r="ED163" s="80"/>
      <c r="EE163" s="80"/>
      <c r="EF163" s="80"/>
      <c r="EG163" s="80"/>
      <c r="EH163" s="80"/>
      <c r="EI163" s="80"/>
      <c r="EJ163" s="80"/>
      <c r="EK163" s="80"/>
      <c r="EL163" s="80"/>
      <c r="EM163" s="80"/>
      <c r="EN163" s="80"/>
      <c r="EO163" s="80"/>
      <c r="EP163" s="80"/>
      <c r="EQ163" s="80"/>
      <c r="ER163" s="80"/>
      <c r="ES163" s="80"/>
      <c r="ET163" s="80"/>
      <c r="EU163" s="80"/>
      <c r="EV163" s="80"/>
      <c r="EW163" s="80"/>
      <c r="EX163" s="80"/>
      <c r="EY163" s="80"/>
      <c r="EZ163" s="80"/>
      <c r="FA163" s="80"/>
      <c r="FB163" s="80"/>
      <c r="FC163" s="80"/>
      <c r="FD163" s="80"/>
      <c r="FE163" s="80"/>
      <c r="FF163" s="80"/>
      <c r="FG163" s="80"/>
      <c r="FH163" s="80"/>
      <c r="FI163" s="80"/>
      <c r="FJ163" s="80"/>
      <c r="FK163" s="80"/>
      <c r="FL163" s="80"/>
      <c r="FM163" s="80"/>
      <c r="FN163" s="80"/>
      <c r="FO163" s="80"/>
      <c r="FP163" s="80"/>
      <c r="FQ163" s="80"/>
      <c r="FR163" s="80"/>
      <c r="FS163" s="80"/>
      <c r="FT163" s="80"/>
      <c r="FU163" s="80"/>
      <c r="FV163" s="80"/>
      <c r="FW163" s="80"/>
      <c r="FX163" s="80"/>
      <c r="FY163" s="80"/>
      <c r="FZ163" s="80"/>
      <c r="GA163" s="80"/>
      <c r="GB163" s="80"/>
      <c r="GC163" s="80"/>
      <c r="GD163" s="80"/>
      <c r="GE163" s="80"/>
      <c r="GF163" s="80"/>
      <c r="GG163" s="80"/>
      <c r="GH163" s="80"/>
      <c r="GI163" s="80"/>
      <c r="GJ163" s="80"/>
      <c r="GK163" s="80"/>
      <c r="GL163" s="80"/>
      <c r="GM163" s="80"/>
      <c r="GN163" s="80"/>
      <c r="GO163" s="80"/>
      <c r="GP163" s="80"/>
      <c r="GQ163" s="80"/>
      <c r="GR163" s="80"/>
      <c r="GS163" s="80"/>
      <c r="GT163" s="80"/>
      <c r="GU163" s="80"/>
      <c r="GV163" s="80"/>
      <c r="GW163" s="80"/>
      <c r="GX163" s="80"/>
      <c r="GY163" s="80"/>
      <c r="GZ163" s="80"/>
      <c r="HA163" s="80"/>
      <c r="HB163" s="80"/>
      <c r="HC163" s="80"/>
      <c r="HD163" s="80"/>
      <c r="HE163" s="80"/>
      <c r="HF163" s="80"/>
      <c r="HG163" s="80"/>
      <c r="HH163" s="80"/>
      <c r="HI163" s="80"/>
      <c r="HJ163" s="80"/>
      <c r="HK163" s="80"/>
      <c r="HL163" s="80"/>
      <c r="HM163" s="80"/>
      <c r="HN163" s="80"/>
      <c r="HO163" s="80"/>
      <c r="HP163" s="80"/>
      <c r="HQ163" s="80"/>
      <c r="HR163" s="80"/>
      <c r="HS163" s="80"/>
      <c r="HT163" s="80"/>
      <c r="HU163" s="80"/>
      <c r="HV163" s="80"/>
      <c r="HW163" s="80"/>
      <c r="HX163" s="80"/>
      <c r="HY163" s="80"/>
      <c r="HZ163" s="80"/>
      <c r="IA163" s="80"/>
      <c r="IB163" s="80"/>
      <c r="IC163" s="80"/>
      <c r="ID163" s="80"/>
      <c r="IE163" s="80"/>
      <c r="IF163" s="80"/>
      <c r="IG163" s="80"/>
      <c r="IH163" s="80"/>
      <c r="II163" s="80"/>
      <c r="IJ163" s="80"/>
      <c r="IK163" s="80"/>
      <c r="IL163" s="80"/>
      <c r="IM163" s="80"/>
      <c r="IN163" s="80"/>
      <c r="IO163" s="80"/>
      <c r="IP163" s="80"/>
      <c r="IQ163" s="80"/>
      <c r="IR163" s="80"/>
      <c r="IS163" s="80"/>
      <c r="IT163" s="80"/>
      <c r="IU163" s="80"/>
      <c r="IV163" s="80"/>
    </row>
    <row r="164" spans="1:256" ht="14.25" x14ac:dyDescent="0.2">
      <c r="A164" s="78"/>
      <c r="B164" s="78"/>
      <c r="C164" s="78"/>
      <c r="D164" s="87" t="s">
        <v>211</v>
      </c>
      <c r="E164" s="87"/>
      <c r="F164" s="87"/>
      <c r="G164" s="87"/>
      <c r="H164" s="87"/>
      <c r="I164" s="88"/>
      <c r="J164" s="89">
        <f>J163-J167</f>
        <v>2930394.56</v>
      </c>
      <c r="K164" s="90"/>
      <c r="L164" s="89">
        <f>L163-L167</f>
        <v>14378961.85</v>
      </c>
      <c r="M164" s="82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  <c r="CR164" s="80"/>
      <c r="CS164" s="80"/>
      <c r="CT164" s="80"/>
      <c r="CU164" s="80"/>
      <c r="CV164" s="80"/>
      <c r="CW164" s="80"/>
      <c r="CX164" s="80"/>
      <c r="CY164" s="80"/>
      <c r="CZ164" s="80"/>
      <c r="DA164" s="80"/>
      <c r="DB164" s="80"/>
      <c r="DC164" s="80"/>
      <c r="DD164" s="80"/>
      <c r="DE164" s="80"/>
      <c r="DF164" s="80"/>
      <c r="DG164" s="80"/>
      <c r="DH164" s="80"/>
      <c r="DI164" s="80"/>
      <c r="DJ164" s="80"/>
      <c r="DK164" s="80"/>
      <c r="DL164" s="80"/>
      <c r="DM164" s="80"/>
      <c r="DN164" s="80"/>
      <c r="DO164" s="80"/>
      <c r="DP164" s="80"/>
      <c r="DQ164" s="80"/>
      <c r="DR164" s="80"/>
      <c r="DS164" s="80"/>
      <c r="DT164" s="80"/>
      <c r="DU164" s="80"/>
      <c r="DV164" s="80"/>
      <c r="DW164" s="80"/>
      <c r="DX164" s="80"/>
      <c r="DY164" s="80"/>
      <c r="DZ164" s="80"/>
      <c r="EA164" s="80"/>
      <c r="EB164" s="80"/>
      <c r="EC164" s="80"/>
      <c r="ED164" s="80"/>
      <c r="EE164" s="80"/>
      <c r="EF164" s="80"/>
      <c r="EG164" s="80"/>
      <c r="EH164" s="80"/>
      <c r="EI164" s="80"/>
      <c r="EJ164" s="80"/>
      <c r="EK164" s="80"/>
      <c r="EL164" s="80"/>
      <c r="EM164" s="80"/>
      <c r="EN164" s="80"/>
      <c r="EO164" s="80"/>
      <c r="EP164" s="80"/>
      <c r="EQ164" s="80"/>
      <c r="ER164" s="80"/>
      <c r="ES164" s="80"/>
      <c r="ET164" s="80"/>
      <c r="EU164" s="80"/>
      <c r="EV164" s="80"/>
      <c r="EW164" s="80"/>
      <c r="EX164" s="80"/>
      <c r="EY164" s="80"/>
      <c r="EZ164" s="80"/>
      <c r="FA164" s="80"/>
      <c r="FB164" s="80"/>
      <c r="FC164" s="80"/>
      <c r="FD164" s="80"/>
      <c r="FE164" s="80"/>
      <c r="FF164" s="80"/>
      <c r="FG164" s="80"/>
      <c r="FH164" s="80"/>
      <c r="FI164" s="80"/>
      <c r="FJ164" s="80"/>
      <c r="FK164" s="80"/>
      <c r="FL164" s="80"/>
      <c r="FM164" s="80"/>
      <c r="FN164" s="80"/>
      <c r="FO164" s="80"/>
      <c r="FP164" s="80"/>
      <c r="FQ164" s="80"/>
      <c r="FR164" s="80"/>
      <c r="FS164" s="80"/>
      <c r="FT164" s="80"/>
      <c r="FU164" s="80"/>
      <c r="FV164" s="80"/>
      <c r="FW164" s="80"/>
      <c r="FX164" s="80"/>
      <c r="FY164" s="80"/>
      <c r="FZ164" s="80"/>
      <c r="GA164" s="80"/>
      <c r="GB164" s="80"/>
      <c r="GC164" s="80"/>
      <c r="GD164" s="80"/>
      <c r="GE164" s="80"/>
      <c r="GF164" s="80"/>
      <c r="GG164" s="80"/>
      <c r="GH164" s="80"/>
      <c r="GI164" s="80"/>
      <c r="GJ164" s="80"/>
      <c r="GK164" s="80"/>
      <c r="GL164" s="80"/>
      <c r="GM164" s="80"/>
      <c r="GN164" s="80"/>
      <c r="GO164" s="80"/>
      <c r="GP164" s="80"/>
      <c r="GQ164" s="80"/>
      <c r="GR164" s="80"/>
      <c r="GS164" s="80"/>
      <c r="GT164" s="80"/>
      <c r="GU164" s="80"/>
      <c r="GV164" s="80"/>
      <c r="GW164" s="80"/>
      <c r="GX164" s="80"/>
      <c r="GY164" s="80"/>
      <c r="GZ164" s="80"/>
      <c r="HA164" s="80"/>
      <c r="HB164" s="80"/>
      <c r="HC164" s="80"/>
      <c r="HD164" s="80"/>
      <c r="HE164" s="80"/>
      <c r="HF164" s="80"/>
      <c r="HG164" s="80"/>
      <c r="HH164" s="80"/>
      <c r="HI164" s="80"/>
      <c r="HJ164" s="80"/>
      <c r="HK164" s="80"/>
      <c r="HL164" s="80"/>
      <c r="HM164" s="80"/>
      <c r="HN164" s="80"/>
      <c r="HO164" s="80"/>
      <c r="HP164" s="80"/>
      <c r="HQ164" s="80"/>
      <c r="HR164" s="80"/>
      <c r="HS164" s="80"/>
      <c r="HT164" s="80"/>
      <c r="HU164" s="80"/>
      <c r="HV164" s="80"/>
      <c r="HW164" s="80"/>
      <c r="HX164" s="80"/>
      <c r="HY164" s="80"/>
      <c r="HZ164" s="80"/>
      <c r="IA164" s="80"/>
      <c r="IB164" s="80"/>
      <c r="IC164" s="80"/>
      <c r="ID164" s="80"/>
      <c r="IE164" s="80"/>
      <c r="IF164" s="80"/>
      <c r="IG164" s="80"/>
      <c r="IH164" s="80"/>
      <c r="II164" s="80"/>
      <c r="IJ164" s="80"/>
      <c r="IK164" s="80"/>
      <c r="IL164" s="80"/>
      <c r="IM164" s="80"/>
      <c r="IN164" s="80"/>
      <c r="IO164" s="80"/>
      <c r="IP164" s="80"/>
      <c r="IQ164" s="80"/>
      <c r="IR164" s="80"/>
      <c r="IS164" s="80"/>
      <c r="IT164" s="80"/>
      <c r="IU164" s="80"/>
      <c r="IV164" s="80"/>
    </row>
    <row r="165" spans="1:256" ht="14.25" x14ac:dyDescent="0.2">
      <c r="A165" s="78"/>
      <c r="B165" s="78"/>
      <c r="C165" s="78"/>
      <c r="D165" s="87" t="s">
        <v>212</v>
      </c>
      <c r="E165" s="87"/>
      <c r="F165" s="87"/>
      <c r="G165" s="87"/>
      <c r="H165" s="87"/>
      <c r="I165" s="88"/>
      <c r="J165" s="89">
        <f>I157+I156</f>
        <v>73109.570000000007</v>
      </c>
      <c r="K165" s="90"/>
      <c r="L165" s="89">
        <f>K156+K157</f>
        <v>1750243.12</v>
      </c>
      <c r="M165" s="82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80"/>
      <c r="DF165" s="80"/>
      <c r="DG165" s="80"/>
      <c r="DH165" s="80"/>
      <c r="DI165" s="80"/>
      <c r="DJ165" s="80"/>
      <c r="DK165" s="80"/>
      <c r="DL165" s="80"/>
      <c r="DM165" s="80"/>
      <c r="DN165" s="80"/>
      <c r="DO165" s="80"/>
      <c r="DP165" s="80"/>
      <c r="DQ165" s="80"/>
      <c r="DR165" s="80"/>
      <c r="DS165" s="80"/>
      <c r="DT165" s="80"/>
      <c r="DU165" s="80"/>
      <c r="DV165" s="80"/>
      <c r="DW165" s="80"/>
      <c r="DX165" s="80"/>
      <c r="DY165" s="80"/>
      <c r="DZ165" s="80"/>
      <c r="EA165" s="80"/>
      <c r="EB165" s="80"/>
      <c r="EC165" s="80"/>
      <c r="ED165" s="80"/>
      <c r="EE165" s="80"/>
      <c r="EF165" s="80"/>
      <c r="EG165" s="80"/>
      <c r="EH165" s="80"/>
      <c r="EI165" s="80"/>
      <c r="EJ165" s="80"/>
      <c r="EK165" s="80"/>
      <c r="EL165" s="80"/>
      <c r="EM165" s="80"/>
      <c r="EN165" s="80"/>
      <c r="EO165" s="80"/>
      <c r="EP165" s="80"/>
      <c r="EQ165" s="80"/>
      <c r="ER165" s="80"/>
      <c r="ES165" s="80"/>
      <c r="ET165" s="80"/>
      <c r="EU165" s="80"/>
      <c r="EV165" s="80"/>
      <c r="EW165" s="80"/>
      <c r="EX165" s="80"/>
      <c r="EY165" s="80"/>
      <c r="EZ165" s="80"/>
      <c r="FA165" s="80"/>
      <c r="FB165" s="80"/>
      <c r="FC165" s="80"/>
      <c r="FD165" s="80"/>
      <c r="FE165" s="80"/>
      <c r="FF165" s="80"/>
      <c r="FG165" s="80"/>
      <c r="FH165" s="80"/>
      <c r="FI165" s="80"/>
      <c r="FJ165" s="80"/>
      <c r="FK165" s="80"/>
      <c r="FL165" s="80"/>
      <c r="FM165" s="80"/>
      <c r="FN165" s="80"/>
      <c r="FO165" s="80"/>
      <c r="FP165" s="80"/>
      <c r="FQ165" s="80"/>
      <c r="FR165" s="80"/>
      <c r="FS165" s="80"/>
      <c r="FT165" s="80"/>
      <c r="FU165" s="80"/>
      <c r="FV165" s="80"/>
      <c r="FW165" s="80"/>
      <c r="FX165" s="80"/>
      <c r="FY165" s="80"/>
      <c r="FZ165" s="80"/>
      <c r="GA165" s="80"/>
      <c r="GB165" s="80"/>
      <c r="GC165" s="80"/>
      <c r="GD165" s="80"/>
      <c r="GE165" s="80"/>
      <c r="GF165" s="80"/>
      <c r="GG165" s="80"/>
      <c r="GH165" s="80"/>
      <c r="GI165" s="80"/>
      <c r="GJ165" s="80"/>
      <c r="GK165" s="80"/>
      <c r="GL165" s="80"/>
      <c r="GM165" s="80"/>
      <c r="GN165" s="80"/>
      <c r="GO165" s="80"/>
      <c r="GP165" s="80"/>
      <c r="GQ165" s="80"/>
      <c r="GR165" s="80"/>
      <c r="GS165" s="80"/>
      <c r="GT165" s="80"/>
      <c r="GU165" s="80"/>
      <c r="GV165" s="80"/>
      <c r="GW165" s="80"/>
      <c r="GX165" s="80"/>
      <c r="GY165" s="80"/>
      <c r="GZ165" s="80"/>
      <c r="HA165" s="80"/>
      <c r="HB165" s="80"/>
      <c r="HC165" s="80"/>
      <c r="HD165" s="80"/>
      <c r="HE165" s="80"/>
      <c r="HF165" s="80"/>
      <c r="HG165" s="80"/>
      <c r="HH165" s="80"/>
      <c r="HI165" s="80"/>
      <c r="HJ165" s="80"/>
      <c r="HK165" s="80"/>
      <c r="HL165" s="80"/>
      <c r="HM165" s="80"/>
      <c r="HN165" s="80"/>
      <c r="HO165" s="80"/>
      <c r="HP165" s="80"/>
      <c r="HQ165" s="80"/>
      <c r="HR165" s="80"/>
      <c r="HS165" s="80"/>
      <c r="HT165" s="80"/>
      <c r="HU165" s="80"/>
      <c r="HV165" s="80"/>
      <c r="HW165" s="80"/>
      <c r="HX165" s="80"/>
      <c r="HY165" s="80"/>
      <c r="HZ165" s="80"/>
      <c r="IA165" s="80"/>
      <c r="IB165" s="80"/>
      <c r="IC165" s="80"/>
      <c r="ID165" s="80"/>
      <c r="IE165" s="80"/>
      <c r="IF165" s="80"/>
      <c r="IG165" s="80"/>
      <c r="IH165" s="80"/>
      <c r="II165" s="80"/>
      <c r="IJ165" s="80"/>
      <c r="IK165" s="80"/>
      <c r="IL165" s="80"/>
      <c r="IM165" s="80"/>
      <c r="IN165" s="80"/>
      <c r="IO165" s="80"/>
      <c r="IP165" s="80"/>
      <c r="IQ165" s="80"/>
      <c r="IR165" s="80"/>
      <c r="IS165" s="80"/>
      <c r="IT165" s="80"/>
      <c r="IU165" s="80"/>
      <c r="IV165" s="80"/>
    </row>
    <row r="166" spans="1:256" ht="14.25" x14ac:dyDescent="0.2">
      <c r="A166" s="78"/>
      <c r="B166" s="78"/>
      <c r="C166" s="78"/>
      <c r="D166" s="87" t="s">
        <v>213</v>
      </c>
      <c r="E166" s="87"/>
      <c r="F166" s="87"/>
      <c r="G166" s="87"/>
      <c r="H166" s="87"/>
      <c r="I166" s="88"/>
      <c r="J166" s="89">
        <f>I155</f>
        <v>2690178.26</v>
      </c>
      <c r="K166" s="90"/>
      <c r="L166" s="89">
        <f>K155</f>
        <v>10041543.68</v>
      </c>
      <c r="M166" s="82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  <c r="CR166" s="80"/>
      <c r="CS166" s="80"/>
      <c r="CT166" s="80"/>
      <c r="CU166" s="80"/>
      <c r="CV166" s="80"/>
      <c r="CW166" s="80"/>
      <c r="CX166" s="80"/>
      <c r="CY166" s="80"/>
      <c r="CZ166" s="80"/>
      <c r="DA166" s="80"/>
      <c r="DB166" s="80"/>
      <c r="DC166" s="80"/>
      <c r="DD166" s="80"/>
      <c r="DE166" s="80"/>
      <c r="DF166" s="80"/>
      <c r="DG166" s="80"/>
      <c r="DH166" s="80"/>
      <c r="DI166" s="80"/>
      <c r="DJ166" s="80"/>
      <c r="DK166" s="80"/>
      <c r="DL166" s="80"/>
      <c r="DM166" s="80"/>
      <c r="DN166" s="80"/>
      <c r="DO166" s="80"/>
      <c r="DP166" s="80"/>
      <c r="DQ166" s="80"/>
      <c r="DR166" s="80"/>
      <c r="DS166" s="80"/>
      <c r="DT166" s="80"/>
      <c r="DU166" s="80"/>
      <c r="DV166" s="80"/>
      <c r="DW166" s="80"/>
      <c r="DX166" s="80"/>
      <c r="DY166" s="80"/>
      <c r="DZ166" s="80"/>
      <c r="EA166" s="80"/>
      <c r="EB166" s="80"/>
      <c r="EC166" s="80"/>
      <c r="ED166" s="80"/>
      <c r="EE166" s="80"/>
      <c r="EF166" s="80"/>
      <c r="EG166" s="80"/>
      <c r="EH166" s="80"/>
      <c r="EI166" s="80"/>
      <c r="EJ166" s="80"/>
      <c r="EK166" s="80"/>
      <c r="EL166" s="80"/>
      <c r="EM166" s="80"/>
      <c r="EN166" s="80"/>
      <c r="EO166" s="80"/>
      <c r="EP166" s="80"/>
      <c r="EQ166" s="80"/>
      <c r="ER166" s="80"/>
      <c r="ES166" s="80"/>
      <c r="ET166" s="80"/>
      <c r="EU166" s="80"/>
      <c r="EV166" s="80"/>
      <c r="EW166" s="80"/>
      <c r="EX166" s="80"/>
      <c r="EY166" s="80"/>
      <c r="EZ166" s="80"/>
      <c r="FA166" s="80"/>
      <c r="FB166" s="80"/>
      <c r="FC166" s="80"/>
      <c r="FD166" s="80"/>
      <c r="FE166" s="80"/>
      <c r="FF166" s="80"/>
      <c r="FG166" s="80"/>
      <c r="FH166" s="80"/>
      <c r="FI166" s="80"/>
      <c r="FJ166" s="80"/>
      <c r="FK166" s="80"/>
      <c r="FL166" s="80"/>
      <c r="FM166" s="80"/>
      <c r="FN166" s="80"/>
      <c r="FO166" s="80"/>
      <c r="FP166" s="80"/>
      <c r="FQ166" s="80"/>
      <c r="FR166" s="80"/>
      <c r="FS166" s="80"/>
      <c r="FT166" s="80"/>
      <c r="FU166" s="80"/>
      <c r="FV166" s="80"/>
      <c r="FW166" s="80"/>
      <c r="FX166" s="80"/>
      <c r="FY166" s="80"/>
      <c r="FZ166" s="80"/>
      <c r="GA166" s="80"/>
      <c r="GB166" s="80"/>
      <c r="GC166" s="80"/>
      <c r="GD166" s="80"/>
      <c r="GE166" s="80"/>
      <c r="GF166" s="80"/>
      <c r="GG166" s="80"/>
      <c r="GH166" s="80"/>
      <c r="GI166" s="80"/>
      <c r="GJ166" s="80"/>
      <c r="GK166" s="80"/>
      <c r="GL166" s="80"/>
      <c r="GM166" s="80"/>
      <c r="GN166" s="80"/>
      <c r="GO166" s="80"/>
      <c r="GP166" s="80"/>
      <c r="GQ166" s="80"/>
      <c r="GR166" s="80"/>
      <c r="GS166" s="80"/>
      <c r="GT166" s="80"/>
      <c r="GU166" s="80"/>
      <c r="GV166" s="80"/>
      <c r="GW166" s="80"/>
      <c r="GX166" s="80"/>
      <c r="GY166" s="80"/>
      <c r="GZ166" s="80"/>
      <c r="HA166" s="80"/>
      <c r="HB166" s="80"/>
      <c r="HC166" s="80"/>
      <c r="HD166" s="80"/>
      <c r="HE166" s="80"/>
      <c r="HF166" s="80"/>
      <c r="HG166" s="80"/>
      <c r="HH166" s="80"/>
      <c r="HI166" s="80"/>
      <c r="HJ166" s="80"/>
      <c r="HK166" s="80"/>
      <c r="HL166" s="80"/>
      <c r="HM166" s="80"/>
      <c r="HN166" s="80"/>
      <c r="HO166" s="80"/>
      <c r="HP166" s="80"/>
      <c r="HQ166" s="80"/>
      <c r="HR166" s="80"/>
      <c r="HS166" s="80"/>
      <c r="HT166" s="80"/>
      <c r="HU166" s="80"/>
      <c r="HV166" s="80"/>
      <c r="HW166" s="80"/>
      <c r="HX166" s="80"/>
      <c r="HY166" s="80"/>
      <c r="HZ166" s="80"/>
      <c r="IA166" s="80"/>
      <c r="IB166" s="80"/>
      <c r="IC166" s="80"/>
      <c r="ID166" s="80"/>
      <c r="IE166" s="80"/>
      <c r="IF166" s="80"/>
      <c r="IG166" s="80"/>
      <c r="IH166" s="80"/>
      <c r="II166" s="80"/>
      <c r="IJ166" s="80"/>
      <c r="IK166" s="80"/>
      <c r="IL166" s="80"/>
      <c r="IM166" s="80"/>
      <c r="IN166" s="80"/>
      <c r="IO166" s="80"/>
      <c r="IP166" s="80"/>
      <c r="IQ166" s="80"/>
      <c r="IR166" s="80"/>
      <c r="IS166" s="80"/>
      <c r="IT166" s="80"/>
      <c r="IU166" s="80"/>
      <c r="IV166" s="80"/>
    </row>
    <row r="167" spans="1:256" ht="14.25" x14ac:dyDescent="0.2">
      <c r="A167" s="91"/>
      <c r="B167" s="91"/>
      <c r="C167" s="91"/>
      <c r="D167" s="92" t="s">
        <v>214</v>
      </c>
      <c r="E167" s="92"/>
      <c r="F167" s="92"/>
      <c r="G167" s="92"/>
      <c r="H167" s="92"/>
      <c r="I167" s="93"/>
      <c r="J167" s="94">
        <v>0</v>
      </c>
      <c r="K167" s="95"/>
      <c r="L167" s="94">
        <v>0</v>
      </c>
      <c r="M167" s="82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  <c r="DB167" s="96"/>
      <c r="DC167" s="96"/>
      <c r="DD167" s="96"/>
      <c r="DE167" s="96"/>
      <c r="DF167" s="96"/>
      <c r="DG167" s="96"/>
      <c r="DH167" s="96"/>
      <c r="DI167" s="96"/>
      <c r="DJ167" s="96"/>
      <c r="DK167" s="96"/>
      <c r="DL167" s="96"/>
      <c r="DM167" s="96"/>
      <c r="DN167" s="96"/>
      <c r="DO167" s="96"/>
      <c r="DP167" s="96"/>
      <c r="DQ167" s="96"/>
      <c r="DR167" s="96"/>
      <c r="DS167" s="96"/>
      <c r="DT167" s="96"/>
      <c r="DU167" s="96"/>
      <c r="DV167" s="96"/>
      <c r="DW167" s="96"/>
      <c r="DX167" s="96"/>
      <c r="DY167" s="96"/>
      <c r="DZ167" s="96"/>
      <c r="EA167" s="96"/>
      <c r="EB167" s="96"/>
      <c r="EC167" s="96"/>
      <c r="ED167" s="96"/>
      <c r="EE167" s="96"/>
      <c r="EF167" s="96"/>
      <c r="EG167" s="96"/>
      <c r="EH167" s="96"/>
      <c r="EI167" s="96"/>
      <c r="EJ167" s="96"/>
      <c r="EK167" s="96"/>
      <c r="EL167" s="96"/>
      <c r="EM167" s="96"/>
      <c r="EN167" s="96"/>
      <c r="EO167" s="96"/>
      <c r="EP167" s="96"/>
      <c r="EQ167" s="96"/>
      <c r="ER167" s="96"/>
      <c r="ES167" s="96"/>
      <c r="ET167" s="96"/>
      <c r="EU167" s="96"/>
      <c r="EV167" s="96"/>
      <c r="EW167" s="96"/>
      <c r="EX167" s="96"/>
      <c r="EY167" s="96"/>
      <c r="EZ167" s="96"/>
      <c r="FA167" s="96"/>
      <c r="FB167" s="96"/>
      <c r="FC167" s="96"/>
      <c r="FD167" s="96"/>
      <c r="FE167" s="96"/>
      <c r="FF167" s="96"/>
      <c r="FG167" s="96"/>
      <c r="FH167" s="96"/>
      <c r="FI167" s="96"/>
      <c r="FJ167" s="96"/>
      <c r="FK167" s="96"/>
      <c r="FL167" s="96"/>
      <c r="FM167" s="96"/>
      <c r="FN167" s="96"/>
      <c r="FO167" s="96"/>
      <c r="FP167" s="96"/>
      <c r="FQ167" s="96"/>
      <c r="FR167" s="96"/>
      <c r="FS167" s="96"/>
      <c r="FT167" s="96"/>
      <c r="FU167" s="96"/>
      <c r="FV167" s="96"/>
      <c r="FW167" s="96"/>
      <c r="FX167" s="96"/>
      <c r="FY167" s="96"/>
      <c r="FZ167" s="96"/>
      <c r="GA167" s="96"/>
      <c r="GB167" s="96"/>
      <c r="GC167" s="96"/>
      <c r="GD167" s="96"/>
      <c r="GE167" s="96"/>
      <c r="GF167" s="96"/>
      <c r="GG167" s="96"/>
      <c r="GH167" s="96"/>
      <c r="GI167" s="96"/>
      <c r="GJ167" s="96"/>
      <c r="GK167" s="96"/>
      <c r="GL167" s="96"/>
      <c r="GM167" s="96"/>
      <c r="GN167" s="96"/>
      <c r="GO167" s="96"/>
      <c r="GP167" s="96"/>
      <c r="GQ167" s="96"/>
      <c r="GR167" s="96"/>
      <c r="GS167" s="96"/>
      <c r="GT167" s="96"/>
      <c r="GU167" s="96"/>
      <c r="GV167" s="96"/>
      <c r="GW167" s="96"/>
      <c r="GX167" s="96"/>
      <c r="GY167" s="96"/>
      <c r="GZ167" s="96"/>
      <c r="HA167" s="96"/>
      <c r="HB167" s="96"/>
      <c r="HC167" s="96"/>
      <c r="HD167" s="96"/>
      <c r="HE167" s="96"/>
      <c r="HF167" s="96"/>
      <c r="HG167" s="96"/>
      <c r="HH167" s="96"/>
      <c r="HI167" s="96"/>
      <c r="HJ167" s="96"/>
      <c r="HK167" s="96"/>
      <c r="HL167" s="96"/>
      <c r="HM167" s="96"/>
      <c r="HN167" s="96"/>
      <c r="HO167" s="96"/>
      <c r="HP167" s="96"/>
      <c r="HQ167" s="96"/>
      <c r="HR167" s="96"/>
      <c r="HS167" s="96"/>
      <c r="HT167" s="96"/>
      <c r="HU167" s="96"/>
      <c r="HV167" s="96"/>
      <c r="HW167" s="96"/>
      <c r="HX167" s="96"/>
      <c r="HY167" s="96"/>
      <c r="HZ167" s="96"/>
      <c r="IA167" s="96"/>
      <c r="IB167" s="96"/>
      <c r="IC167" s="96"/>
      <c r="ID167" s="96"/>
      <c r="IE167" s="96"/>
      <c r="IF167" s="96"/>
      <c r="IG167" s="96"/>
      <c r="IH167" s="96"/>
      <c r="II167" s="96"/>
      <c r="IJ167" s="96"/>
      <c r="IK167" s="96"/>
      <c r="IL167" s="96"/>
      <c r="IM167" s="96"/>
      <c r="IN167" s="96"/>
      <c r="IO167" s="96"/>
      <c r="IP167" s="96"/>
      <c r="IQ167" s="96"/>
      <c r="IR167" s="96"/>
      <c r="IS167" s="96"/>
      <c r="IT167" s="96"/>
      <c r="IU167" s="96"/>
      <c r="IV167" s="96"/>
    </row>
    <row r="168" spans="1:256" x14ac:dyDescent="0.2">
      <c r="A168" s="74"/>
      <c r="B168" s="74"/>
      <c r="C168" s="74"/>
      <c r="D168" s="97" t="s">
        <v>215</v>
      </c>
      <c r="E168" s="97"/>
      <c r="F168" s="97"/>
      <c r="G168" s="97"/>
      <c r="H168" s="97"/>
      <c r="I168" s="97"/>
      <c r="J168" s="98">
        <f>J165*15%</f>
        <v>10966.44</v>
      </c>
      <c r="K168" s="98"/>
      <c r="L168" s="98">
        <f>L165*15%</f>
        <v>262536.46999999997</v>
      </c>
      <c r="M168" s="77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74"/>
      <c r="EK168" s="74"/>
      <c r="EL168" s="74"/>
      <c r="EM168" s="74"/>
      <c r="EN168" s="74"/>
      <c r="EO168" s="74"/>
      <c r="EP168" s="74"/>
      <c r="EQ168" s="74"/>
      <c r="ER168" s="74"/>
      <c r="ES168" s="74"/>
      <c r="ET168" s="74"/>
      <c r="EU168" s="74"/>
      <c r="EV168" s="74"/>
      <c r="EW168" s="74"/>
      <c r="EX168" s="74"/>
      <c r="EY168" s="74"/>
      <c r="EZ168" s="74"/>
      <c r="FA168" s="74"/>
      <c r="FB168" s="74"/>
      <c r="FC168" s="74"/>
      <c r="FD168" s="74"/>
      <c r="FE168" s="74"/>
      <c r="FF168" s="74"/>
      <c r="FG168" s="74"/>
      <c r="FH168" s="74"/>
      <c r="FI168" s="74"/>
      <c r="FJ168" s="74"/>
      <c r="FK168" s="74"/>
      <c r="FL168" s="74"/>
      <c r="FM168" s="74"/>
      <c r="FN168" s="74"/>
      <c r="FO168" s="74"/>
      <c r="FP168" s="74"/>
      <c r="FQ168" s="74"/>
      <c r="FR168" s="74"/>
      <c r="FS168" s="74"/>
      <c r="FT168" s="74"/>
      <c r="FU168" s="74"/>
      <c r="FV168" s="74"/>
      <c r="FW168" s="74"/>
      <c r="FX168" s="74"/>
      <c r="FY168" s="74"/>
      <c r="FZ168" s="74"/>
      <c r="GA168" s="74"/>
      <c r="GB168" s="74"/>
      <c r="GC168" s="74"/>
      <c r="GD168" s="74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</row>
    <row r="169" spans="1:256" x14ac:dyDescent="0.2">
      <c r="A169" s="74"/>
      <c r="B169" s="74"/>
      <c r="C169" s="74"/>
      <c r="D169" s="99" t="s">
        <v>216</v>
      </c>
      <c r="E169" s="100"/>
      <c r="F169" s="100"/>
      <c r="G169" s="100"/>
      <c r="H169" s="100"/>
      <c r="I169" s="100"/>
      <c r="J169" s="101">
        <f>J163+J168</f>
        <v>2941361</v>
      </c>
      <c r="K169" s="101"/>
      <c r="L169" s="101">
        <f>L163+L168</f>
        <v>14641498.32</v>
      </c>
      <c r="M169" s="77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74"/>
      <c r="EK169" s="74"/>
      <c r="EL169" s="74"/>
      <c r="EM169" s="74"/>
      <c r="EN169" s="74"/>
      <c r="EO169" s="74"/>
      <c r="EP169" s="74"/>
      <c r="EQ169" s="74"/>
      <c r="ER169" s="74"/>
      <c r="ES169" s="74"/>
      <c r="ET169" s="74"/>
      <c r="EU169" s="74"/>
      <c r="EV169" s="74"/>
      <c r="EW169" s="74"/>
      <c r="EX169" s="74"/>
      <c r="EY169" s="74"/>
      <c r="EZ169" s="74"/>
      <c r="FA169" s="74"/>
      <c r="FB169" s="74"/>
      <c r="FC169" s="74"/>
      <c r="FD169" s="74"/>
      <c r="FE169" s="74"/>
      <c r="FF169" s="74"/>
      <c r="FG169" s="74"/>
      <c r="FH169" s="74"/>
      <c r="FI169" s="74"/>
      <c r="FJ169" s="74"/>
      <c r="FK169" s="74"/>
      <c r="FL169" s="74"/>
      <c r="FM169" s="74"/>
      <c r="FN169" s="74"/>
      <c r="FO169" s="74"/>
      <c r="FP169" s="74"/>
      <c r="FQ169" s="74"/>
      <c r="FR169" s="74"/>
      <c r="FS169" s="74"/>
      <c r="FT169" s="74"/>
      <c r="FU169" s="74"/>
      <c r="FV169" s="74"/>
      <c r="FW169" s="74"/>
      <c r="FX169" s="74"/>
      <c r="FY169" s="74"/>
      <c r="FZ169" s="74"/>
      <c r="GA169" s="74"/>
      <c r="GB169" s="74"/>
      <c r="GC169" s="74"/>
      <c r="GD169" s="74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</row>
    <row r="170" spans="1:256" x14ac:dyDescent="0.2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2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  <c r="DR170" s="81"/>
      <c r="DS170" s="81"/>
      <c r="DT170" s="81"/>
      <c r="DU170" s="81"/>
      <c r="DV170" s="81"/>
      <c r="DW170" s="81"/>
      <c r="DX170" s="81"/>
      <c r="DY170" s="81"/>
      <c r="DZ170" s="81"/>
      <c r="EA170" s="81"/>
      <c r="EB170" s="81"/>
      <c r="EC170" s="81"/>
      <c r="ED170" s="81"/>
      <c r="EE170" s="81"/>
      <c r="EF170" s="81"/>
      <c r="EG170" s="81"/>
      <c r="EH170" s="81"/>
      <c r="EI170" s="81"/>
      <c r="EJ170" s="81"/>
      <c r="EK170" s="81"/>
      <c r="EL170" s="81"/>
      <c r="EM170" s="81"/>
      <c r="EN170" s="81"/>
      <c r="EO170" s="81"/>
      <c r="EP170" s="81"/>
      <c r="EQ170" s="81"/>
      <c r="ER170" s="81"/>
      <c r="ES170" s="81"/>
      <c r="ET170" s="81"/>
      <c r="EU170" s="81"/>
      <c r="EV170" s="81"/>
      <c r="EW170" s="81"/>
      <c r="EX170" s="81"/>
      <c r="EY170" s="81"/>
      <c r="EZ170" s="81"/>
      <c r="FA170" s="81"/>
      <c r="FB170" s="81"/>
      <c r="FC170" s="81"/>
      <c r="FD170" s="81"/>
      <c r="FE170" s="81"/>
      <c r="FF170" s="81"/>
      <c r="FG170" s="81"/>
      <c r="FH170" s="81"/>
      <c r="FI170" s="81"/>
      <c r="FJ170" s="81"/>
      <c r="FK170" s="81"/>
      <c r="FL170" s="81"/>
      <c r="FM170" s="81"/>
      <c r="FN170" s="81"/>
      <c r="FO170" s="81"/>
      <c r="FP170" s="81"/>
      <c r="FQ170" s="81"/>
      <c r="FR170" s="81"/>
      <c r="FS170" s="81"/>
      <c r="FT170" s="81"/>
      <c r="FU170" s="81"/>
      <c r="FV170" s="81"/>
      <c r="FW170" s="81"/>
      <c r="FX170" s="81"/>
      <c r="FY170" s="81"/>
      <c r="FZ170" s="81"/>
      <c r="GA170" s="81"/>
      <c r="GB170" s="81"/>
      <c r="GC170" s="81"/>
      <c r="GD170" s="81"/>
      <c r="GE170" s="81"/>
      <c r="GF170" s="81"/>
      <c r="GG170" s="81"/>
      <c r="GH170" s="81"/>
      <c r="GI170" s="81"/>
      <c r="GJ170" s="81"/>
      <c r="GK170" s="81"/>
      <c r="GL170" s="81"/>
      <c r="GM170" s="81"/>
      <c r="GN170" s="81"/>
      <c r="GO170" s="81"/>
      <c r="GP170" s="81"/>
      <c r="GQ170" s="81"/>
      <c r="GR170" s="81"/>
      <c r="GS170" s="81"/>
      <c r="GT170" s="81"/>
      <c r="GU170" s="81"/>
      <c r="GV170" s="81"/>
      <c r="GW170" s="81"/>
      <c r="GX170" s="81"/>
      <c r="GY170" s="81"/>
      <c r="GZ170" s="81"/>
      <c r="HA170" s="81"/>
      <c r="HB170" s="81"/>
      <c r="HC170" s="81"/>
      <c r="HD170" s="81"/>
      <c r="HE170" s="81"/>
      <c r="HF170" s="81"/>
      <c r="HG170" s="81"/>
      <c r="HH170" s="81"/>
      <c r="HI170" s="81"/>
      <c r="HJ170" s="81"/>
      <c r="HK170" s="81"/>
      <c r="HL170" s="81"/>
      <c r="HM170" s="81"/>
      <c r="HN170" s="81"/>
      <c r="HO170" s="81"/>
      <c r="HP170" s="81"/>
      <c r="HQ170" s="81"/>
      <c r="HR170" s="81"/>
      <c r="HS170" s="81"/>
      <c r="HT170" s="81"/>
      <c r="HU170" s="81"/>
      <c r="HV170" s="81"/>
      <c r="HW170" s="81"/>
      <c r="HX170" s="81"/>
      <c r="HY170" s="81"/>
      <c r="HZ170" s="81"/>
      <c r="IA170" s="81"/>
      <c r="IB170" s="81"/>
      <c r="IC170" s="81"/>
      <c r="ID170" s="81"/>
      <c r="IE170" s="81"/>
      <c r="IF170" s="81"/>
      <c r="IG170" s="81"/>
      <c r="IH170" s="81"/>
      <c r="II170" s="81"/>
      <c r="IJ170" s="81"/>
      <c r="IK170" s="81"/>
      <c r="IL170" s="81"/>
      <c r="IM170" s="81"/>
      <c r="IN170" s="81"/>
      <c r="IO170" s="81"/>
      <c r="IP170" s="81"/>
      <c r="IQ170" s="81"/>
      <c r="IR170" s="81"/>
      <c r="IS170" s="81"/>
      <c r="IT170" s="81"/>
      <c r="IU170" s="81"/>
      <c r="IV170" s="81"/>
    </row>
    <row r="171" spans="1:256" x14ac:dyDescent="0.2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2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81"/>
      <c r="DF171" s="81"/>
      <c r="DG171" s="81"/>
      <c r="DH171" s="81"/>
      <c r="DI171" s="81"/>
      <c r="DJ171" s="81"/>
      <c r="DK171" s="81"/>
      <c r="DL171" s="81"/>
      <c r="DM171" s="81"/>
      <c r="DN171" s="81"/>
      <c r="DO171" s="81"/>
      <c r="DP171" s="81"/>
      <c r="DQ171" s="81"/>
      <c r="DR171" s="81"/>
      <c r="DS171" s="81"/>
      <c r="DT171" s="81"/>
      <c r="DU171" s="81"/>
      <c r="DV171" s="81"/>
      <c r="DW171" s="81"/>
      <c r="DX171" s="81"/>
      <c r="DY171" s="81"/>
      <c r="DZ171" s="81"/>
      <c r="EA171" s="81"/>
      <c r="EB171" s="81"/>
      <c r="EC171" s="81"/>
      <c r="ED171" s="81"/>
      <c r="EE171" s="81"/>
      <c r="EF171" s="81"/>
      <c r="EG171" s="81"/>
      <c r="EH171" s="81"/>
      <c r="EI171" s="81"/>
      <c r="EJ171" s="81"/>
      <c r="EK171" s="81"/>
      <c r="EL171" s="81"/>
      <c r="EM171" s="81"/>
      <c r="EN171" s="81"/>
      <c r="EO171" s="81"/>
      <c r="EP171" s="81"/>
      <c r="EQ171" s="81"/>
      <c r="ER171" s="81"/>
      <c r="ES171" s="81"/>
      <c r="ET171" s="81"/>
      <c r="EU171" s="81"/>
      <c r="EV171" s="81"/>
      <c r="EW171" s="81"/>
      <c r="EX171" s="81"/>
      <c r="EY171" s="81"/>
      <c r="EZ171" s="81"/>
      <c r="FA171" s="81"/>
      <c r="FB171" s="81"/>
      <c r="FC171" s="81"/>
      <c r="FD171" s="81"/>
      <c r="FE171" s="81"/>
      <c r="FF171" s="81"/>
      <c r="FG171" s="81"/>
      <c r="FH171" s="81"/>
      <c r="FI171" s="81"/>
      <c r="FJ171" s="81"/>
      <c r="FK171" s="81"/>
      <c r="FL171" s="81"/>
      <c r="FM171" s="81"/>
      <c r="FN171" s="81"/>
      <c r="FO171" s="81"/>
      <c r="FP171" s="81"/>
      <c r="FQ171" s="81"/>
      <c r="FR171" s="81"/>
      <c r="FS171" s="81"/>
      <c r="FT171" s="81"/>
      <c r="FU171" s="81"/>
      <c r="FV171" s="81"/>
      <c r="FW171" s="81"/>
      <c r="FX171" s="81"/>
      <c r="FY171" s="81"/>
      <c r="FZ171" s="81"/>
      <c r="GA171" s="81"/>
      <c r="GB171" s="81"/>
      <c r="GC171" s="81"/>
      <c r="GD171" s="81"/>
      <c r="GE171" s="81"/>
      <c r="GF171" s="81"/>
      <c r="GG171" s="81"/>
      <c r="GH171" s="81"/>
      <c r="GI171" s="81"/>
      <c r="GJ171" s="81"/>
      <c r="GK171" s="81"/>
      <c r="GL171" s="81"/>
      <c r="GM171" s="81"/>
      <c r="GN171" s="81"/>
      <c r="GO171" s="81"/>
      <c r="GP171" s="81"/>
      <c r="GQ171" s="81"/>
      <c r="GR171" s="81"/>
      <c r="GS171" s="81"/>
      <c r="GT171" s="81"/>
      <c r="GU171" s="81"/>
      <c r="GV171" s="81"/>
      <c r="GW171" s="81"/>
      <c r="GX171" s="81"/>
      <c r="GY171" s="81"/>
      <c r="GZ171" s="81"/>
      <c r="HA171" s="81"/>
      <c r="HB171" s="81"/>
      <c r="HC171" s="81"/>
      <c r="HD171" s="81"/>
      <c r="HE171" s="81"/>
      <c r="HF171" s="81"/>
      <c r="HG171" s="81"/>
      <c r="HH171" s="81"/>
      <c r="HI171" s="81"/>
      <c r="HJ171" s="81"/>
      <c r="HK171" s="81"/>
      <c r="HL171" s="81"/>
      <c r="HM171" s="81"/>
      <c r="HN171" s="81"/>
      <c r="HO171" s="81"/>
      <c r="HP171" s="81"/>
      <c r="HQ171" s="81"/>
      <c r="HR171" s="81"/>
      <c r="HS171" s="81"/>
      <c r="HT171" s="81"/>
      <c r="HU171" s="81"/>
      <c r="HV171" s="81"/>
      <c r="HW171" s="81"/>
      <c r="HX171" s="81"/>
      <c r="HY171" s="81"/>
      <c r="HZ171" s="81"/>
      <c r="IA171" s="81"/>
      <c r="IB171" s="81"/>
      <c r="IC171" s="81"/>
      <c r="ID171" s="81"/>
      <c r="IE171" s="81"/>
      <c r="IF171" s="81"/>
      <c r="IG171" s="81"/>
      <c r="IH171" s="81"/>
      <c r="II171" s="81"/>
      <c r="IJ171" s="81"/>
      <c r="IK171" s="81"/>
      <c r="IL171" s="81"/>
      <c r="IM171" s="81"/>
      <c r="IN171" s="81"/>
      <c r="IO171" s="81"/>
      <c r="IP171" s="81"/>
      <c r="IQ171" s="81"/>
      <c r="IR171" s="81"/>
      <c r="IS171" s="81"/>
      <c r="IT171" s="81"/>
      <c r="IU171" s="81"/>
      <c r="IV171" s="81"/>
    </row>
    <row r="172" spans="1:256" x14ac:dyDescent="0.2">
      <c r="A172" s="75"/>
      <c r="B172" s="75"/>
      <c r="C172" s="75"/>
      <c r="D172" s="99" t="s">
        <v>217</v>
      </c>
      <c r="E172" s="97"/>
      <c r="F172" s="97"/>
      <c r="G172" s="97"/>
      <c r="H172" s="97"/>
      <c r="I172" s="97"/>
      <c r="J172" s="102">
        <f>J163</f>
        <v>2930394.56</v>
      </c>
      <c r="K172" s="102"/>
      <c r="L172" s="102">
        <f>L163*0.925</f>
        <v>13300539.710000001</v>
      </c>
      <c r="M172" s="103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  <c r="BM172" s="104"/>
      <c r="BN172" s="104"/>
      <c r="BO172" s="104"/>
      <c r="BP172" s="104"/>
      <c r="BQ172" s="104"/>
      <c r="BR172" s="104"/>
      <c r="BS172" s="104"/>
      <c r="BT172" s="104"/>
      <c r="BU172" s="104"/>
      <c r="BV172" s="104"/>
      <c r="BW172" s="104"/>
      <c r="BX172" s="104"/>
      <c r="BY172" s="104"/>
      <c r="BZ172" s="104"/>
      <c r="CA172" s="104"/>
      <c r="CB172" s="104"/>
      <c r="CC172" s="104"/>
      <c r="CD172" s="104"/>
      <c r="CE172" s="104"/>
      <c r="CF172" s="104"/>
      <c r="CG172" s="104"/>
      <c r="CH172" s="104"/>
      <c r="CI172" s="104"/>
      <c r="CJ172" s="104"/>
      <c r="CK172" s="104"/>
      <c r="CL172" s="104"/>
      <c r="CM172" s="104"/>
      <c r="CN172" s="104"/>
      <c r="CO172" s="104"/>
      <c r="CP172" s="104"/>
      <c r="CQ172" s="104"/>
      <c r="CR172" s="104"/>
      <c r="CS172" s="104"/>
      <c r="CT172" s="104"/>
      <c r="CU172" s="104"/>
      <c r="CV172" s="104"/>
      <c r="CW172" s="104"/>
      <c r="CX172" s="104"/>
      <c r="CY172" s="104"/>
      <c r="CZ172" s="104"/>
      <c r="DA172" s="104"/>
      <c r="DB172" s="104"/>
      <c r="DC172" s="104"/>
      <c r="DD172" s="104"/>
      <c r="DE172" s="104"/>
      <c r="DF172" s="104"/>
      <c r="DG172" s="104"/>
      <c r="DH172" s="104"/>
      <c r="DI172" s="104"/>
      <c r="DJ172" s="104"/>
      <c r="DK172" s="104"/>
      <c r="DL172" s="104"/>
      <c r="DM172" s="104"/>
      <c r="DN172" s="104"/>
      <c r="DO172" s="104"/>
      <c r="DP172" s="104"/>
      <c r="DQ172" s="104"/>
      <c r="DR172" s="104"/>
      <c r="DS172" s="104"/>
      <c r="DT172" s="104"/>
      <c r="DU172" s="104"/>
      <c r="DV172" s="104"/>
      <c r="DW172" s="104"/>
      <c r="DX172" s="104"/>
      <c r="DY172" s="104"/>
      <c r="DZ172" s="104"/>
      <c r="EA172" s="104"/>
      <c r="EB172" s="104"/>
      <c r="EC172" s="104"/>
      <c r="ED172" s="104"/>
      <c r="EE172" s="104"/>
      <c r="EF172" s="104"/>
      <c r="EG172" s="104"/>
      <c r="EH172" s="104"/>
      <c r="EI172" s="104"/>
      <c r="EJ172" s="104"/>
      <c r="EK172" s="104"/>
      <c r="EL172" s="104"/>
      <c r="EM172" s="104"/>
      <c r="EN172" s="104"/>
      <c r="EO172" s="104"/>
      <c r="EP172" s="104"/>
      <c r="EQ172" s="104"/>
      <c r="ER172" s="104"/>
      <c r="ES172" s="104"/>
      <c r="ET172" s="104"/>
      <c r="EU172" s="104"/>
      <c r="EV172" s="104"/>
      <c r="EW172" s="104"/>
      <c r="EX172" s="104"/>
      <c r="EY172" s="104"/>
      <c r="EZ172" s="104"/>
      <c r="FA172" s="104"/>
      <c r="FB172" s="104"/>
      <c r="FC172" s="104"/>
      <c r="FD172" s="104"/>
      <c r="FE172" s="104"/>
      <c r="FF172" s="104"/>
      <c r="FG172" s="104"/>
      <c r="FH172" s="104"/>
      <c r="FI172" s="104"/>
      <c r="FJ172" s="104"/>
      <c r="FK172" s="104"/>
      <c r="FL172" s="104"/>
      <c r="FM172" s="104"/>
      <c r="FN172" s="104"/>
      <c r="FO172" s="104"/>
      <c r="FP172" s="104"/>
      <c r="FQ172" s="104"/>
      <c r="FR172" s="104"/>
      <c r="FS172" s="104"/>
      <c r="FT172" s="104"/>
      <c r="FU172" s="104"/>
      <c r="FV172" s="104"/>
      <c r="FW172" s="104"/>
      <c r="FX172" s="104"/>
      <c r="FY172" s="104"/>
      <c r="FZ172" s="104"/>
      <c r="GA172" s="104"/>
      <c r="GB172" s="104"/>
      <c r="GC172" s="104"/>
      <c r="GD172" s="104"/>
      <c r="GE172" s="104"/>
      <c r="GF172" s="104"/>
      <c r="GG172" s="104"/>
      <c r="GH172" s="104"/>
      <c r="GI172" s="104"/>
      <c r="GJ172" s="104"/>
      <c r="GK172" s="104"/>
      <c r="GL172" s="104"/>
      <c r="GM172" s="104"/>
      <c r="GN172" s="104"/>
      <c r="GO172" s="104"/>
      <c r="GP172" s="104"/>
      <c r="GQ172" s="104"/>
      <c r="GR172" s="104"/>
      <c r="GS172" s="104"/>
      <c r="GT172" s="104"/>
      <c r="GU172" s="104"/>
      <c r="GV172" s="104"/>
      <c r="GW172" s="104"/>
      <c r="GX172" s="104"/>
      <c r="GY172" s="104"/>
      <c r="GZ172" s="104"/>
      <c r="HA172" s="104"/>
      <c r="HB172" s="104"/>
      <c r="HC172" s="104"/>
      <c r="HD172" s="104"/>
      <c r="HE172" s="104"/>
      <c r="HF172" s="104"/>
      <c r="HG172" s="104"/>
      <c r="HH172" s="104"/>
      <c r="HI172" s="104"/>
      <c r="HJ172" s="104"/>
      <c r="HK172" s="104"/>
      <c r="HL172" s="104"/>
      <c r="HM172" s="104"/>
      <c r="HN172" s="104"/>
      <c r="HO172" s="104"/>
      <c r="HP172" s="104"/>
      <c r="HQ172" s="104"/>
      <c r="HR172" s="104"/>
      <c r="HS172" s="104"/>
      <c r="HT172" s="104"/>
      <c r="HU172" s="104"/>
      <c r="HV172" s="104"/>
      <c r="HW172" s="104"/>
      <c r="HX172" s="104"/>
      <c r="HY172" s="104"/>
      <c r="HZ172" s="104"/>
      <c r="IA172" s="104"/>
      <c r="IB172" s="104"/>
      <c r="IC172" s="104"/>
      <c r="ID172" s="104"/>
      <c r="IE172" s="104"/>
      <c r="IF172" s="104"/>
      <c r="IG172" s="104"/>
      <c r="IH172" s="104"/>
      <c r="II172" s="104"/>
      <c r="IJ172" s="104"/>
      <c r="IK172" s="104"/>
      <c r="IL172" s="104"/>
      <c r="IM172" s="104"/>
      <c r="IN172" s="104"/>
      <c r="IO172" s="104"/>
      <c r="IP172" s="104"/>
      <c r="IQ172" s="104"/>
      <c r="IR172" s="104"/>
      <c r="IS172" s="104"/>
      <c r="IT172" s="104"/>
      <c r="IU172" s="104"/>
      <c r="IV172" s="104"/>
    </row>
    <row r="173" spans="1:256" x14ac:dyDescent="0.2">
      <c r="A173" s="75"/>
      <c r="B173" s="75"/>
      <c r="C173" s="75"/>
      <c r="D173" s="97" t="s">
        <v>211</v>
      </c>
      <c r="E173" s="97"/>
      <c r="F173" s="97"/>
      <c r="G173" s="97"/>
      <c r="H173" s="97"/>
      <c r="I173" s="97"/>
      <c r="J173" s="98">
        <f>J172</f>
        <v>2930394.56</v>
      </c>
      <c r="K173" s="98"/>
      <c r="L173" s="98">
        <f>L172</f>
        <v>13300539.710000001</v>
      </c>
      <c r="M173" s="103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  <c r="BM173" s="104"/>
      <c r="BN173" s="104"/>
      <c r="BO173" s="104"/>
      <c r="BP173" s="104"/>
      <c r="BQ173" s="104"/>
      <c r="BR173" s="104"/>
      <c r="BS173" s="104"/>
      <c r="BT173" s="104"/>
      <c r="BU173" s="104"/>
      <c r="BV173" s="104"/>
      <c r="BW173" s="104"/>
      <c r="BX173" s="104"/>
      <c r="BY173" s="104"/>
      <c r="BZ173" s="104"/>
      <c r="CA173" s="104"/>
      <c r="CB173" s="104"/>
      <c r="CC173" s="104"/>
      <c r="CD173" s="104"/>
      <c r="CE173" s="104"/>
      <c r="CF173" s="104"/>
      <c r="CG173" s="104"/>
      <c r="CH173" s="104"/>
      <c r="CI173" s="104"/>
      <c r="CJ173" s="104"/>
      <c r="CK173" s="104"/>
      <c r="CL173" s="104"/>
      <c r="CM173" s="104"/>
      <c r="CN173" s="104"/>
      <c r="CO173" s="104"/>
      <c r="CP173" s="104"/>
      <c r="CQ173" s="104"/>
      <c r="CR173" s="104"/>
      <c r="CS173" s="104"/>
      <c r="CT173" s="104"/>
      <c r="CU173" s="104"/>
      <c r="CV173" s="104"/>
      <c r="CW173" s="104"/>
      <c r="CX173" s="104"/>
      <c r="CY173" s="104"/>
      <c r="CZ173" s="104"/>
      <c r="DA173" s="104"/>
      <c r="DB173" s="104"/>
      <c r="DC173" s="104"/>
      <c r="DD173" s="104"/>
      <c r="DE173" s="104"/>
      <c r="DF173" s="104"/>
      <c r="DG173" s="104"/>
      <c r="DH173" s="104"/>
      <c r="DI173" s="104"/>
      <c r="DJ173" s="104"/>
      <c r="DK173" s="104"/>
      <c r="DL173" s="104"/>
      <c r="DM173" s="104"/>
      <c r="DN173" s="104"/>
      <c r="DO173" s="104"/>
      <c r="DP173" s="104"/>
      <c r="DQ173" s="104"/>
      <c r="DR173" s="104"/>
      <c r="DS173" s="104"/>
      <c r="DT173" s="104"/>
      <c r="DU173" s="104"/>
      <c r="DV173" s="104"/>
      <c r="DW173" s="104"/>
      <c r="DX173" s="104"/>
      <c r="DY173" s="104"/>
      <c r="DZ173" s="104"/>
      <c r="EA173" s="104"/>
      <c r="EB173" s="104"/>
      <c r="EC173" s="104"/>
      <c r="ED173" s="104"/>
      <c r="EE173" s="104"/>
      <c r="EF173" s="104"/>
      <c r="EG173" s="104"/>
      <c r="EH173" s="104"/>
      <c r="EI173" s="104"/>
      <c r="EJ173" s="104"/>
      <c r="EK173" s="104"/>
      <c r="EL173" s="104"/>
      <c r="EM173" s="104"/>
      <c r="EN173" s="104"/>
      <c r="EO173" s="104"/>
      <c r="EP173" s="104"/>
      <c r="EQ173" s="104"/>
      <c r="ER173" s="104"/>
      <c r="ES173" s="104"/>
      <c r="ET173" s="104"/>
      <c r="EU173" s="104"/>
      <c r="EV173" s="104"/>
      <c r="EW173" s="104"/>
      <c r="EX173" s="104"/>
      <c r="EY173" s="104"/>
      <c r="EZ173" s="104"/>
      <c r="FA173" s="104"/>
      <c r="FB173" s="104"/>
      <c r="FC173" s="104"/>
      <c r="FD173" s="104"/>
      <c r="FE173" s="104"/>
      <c r="FF173" s="104"/>
      <c r="FG173" s="104"/>
      <c r="FH173" s="104"/>
      <c r="FI173" s="104"/>
      <c r="FJ173" s="104"/>
      <c r="FK173" s="104"/>
      <c r="FL173" s="104"/>
      <c r="FM173" s="104"/>
      <c r="FN173" s="104"/>
      <c r="FO173" s="104"/>
      <c r="FP173" s="104"/>
      <c r="FQ173" s="104"/>
      <c r="FR173" s="104"/>
      <c r="FS173" s="104"/>
      <c r="FT173" s="104"/>
      <c r="FU173" s="104"/>
      <c r="FV173" s="104"/>
      <c r="FW173" s="104"/>
      <c r="FX173" s="104"/>
      <c r="FY173" s="104"/>
      <c r="FZ173" s="104"/>
      <c r="GA173" s="104"/>
      <c r="GB173" s="104"/>
      <c r="GC173" s="104"/>
      <c r="GD173" s="104"/>
      <c r="GE173" s="104"/>
      <c r="GF173" s="104"/>
      <c r="GG173" s="104"/>
      <c r="GH173" s="104"/>
      <c r="GI173" s="104"/>
      <c r="GJ173" s="104"/>
      <c r="GK173" s="104"/>
      <c r="GL173" s="104"/>
      <c r="GM173" s="104"/>
      <c r="GN173" s="104"/>
      <c r="GO173" s="104"/>
      <c r="GP173" s="104"/>
      <c r="GQ173" s="104"/>
      <c r="GR173" s="104"/>
      <c r="GS173" s="104"/>
      <c r="GT173" s="104"/>
      <c r="GU173" s="104"/>
      <c r="GV173" s="104"/>
      <c r="GW173" s="104"/>
      <c r="GX173" s="104"/>
      <c r="GY173" s="104"/>
      <c r="GZ173" s="104"/>
      <c r="HA173" s="104"/>
      <c r="HB173" s="104"/>
      <c r="HC173" s="104"/>
      <c r="HD173" s="104"/>
      <c r="HE173" s="104"/>
      <c r="HF173" s="104"/>
      <c r="HG173" s="104"/>
      <c r="HH173" s="104"/>
      <c r="HI173" s="104"/>
      <c r="HJ173" s="104"/>
      <c r="HK173" s="104"/>
      <c r="HL173" s="104"/>
      <c r="HM173" s="104"/>
      <c r="HN173" s="104"/>
      <c r="HO173" s="104"/>
      <c r="HP173" s="104"/>
      <c r="HQ173" s="104"/>
      <c r="HR173" s="104"/>
      <c r="HS173" s="104"/>
      <c r="HT173" s="104"/>
      <c r="HU173" s="104"/>
      <c r="HV173" s="104"/>
      <c r="HW173" s="104"/>
      <c r="HX173" s="104"/>
      <c r="HY173" s="104"/>
      <c r="HZ173" s="104"/>
      <c r="IA173" s="104"/>
      <c r="IB173" s="104"/>
      <c r="IC173" s="104"/>
      <c r="ID173" s="104"/>
      <c r="IE173" s="104"/>
      <c r="IF173" s="104"/>
      <c r="IG173" s="104"/>
      <c r="IH173" s="104"/>
      <c r="II173" s="104"/>
      <c r="IJ173" s="104"/>
      <c r="IK173" s="104"/>
      <c r="IL173" s="104"/>
      <c r="IM173" s="104"/>
      <c r="IN173" s="104"/>
      <c r="IO173" s="104"/>
      <c r="IP173" s="104"/>
      <c r="IQ173" s="104"/>
      <c r="IR173" s="104"/>
      <c r="IS173" s="104"/>
      <c r="IT173" s="104"/>
      <c r="IU173" s="104"/>
      <c r="IV173" s="104"/>
    </row>
    <row r="174" spans="1:256" x14ac:dyDescent="0.2">
      <c r="A174" s="75"/>
      <c r="B174" s="75"/>
      <c r="C174" s="75"/>
      <c r="D174" s="97" t="s">
        <v>212</v>
      </c>
      <c r="E174" s="97"/>
      <c r="F174" s="97"/>
      <c r="G174" s="97"/>
      <c r="H174" s="97"/>
      <c r="I174" s="97"/>
      <c r="J174" s="98">
        <f>J165</f>
        <v>73109.570000000007</v>
      </c>
      <c r="K174" s="98"/>
      <c r="L174" s="98">
        <f>L165*0.925</f>
        <v>1618974.89</v>
      </c>
      <c r="M174" s="103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  <c r="BM174" s="104"/>
      <c r="BN174" s="104"/>
      <c r="BO174" s="104"/>
      <c r="BP174" s="104"/>
      <c r="BQ174" s="104"/>
      <c r="BR174" s="104"/>
      <c r="BS174" s="104"/>
      <c r="BT174" s="104"/>
      <c r="BU174" s="104"/>
      <c r="BV174" s="104"/>
      <c r="BW174" s="104"/>
      <c r="BX174" s="104"/>
      <c r="BY174" s="104"/>
      <c r="BZ174" s="104"/>
      <c r="CA174" s="104"/>
      <c r="CB174" s="104"/>
      <c r="CC174" s="104"/>
      <c r="CD174" s="104"/>
      <c r="CE174" s="104"/>
      <c r="CF174" s="104"/>
      <c r="CG174" s="104"/>
      <c r="CH174" s="104"/>
      <c r="CI174" s="104"/>
      <c r="CJ174" s="104"/>
      <c r="CK174" s="104"/>
      <c r="CL174" s="104"/>
      <c r="CM174" s="104"/>
      <c r="CN174" s="104"/>
      <c r="CO174" s="104"/>
      <c r="CP174" s="104"/>
      <c r="CQ174" s="104"/>
      <c r="CR174" s="104"/>
      <c r="CS174" s="104"/>
      <c r="CT174" s="104"/>
      <c r="CU174" s="104"/>
      <c r="CV174" s="104"/>
      <c r="CW174" s="104"/>
      <c r="CX174" s="104"/>
      <c r="CY174" s="104"/>
      <c r="CZ174" s="104"/>
      <c r="DA174" s="104"/>
      <c r="DB174" s="104"/>
      <c r="DC174" s="104"/>
      <c r="DD174" s="104"/>
      <c r="DE174" s="104"/>
      <c r="DF174" s="104"/>
      <c r="DG174" s="104"/>
      <c r="DH174" s="104"/>
      <c r="DI174" s="104"/>
      <c r="DJ174" s="104"/>
      <c r="DK174" s="104"/>
      <c r="DL174" s="104"/>
      <c r="DM174" s="104"/>
      <c r="DN174" s="104"/>
      <c r="DO174" s="104"/>
      <c r="DP174" s="104"/>
      <c r="DQ174" s="104"/>
      <c r="DR174" s="104"/>
      <c r="DS174" s="104"/>
      <c r="DT174" s="104"/>
      <c r="DU174" s="104"/>
      <c r="DV174" s="104"/>
      <c r="DW174" s="104"/>
      <c r="DX174" s="104"/>
      <c r="DY174" s="104"/>
      <c r="DZ174" s="104"/>
      <c r="EA174" s="104"/>
      <c r="EB174" s="104"/>
      <c r="EC174" s="104"/>
      <c r="ED174" s="104"/>
      <c r="EE174" s="104"/>
      <c r="EF174" s="104"/>
      <c r="EG174" s="104"/>
      <c r="EH174" s="104"/>
      <c r="EI174" s="104"/>
      <c r="EJ174" s="104"/>
      <c r="EK174" s="104"/>
      <c r="EL174" s="104"/>
      <c r="EM174" s="104"/>
      <c r="EN174" s="104"/>
      <c r="EO174" s="104"/>
      <c r="EP174" s="104"/>
      <c r="EQ174" s="104"/>
      <c r="ER174" s="104"/>
      <c r="ES174" s="104"/>
      <c r="ET174" s="104"/>
      <c r="EU174" s="104"/>
      <c r="EV174" s="104"/>
      <c r="EW174" s="104"/>
      <c r="EX174" s="104"/>
      <c r="EY174" s="104"/>
      <c r="EZ174" s="104"/>
      <c r="FA174" s="104"/>
      <c r="FB174" s="104"/>
      <c r="FC174" s="104"/>
      <c r="FD174" s="104"/>
      <c r="FE174" s="104"/>
      <c r="FF174" s="104"/>
      <c r="FG174" s="104"/>
      <c r="FH174" s="104"/>
      <c r="FI174" s="104"/>
      <c r="FJ174" s="104"/>
      <c r="FK174" s="104"/>
      <c r="FL174" s="104"/>
      <c r="FM174" s="104"/>
      <c r="FN174" s="104"/>
      <c r="FO174" s="104"/>
      <c r="FP174" s="104"/>
      <c r="FQ174" s="104"/>
      <c r="FR174" s="104"/>
      <c r="FS174" s="104"/>
      <c r="FT174" s="104"/>
      <c r="FU174" s="104"/>
      <c r="FV174" s="104"/>
      <c r="FW174" s="104"/>
      <c r="FX174" s="104"/>
      <c r="FY174" s="104"/>
      <c r="FZ174" s="104"/>
      <c r="GA174" s="104"/>
      <c r="GB174" s="104"/>
      <c r="GC174" s="104"/>
      <c r="GD174" s="104"/>
      <c r="GE174" s="104"/>
      <c r="GF174" s="104"/>
      <c r="GG174" s="104"/>
      <c r="GH174" s="104"/>
      <c r="GI174" s="104"/>
      <c r="GJ174" s="104"/>
      <c r="GK174" s="104"/>
      <c r="GL174" s="104"/>
      <c r="GM174" s="104"/>
      <c r="GN174" s="104"/>
      <c r="GO174" s="104"/>
      <c r="GP174" s="104"/>
      <c r="GQ174" s="104"/>
      <c r="GR174" s="104"/>
      <c r="GS174" s="104"/>
      <c r="GT174" s="104"/>
      <c r="GU174" s="104"/>
      <c r="GV174" s="104"/>
      <c r="GW174" s="104"/>
      <c r="GX174" s="104"/>
      <c r="GY174" s="104"/>
      <c r="GZ174" s="104"/>
      <c r="HA174" s="104"/>
      <c r="HB174" s="104"/>
      <c r="HC174" s="104"/>
      <c r="HD174" s="104"/>
      <c r="HE174" s="104"/>
      <c r="HF174" s="104"/>
      <c r="HG174" s="104"/>
      <c r="HH174" s="104"/>
      <c r="HI174" s="104"/>
      <c r="HJ174" s="104"/>
      <c r="HK174" s="104"/>
      <c r="HL174" s="104"/>
      <c r="HM174" s="104"/>
      <c r="HN174" s="104"/>
      <c r="HO174" s="104"/>
      <c r="HP174" s="104"/>
      <c r="HQ174" s="104"/>
      <c r="HR174" s="104"/>
      <c r="HS174" s="104"/>
      <c r="HT174" s="104"/>
      <c r="HU174" s="104"/>
      <c r="HV174" s="104"/>
      <c r="HW174" s="104"/>
      <c r="HX174" s="104"/>
      <c r="HY174" s="104"/>
      <c r="HZ174" s="104"/>
      <c r="IA174" s="104"/>
      <c r="IB174" s="104"/>
      <c r="IC174" s="104"/>
      <c r="ID174" s="104"/>
      <c r="IE174" s="104"/>
      <c r="IF174" s="104"/>
      <c r="IG174" s="104"/>
      <c r="IH174" s="104"/>
      <c r="II174" s="104"/>
      <c r="IJ174" s="104"/>
      <c r="IK174" s="104"/>
      <c r="IL174" s="104"/>
      <c r="IM174" s="104"/>
      <c r="IN174" s="104"/>
      <c r="IO174" s="104"/>
      <c r="IP174" s="104"/>
      <c r="IQ174" s="104"/>
      <c r="IR174" s="104"/>
      <c r="IS174" s="104"/>
      <c r="IT174" s="104"/>
      <c r="IU174" s="104"/>
      <c r="IV174" s="104"/>
    </row>
    <row r="175" spans="1:256" x14ac:dyDescent="0.2">
      <c r="A175" s="75"/>
      <c r="B175" s="75"/>
      <c r="C175" s="75"/>
      <c r="D175" s="97" t="s">
        <v>213</v>
      </c>
      <c r="E175" s="97"/>
      <c r="F175" s="97"/>
      <c r="G175" s="97"/>
      <c r="H175" s="97"/>
      <c r="I175" s="97"/>
      <c r="J175" s="98">
        <f>J166</f>
        <v>2690178.26</v>
      </c>
      <c r="K175" s="98"/>
      <c r="L175" s="98">
        <f>L166*0.925</f>
        <v>9288427.9000000004</v>
      </c>
      <c r="M175" s="103"/>
    </row>
    <row r="176" spans="1:256" x14ac:dyDescent="0.2">
      <c r="A176" s="75"/>
      <c r="B176" s="75"/>
      <c r="C176" s="75"/>
      <c r="D176" s="105" t="s">
        <v>214</v>
      </c>
      <c r="E176" s="97"/>
      <c r="F176" s="97"/>
      <c r="G176" s="97"/>
      <c r="H176" s="97"/>
      <c r="I176" s="97"/>
      <c r="J176" s="106">
        <v>0</v>
      </c>
      <c r="K176" s="98"/>
      <c r="L176" s="106">
        <v>0</v>
      </c>
      <c r="M176" s="103"/>
    </row>
    <row r="177" spans="1:14" x14ac:dyDescent="0.2">
      <c r="A177" s="75"/>
      <c r="B177" s="75"/>
      <c r="C177" s="75"/>
      <c r="D177" s="97" t="s">
        <v>215</v>
      </c>
      <c r="E177" s="97"/>
      <c r="F177" s="97"/>
      <c r="G177" s="97"/>
      <c r="H177" s="97"/>
      <c r="I177" s="97"/>
      <c r="J177" s="98">
        <f>J174*0.15</f>
        <v>10966.44</v>
      </c>
      <c r="K177" s="98"/>
      <c r="L177" s="98">
        <f>L174*0.15</f>
        <v>242846.23</v>
      </c>
      <c r="M177" s="103"/>
    </row>
    <row r="178" spans="1:14" x14ac:dyDescent="0.2">
      <c r="A178" s="75"/>
      <c r="B178" s="75"/>
      <c r="C178" s="75"/>
      <c r="D178" s="99" t="s">
        <v>218</v>
      </c>
      <c r="E178" s="100"/>
      <c r="F178" s="100"/>
      <c r="G178" s="100"/>
      <c r="H178" s="100"/>
      <c r="I178" s="100"/>
      <c r="J178" s="102">
        <f>J177+J172</f>
        <v>2941361</v>
      </c>
      <c r="K178" s="100"/>
      <c r="L178" s="102">
        <f>L177+L172</f>
        <v>13543385.939999999</v>
      </c>
      <c r="M178" s="103"/>
    </row>
    <row r="179" spans="1:14" x14ac:dyDescent="0.2">
      <c r="A179" s="75"/>
      <c r="B179" s="75"/>
      <c r="C179" s="75"/>
      <c r="D179" s="107"/>
      <c r="E179" s="107"/>
      <c r="F179" s="107"/>
      <c r="G179" s="107"/>
      <c r="H179" s="107"/>
      <c r="I179" s="107"/>
      <c r="J179" s="107"/>
      <c r="K179" s="107"/>
      <c r="L179" s="107"/>
      <c r="M179" s="103"/>
    </row>
    <row r="180" spans="1:14" x14ac:dyDescent="0.2">
      <c r="A180" s="75"/>
      <c r="B180" s="75"/>
      <c r="C180" s="75"/>
      <c r="D180" s="107"/>
      <c r="E180" s="107"/>
      <c r="F180" s="107"/>
      <c r="G180" s="107"/>
      <c r="H180" s="107"/>
      <c r="I180" s="107"/>
      <c r="J180" s="107"/>
      <c r="K180" s="107"/>
      <c r="L180" s="107"/>
      <c r="M180" s="103"/>
    </row>
    <row r="181" spans="1:14" x14ac:dyDescent="0.2">
      <c r="A181" s="75"/>
      <c r="B181" s="75"/>
      <c r="C181" s="75"/>
      <c r="D181" s="108" t="s">
        <v>219</v>
      </c>
      <c r="E181" s="109"/>
      <c r="F181" s="109"/>
      <c r="G181" s="109"/>
      <c r="H181" s="109"/>
      <c r="I181" s="110"/>
      <c r="J181" s="111">
        <f>J178</f>
        <v>2941361</v>
      </c>
      <c r="K181" s="112"/>
      <c r="L181" s="111">
        <f>L178</f>
        <v>13543385.939999999</v>
      </c>
      <c r="M181" s="103"/>
    </row>
    <row r="182" spans="1:14" x14ac:dyDescent="0.2">
      <c r="A182" s="75"/>
      <c r="B182" s="75"/>
      <c r="C182" s="75"/>
      <c r="D182" s="113" t="s">
        <v>220</v>
      </c>
      <c r="E182" s="114"/>
      <c r="F182" s="114"/>
      <c r="G182" s="114"/>
      <c r="H182" s="114"/>
      <c r="I182" s="115"/>
      <c r="J182" s="116">
        <f>J173</f>
        <v>2930394.56</v>
      </c>
      <c r="K182" s="117"/>
      <c r="L182" s="116">
        <f>L173</f>
        <v>13300539.710000001</v>
      </c>
      <c r="M182" s="103"/>
    </row>
    <row r="183" spans="1:14" x14ac:dyDescent="0.2">
      <c r="A183" s="75"/>
      <c r="B183" s="75"/>
      <c r="C183" s="75"/>
      <c r="D183" s="113" t="s">
        <v>221</v>
      </c>
      <c r="E183" s="114"/>
      <c r="F183" s="114"/>
      <c r="G183" s="114"/>
      <c r="H183" s="114"/>
      <c r="I183" s="115"/>
      <c r="J183" s="116">
        <f>J177</f>
        <v>10966.44</v>
      </c>
      <c r="K183" s="118"/>
      <c r="L183" s="116">
        <f>L177</f>
        <v>242846.23</v>
      </c>
      <c r="M183" s="103"/>
    </row>
    <row r="184" spans="1:14" x14ac:dyDescent="0.2">
      <c r="A184" s="75"/>
      <c r="B184" s="75"/>
      <c r="C184" s="75"/>
      <c r="D184" s="113" t="s">
        <v>222</v>
      </c>
      <c r="E184" s="114"/>
      <c r="F184" s="114"/>
      <c r="G184" s="114"/>
      <c r="H184" s="114"/>
      <c r="I184" s="115"/>
      <c r="J184" s="116">
        <v>0</v>
      </c>
      <c r="K184" s="116"/>
      <c r="L184" s="116">
        <v>0</v>
      </c>
      <c r="M184" s="103"/>
    </row>
    <row r="185" spans="1:14" x14ac:dyDescent="0.2">
      <c r="A185" s="75"/>
      <c r="B185" s="75"/>
      <c r="C185" s="75"/>
      <c r="D185" s="113" t="s">
        <v>223</v>
      </c>
      <c r="E185" s="114"/>
      <c r="F185" s="114"/>
      <c r="G185" s="114"/>
      <c r="H185" s="114"/>
      <c r="I185" s="115"/>
      <c r="J185" s="119">
        <v>0</v>
      </c>
      <c r="K185" s="119"/>
      <c r="L185" s="119">
        <v>0</v>
      </c>
      <c r="M185" s="103"/>
    </row>
    <row r="189" spans="1:14" x14ac:dyDescent="0.2">
      <c r="A189" s="544" t="s">
        <v>224</v>
      </c>
      <c r="B189" s="544"/>
      <c r="C189" s="544"/>
      <c r="D189" s="544"/>
      <c r="E189" s="544"/>
      <c r="F189" s="544"/>
      <c r="G189" s="544"/>
      <c r="H189" s="544"/>
      <c r="I189" s="544"/>
      <c r="J189" s="120"/>
      <c r="K189" s="545" t="s">
        <v>228</v>
      </c>
      <c r="L189" s="545"/>
      <c r="M189" s="103"/>
      <c r="N189" s="104"/>
    </row>
    <row r="190" spans="1:14" x14ac:dyDescent="0.2">
      <c r="A190" s="107"/>
      <c r="B190" s="107"/>
      <c r="C190" s="107"/>
      <c r="D190" s="546"/>
      <c r="E190" s="546"/>
      <c r="F190" s="107"/>
      <c r="G190" s="107"/>
      <c r="H190" s="547"/>
      <c r="I190" s="547"/>
      <c r="J190" s="547"/>
      <c r="K190" s="547"/>
      <c r="L190" s="547"/>
      <c r="M190" s="103"/>
      <c r="N190" s="104"/>
    </row>
    <row r="191" spans="1:14" x14ac:dyDescent="0.2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2"/>
      <c r="N191" s="123"/>
    </row>
    <row r="192" spans="1:14" x14ac:dyDescent="0.2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2"/>
      <c r="N192" s="123"/>
    </row>
    <row r="193" spans="1:14" x14ac:dyDescent="0.2">
      <c r="A193" s="124" t="s">
        <v>225</v>
      </c>
      <c r="B193" s="124"/>
      <c r="C193" s="124"/>
      <c r="D193" s="124"/>
      <c r="E193" s="124"/>
      <c r="F193" s="124"/>
      <c r="G193" s="124"/>
      <c r="H193" s="124"/>
      <c r="I193" s="124"/>
      <c r="J193" s="545" t="s">
        <v>226</v>
      </c>
      <c r="K193" s="545"/>
      <c r="L193" s="545"/>
      <c r="M193" s="103"/>
      <c r="N193" s="104"/>
    </row>
  </sheetData>
  <mergeCells count="111">
    <mergeCell ref="D159:H159"/>
    <mergeCell ref="D160:H160"/>
    <mergeCell ref="A189:I189"/>
    <mergeCell ref="K189:L189"/>
    <mergeCell ref="D190:E190"/>
    <mergeCell ref="H190:L190"/>
    <mergeCell ref="J193:L193"/>
    <mergeCell ref="A13:L13"/>
    <mergeCell ref="A14:L14"/>
    <mergeCell ref="A15:L15"/>
    <mergeCell ref="A16:L16"/>
    <mergeCell ref="A17:L17"/>
    <mergeCell ref="D156:H156"/>
    <mergeCell ref="I156:J156"/>
    <mergeCell ref="K156:L156"/>
    <mergeCell ref="A148:H148"/>
    <mergeCell ref="I148:J148"/>
    <mergeCell ref="K148:L148"/>
    <mergeCell ref="I139:J139"/>
    <mergeCell ref="K139:L139"/>
    <mergeCell ref="I144:J144"/>
    <mergeCell ref="K144:L144"/>
    <mergeCell ref="I146:J146"/>
    <mergeCell ref="K146:L146"/>
    <mergeCell ref="I124:J124"/>
    <mergeCell ref="K124:L124"/>
    <mergeCell ref="I126:J126"/>
    <mergeCell ref="K126:L126"/>
    <mergeCell ref="I128:J128"/>
    <mergeCell ref="K128:L128"/>
    <mergeCell ref="D157:H157"/>
    <mergeCell ref="I157:J157"/>
    <mergeCell ref="K157:L157"/>
    <mergeCell ref="A152:H152"/>
    <mergeCell ref="I152:J152"/>
    <mergeCell ref="K152:L152"/>
    <mergeCell ref="D155:H155"/>
    <mergeCell ref="I155:J155"/>
    <mergeCell ref="K155:L155"/>
    <mergeCell ref="I118:J118"/>
    <mergeCell ref="K118:L118"/>
    <mergeCell ref="I120:J120"/>
    <mergeCell ref="K120:L120"/>
    <mergeCell ref="I122:J122"/>
    <mergeCell ref="K122:L122"/>
    <mergeCell ref="I100:J100"/>
    <mergeCell ref="K100:L100"/>
    <mergeCell ref="I111:J111"/>
    <mergeCell ref="K111:L111"/>
    <mergeCell ref="I116:J116"/>
    <mergeCell ref="K116:L116"/>
    <mergeCell ref="I91:J91"/>
    <mergeCell ref="K91:L91"/>
    <mergeCell ref="I96:J96"/>
    <mergeCell ref="K96:L96"/>
    <mergeCell ref="I98:J98"/>
    <mergeCell ref="K98:L98"/>
    <mergeCell ref="I75:J75"/>
    <mergeCell ref="K75:L75"/>
    <mergeCell ref="A77:H77"/>
    <mergeCell ref="I77:J77"/>
    <mergeCell ref="K77:L77"/>
    <mergeCell ref="A81:L81"/>
    <mergeCell ref="I57:J57"/>
    <mergeCell ref="K57:L57"/>
    <mergeCell ref="I68:J68"/>
    <mergeCell ref="K68:L68"/>
    <mergeCell ref="I73:J73"/>
    <mergeCell ref="K73:L73"/>
    <mergeCell ref="I51:J51"/>
    <mergeCell ref="K51:L51"/>
    <mergeCell ref="I53:J53"/>
    <mergeCell ref="K53:L53"/>
    <mergeCell ref="I55:J55"/>
    <mergeCell ref="K55:L55"/>
    <mergeCell ref="I45:J45"/>
    <mergeCell ref="K45:L45"/>
    <mergeCell ref="I47:J47"/>
    <mergeCell ref="K47:L47"/>
    <mergeCell ref="I49:J49"/>
    <mergeCell ref="K49:L49"/>
    <mergeCell ref="I28:J28"/>
    <mergeCell ref="K28:L28"/>
    <mergeCell ref="I38:J38"/>
    <mergeCell ref="K38:L38"/>
    <mergeCell ref="I43:J43"/>
    <mergeCell ref="K43:L43"/>
    <mergeCell ref="I22:J22"/>
    <mergeCell ref="K22:L22"/>
    <mergeCell ref="I24:J24"/>
    <mergeCell ref="K24:L24"/>
    <mergeCell ref="I26:J26"/>
    <mergeCell ref="K26:L26"/>
    <mergeCell ref="A1:L1"/>
    <mergeCell ref="A2:L2"/>
    <mergeCell ref="J5:J9"/>
    <mergeCell ref="K5:K9"/>
    <mergeCell ref="L5:L9"/>
    <mergeCell ref="A6:A9"/>
    <mergeCell ref="B6:B9"/>
    <mergeCell ref="A19:L19"/>
    <mergeCell ref="A4:L4"/>
    <mergeCell ref="A5:B5"/>
    <mergeCell ref="C5:C9"/>
    <mergeCell ref="D5:D9"/>
    <mergeCell ref="E5:E9"/>
    <mergeCell ref="F5:F9"/>
    <mergeCell ref="G5:G9"/>
    <mergeCell ref="H5:H9"/>
    <mergeCell ref="I5:I9"/>
    <mergeCell ref="A12:L12"/>
  </mergeCells>
  <pageMargins left="0.39370078740157483" right="0.19685039370078741" top="0.19685039370078741" bottom="0.39370078740157483" header="0.19685039370078741" footer="0.19685039370078741"/>
  <pageSetup paperSize="9" scale="60" firstPageNumber="13" fitToHeight="0" orientation="portrait" useFirstPageNumber="1" r:id="rId1"/>
  <headerFooter>
    <oddHeader>&amp;L&amp;8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18</vt:i4>
      </vt:variant>
    </vt:vector>
  </HeadingPairs>
  <TitlesOfParts>
    <vt:vector size="29" baseType="lpstr">
      <vt:lpstr>Реестр (2)</vt:lpstr>
      <vt:lpstr>Реестр</vt:lpstr>
      <vt:lpstr>КС-3</vt:lpstr>
      <vt:lpstr>1_6.1</vt:lpstr>
      <vt:lpstr>2_6.2</vt:lpstr>
      <vt:lpstr>3_6.4</vt:lpstr>
      <vt:lpstr>4_6.5</vt:lpstr>
      <vt:lpstr>5_6.6</vt:lpstr>
      <vt:lpstr>6_6.7</vt:lpstr>
      <vt:lpstr>7_6.8</vt:lpstr>
      <vt:lpstr>8_6.9</vt:lpstr>
      <vt:lpstr>'1_6.1'!Заголовки_для_печати</vt:lpstr>
      <vt:lpstr>'2_6.2'!Заголовки_для_печати</vt:lpstr>
      <vt:lpstr>'3_6.4'!Заголовки_для_печати</vt:lpstr>
      <vt:lpstr>'4_6.5'!Заголовки_для_печати</vt:lpstr>
      <vt:lpstr>'5_6.6'!Заголовки_для_печати</vt:lpstr>
      <vt:lpstr>'6_6.7'!Заголовки_для_печати</vt:lpstr>
      <vt:lpstr>'7_6.8'!Заголовки_для_печати</vt:lpstr>
      <vt:lpstr>'8_6.9'!Заголовки_для_печати</vt:lpstr>
      <vt:lpstr>'1_6.1'!Область_печати</vt:lpstr>
      <vt:lpstr>'2_6.2'!Область_печати</vt:lpstr>
      <vt:lpstr>'3_6.4'!Область_печати</vt:lpstr>
      <vt:lpstr>'4_6.5'!Область_печати</vt:lpstr>
      <vt:lpstr>'5_6.6'!Область_печати</vt:lpstr>
      <vt:lpstr>'6_6.7'!Область_печати</vt:lpstr>
      <vt:lpstr>'7_6.8'!Область_печати</vt:lpstr>
      <vt:lpstr>'8_6.9'!Область_печати</vt:lpstr>
      <vt:lpstr>'КС-3'!Область_печати</vt:lpstr>
      <vt:lpstr>'Реестр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Какошкина Светлана Николаевна</dc:creator>
  <cp:lastModifiedBy>Огнивов Александр Викторович</cp:lastModifiedBy>
  <cp:lastPrinted>2020-07-14T18:32:40Z</cp:lastPrinted>
  <dcterms:created xsi:type="dcterms:W3CDTF">2020-06-22T14:44:06Z</dcterms:created>
  <dcterms:modified xsi:type="dcterms:W3CDTF">2020-10-29T08:28:56Z</dcterms:modified>
</cp:coreProperties>
</file>