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Z:\ПЭО\СМЕТНЫЙ ОТДЕЛ\ВЫПОЛНЕНИЕ СМР\5 - 2021 год\48 Февраль 2021 г\5-5 СМ2002-МИП1\779\"/>
    </mc:Choice>
  </mc:AlternateContent>
  <bookViews>
    <workbookView xWindow="0" yWindow="0" windowWidth="28800" windowHeight="12150" tabRatio="837" firstSheet="4" activeTab="7"/>
  </bookViews>
  <sheets>
    <sheet name="10.4(0,2)" sheetId="89" state="hidden" r:id="rId1"/>
    <sheet name="10.8(0,2)" sheetId="91" state="hidden" r:id="rId2"/>
    <sheet name="17.96" sheetId="82" state="hidden" r:id="rId3"/>
    <sheet name="10.14(0,2)" sheetId="94" state="hidden" r:id="rId4"/>
    <sheet name="КС-3" sheetId="99" r:id="rId5"/>
    <sheet name="Реестр" sheetId="98" r:id="rId6"/>
    <sheet name="17.55" sheetId="73" r:id="rId7"/>
    <sheet name="17.55доп2" sheetId="87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</externalReferences>
  <definedNames>
    <definedName name="_">#REF!</definedName>
    <definedName name="__">#REF!</definedName>
    <definedName name="______________________________________________________________________________T17">#REF!</definedName>
    <definedName name="_____________________________________________________________________________T17">#REF!</definedName>
    <definedName name="____________________________________________________________________________T17">#REF!</definedName>
    <definedName name="_________________________________________________________________T17">#REF!</definedName>
    <definedName name="________________________________________________________________T17">#REF!</definedName>
    <definedName name="_______________________________________________________________T17">#REF!</definedName>
    <definedName name="______________________________________________________________T17">#REF!</definedName>
    <definedName name="_____________________________________________________________T17">#REF!</definedName>
    <definedName name="____________________________________________________________T17">#REF!</definedName>
    <definedName name="___________________________________________________________T17">#REF!</definedName>
    <definedName name="__________________________________________________________T17">#REF!</definedName>
    <definedName name="_________________________________________________________T17">#REF!</definedName>
    <definedName name="________________________________________________________T17">#REF!</definedName>
    <definedName name="_______________________________________________________T17">#REF!</definedName>
    <definedName name="______________________________________________________T17">#REF!</definedName>
    <definedName name="_____________________________________________________T17">#REF!</definedName>
    <definedName name="____________________________________________________T17">#REF!</definedName>
    <definedName name="____________________________________________________TT17">#REF!</definedName>
    <definedName name="___________________________________________________T17">#REF!</definedName>
    <definedName name="__________________________________________________T17">#REF!</definedName>
    <definedName name="_________________________________________________T17">#REF!</definedName>
    <definedName name="________________________________________________T17">#REF!</definedName>
    <definedName name="_______________________________________________T17">#REF!</definedName>
    <definedName name="______________________________________________T17">#REF!</definedName>
    <definedName name="_____________________________________________T17">#REF!</definedName>
    <definedName name="____________________________________________T17">#REF!</definedName>
    <definedName name="___________________________________________T17">#REF!</definedName>
    <definedName name="__________________________________________T17">#REF!</definedName>
    <definedName name="_________________________________________T17">#REF!</definedName>
    <definedName name="________________________________________T17">#REF!</definedName>
    <definedName name="_______________________________________T17">#REF!</definedName>
    <definedName name="______________________________________T17">#REF!</definedName>
    <definedName name="_____________________________________T17">#REF!</definedName>
    <definedName name="____________________________________T17">#REF!</definedName>
    <definedName name="___________________________________T17">#REF!</definedName>
    <definedName name="__________________________________T17">#REF!</definedName>
    <definedName name="_________________________________T17">#REF!</definedName>
    <definedName name="________________________________T17">#REF!</definedName>
    <definedName name="_______________________________T17">#REF!</definedName>
    <definedName name="______________________________T17">#REF!</definedName>
    <definedName name="_____________________________T17">#REF!</definedName>
    <definedName name="____________________________T17">#REF!</definedName>
    <definedName name="___________________________T17">#REF!</definedName>
    <definedName name="__________________________T17">#REF!</definedName>
    <definedName name="_________________________T17">#REF!</definedName>
    <definedName name="________________________T17">#REF!</definedName>
    <definedName name="_______________________T17">#REF!</definedName>
    <definedName name="______________________T17">#REF!</definedName>
    <definedName name="_____________________T17">#REF!</definedName>
    <definedName name="____________________T17">#REF!</definedName>
    <definedName name="___________________T17">#REF!</definedName>
    <definedName name="__________________T17">#REF!</definedName>
    <definedName name="_________________T17">#REF!</definedName>
    <definedName name="________________T17">#REF!</definedName>
    <definedName name="_______________T17">#REF!</definedName>
    <definedName name="______________T17">#REF!</definedName>
    <definedName name="_____________T17">#REF!</definedName>
    <definedName name="____________T17">#REF!</definedName>
    <definedName name="___________T17">#REF!</definedName>
    <definedName name="___________о">#REF!</definedName>
    <definedName name="__________T17">#REF!</definedName>
    <definedName name="_________T17">#REF!</definedName>
    <definedName name="________T17">#REF!</definedName>
    <definedName name="_______T17">#REF!</definedName>
    <definedName name="______T17">#REF!</definedName>
    <definedName name="______о45">#REF!</definedName>
    <definedName name="_____T17">#REF!</definedName>
    <definedName name="____T17">#REF!</definedName>
    <definedName name="___H">#REF!</definedName>
    <definedName name="___T17">#REF!</definedName>
    <definedName name="__1">#REF!</definedName>
    <definedName name="__1__">#REF!</definedName>
    <definedName name="__T17">#REF!</definedName>
    <definedName name="__xlnm.Print_Titles_1">#N/A</definedName>
    <definedName name="__а">#REF!</definedName>
    <definedName name="_1">#REF!</definedName>
    <definedName name="_125">#REF!</definedName>
    <definedName name="_K">#REF!</definedName>
    <definedName name="_T17">#REF!</definedName>
    <definedName name="_ааа">#REF!</definedName>
    <definedName name="_ж1">#REF!</definedName>
    <definedName name="_у1">#REF!</definedName>
    <definedName name="_Э">#REF!</definedName>
    <definedName name="a">#REF!</definedName>
    <definedName name="A_l_attention_de">#REF!</definedName>
    <definedName name="a01_СС_Титул_pre_rep">#REF!</definedName>
    <definedName name="a02_СС_Шапка_pre_rep">#REF!</definedName>
    <definedName name="a06_СС_Лимитированные_pre_rep">'[1]КС-2'!#REF!</definedName>
    <definedName name="a08_СС_ЗаголовокЛимит_pre_rep">#REF!</definedName>
    <definedName name="a16_О_Лимитированные_pre_rep">#REF!</definedName>
    <definedName name="a17_О_Концовка_pre_rep">#REF!</definedName>
    <definedName name="a23_С_Заголовок_pre_rep">'[1]КС-2'!#REF!</definedName>
    <definedName name="a24_С_ИтогГрафы_pre_rep">'[1]КС-2'!#REF!</definedName>
    <definedName name="a27_С_Концовка_pre_rep">#REF!</definedName>
    <definedName name="a33_Р_Заголовок_pre_rep">#REF!</definedName>
    <definedName name="a34_Р_ИтогГрафы_pre_rep">#REF!</definedName>
    <definedName name="a43_ПР_Заголовок_pre_rep">#REF!</definedName>
    <definedName name="a44_ПР_ИтогГрафы_pre_rep">#REF!</definedName>
    <definedName name="a51_Ст_Строка_pre_rep">#REF!</definedName>
    <definedName name="a54_Ст_НРиСП_pre_rep">#REF!</definedName>
    <definedName name="a61_ПСт_Подстрока_pre_rep">#REF!</definedName>
    <definedName name="a64_ПСт_НРиСП_pre_rep">#REF!</definedName>
    <definedName name="AA">#REF!</definedName>
    <definedName name="Adresse1_affaire">#REF!</definedName>
    <definedName name="Adresse2_affaire">#REF!</definedName>
    <definedName name="al" hidden="1">{#N/A,#N/A,TRUE,"Сводка балансов"}</definedName>
    <definedName name="aqaa">#REF!</definedName>
    <definedName name="ata4ew4tgretw">[2]Эл.энергия!#REF!</definedName>
    <definedName name="B_1">#REF!</definedName>
    <definedName name="Catégories">[3]Catégories!$B$5:$B$986</definedName>
    <definedName name="Code_affaire">#REF!</definedName>
    <definedName name="Code_client">#REF!</definedName>
    <definedName name="Code_Dossier">#REF!</definedName>
    <definedName name="Code_post_ville_pays_Affaire">#REF!</definedName>
    <definedName name="Code_post_ville_pays_Dossier">#REF!</definedName>
    <definedName name="Const_1_1">#REF!</definedName>
    <definedName name="Constr_1">[4]ЭН1_БНС!#REF!</definedName>
    <definedName name="Constr_1_1">[2]Эл.энергия!#REF!</definedName>
    <definedName name="Constr_1_25">[2]Эл.энергия!#REF!</definedName>
    <definedName name="Constr_11">[4]М2_БНС!#REF!</definedName>
    <definedName name="Constr_11_1">[5]М2_БНС!#REF!</definedName>
    <definedName name="Constr_12">[4]ЭН14_Ростверк!#REF!</definedName>
    <definedName name="Constr_12_1">[5]ЭН14_Ростверк!#REF!</definedName>
    <definedName name="Constr_13">[4]ЭН14_СВСиУ!#REF!</definedName>
    <definedName name="Constr_14">[4]ЭН15_БНС!#REF!</definedName>
    <definedName name="Constr_15">[4]ЭН13_БНС!#REF!</definedName>
    <definedName name="Constr_16">[4]ЭН13_СВСиУ!#REF!</definedName>
    <definedName name="Constr_17">[4]ЭН3_БНС!#REF!</definedName>
    <definedName name="Constr_18">[4]ЭН16_БНС!#REF!</definedName>
    <definedName name="Constr_2">[4]ЭН2_БНС!#REF!</definedName>
    <definedName name="Constr_2_1">'[2]аренда флота'!#REF!</definedName>
    <definedName name="Constr_2_25">'[2]аренда флота'!#REF!</definedName>
    <definedName name="Constr_22">'[4]Аренда флота'!#REF!</definedName>
    <definedName name="Constr_3">[4]ЭН14_БНС!#REF!</definedName>
    <definedName name="Constr_4">'[4]1-1-4'!#REF!</definedName>
    <definedName name="Constr_5">'[4]8-4_времен.дорога А-В'!#REF!</definedName>
    <definedName name="Constr_6">'[4]2-4-9_дорога 3'!#REF!</definedName>
    <definedName name="Constr_7">'[4]1-1-11_Зем.работы площадки'!#REF!</definedName>
    <definedName name="Constr_8">'[4]1-1-8_островки'!#REF!</definedName>
    <definedName name="Constr_9">'[4]9 навМОСТОВИК'!#REF!</definedName>
    <definedName name="d_0">#REF!</definedName>
    <definedName name="d_01">#REF!</definedName>
    <definedName name="d_02">#REF!</definedName>
    <definedName name="Date_alpha">#REF!</definedName>
    <definedName name="Date_base_de_prix">#REF!</definedName>
    <definedName name="Date_d_envoi">#REF!</definedName>
    <definedName name="Date_de_l_offre">#REF!</definedName>
    <definedName name="Date_de_valeur_des_prix">#REF!</definedName>
    <definedName name="Date_du_jour">#REF!</definedName>
    <definedName name="Desi_Dossier">#REF!</definedName>
    <definedName name="Designation_1_pour_agence">#REF!</definedName>
    <definedName name="Designation_2_pour_agence">#REF!</definedName>
    <definedName name="Designation_affaire">#REF!</definedName>
    <definedName name="Designation_client">#REF!</definedName>
    <definedName name="Designation_devis">#REF!</definedName>
    <definedName name="Ds_2">#REF!</definedName>
    <definedName name="EL_0">#REF!</definedName>
    <definedName name="Excel_BuiltIn_Print_Area">#REF!</definedName>
    <definedName name="Excel_BuiltIn_Print_Area_1">#N/A</definedName>
    <definedName name="Excel_BuiltIn_Print_Area_1_1">NA()</definedName>
    <definedName name="Excel_BuiltIn_Print_Area_4">#REF!</definedName>
    <definedName name="Excel_BuiltIn_Print_Titles">#REF!</definedName>
    <definedName name="Excel_BuiltIn_Print_Titles_1">#REF!</definedName>
    <definedName name="f">#REF!</definedName>
    <definedName name="Fax">#REF!</definedName>
    <definedName name="Fax_affaire">#REF!</definedName>
    <definedName name="Fax_dossier">#REF!</definedName>
    <definedName name="FOT_1">[4]ЭН1_БНС!#REF!</definedName>
    <definedName name="FOT_1_1">[2]Эл.энергия!#REF!</definedName>
    <definedName name="FOT_1_25">[2]Эл.энергия!#REF!</definedName>
    <definedName name="FOT_11">[4]М2_БНС!#REF!</definedName>
    <definedName name="FOT_12">[4]ЭН14_Ростверк!#REF!</definedName>
    <definedName name="FOT_13">[4]ЭН14_СВСиУ!#REF!</definedName>
    <definedName name="FOT_14">[4]ЭН15_БНС!#REF!</definedName>
    <definedName name="FOT_15">[4]ЭН13_БНС!#REF!</definedName>
    <definedName name="FOT_16">[4]ЭН13_СВСиУ!#REF!</definedName>
    <definedName name="FOT_17">[4]ЭН3_БНС!#REF!</definedName>
    <definedName name="FOT_18">[4]ЭН16_БНС!#REF!</definedName>
    <definedName name="FOT_2">[4]ЭН2_БНС!#REF!</definedName>
    <definedName name="FOT_2_1">'[2]аренда флота'!#REF!</definedName>
    <definedName name="FOT_2_25">'[2]аренда флота'!#REF!</definedName>
    <definedName name="FOT_22">'[4]Аренда флота'!#REF!</definedName>
    <definedName name="FOT_3">[4]ЭН14_БНС!#REF!</definedName>
    <definedName name="FOT_4">'[4]1-1-4'!#REF!</definedName>
    <definedName name="FOT_5">'[4]8-4_времен.дорога А-В'!#REF!</definedName>
    <definedName name="FOT_6">'[4]2-4-9_дорога 3'!#REF!</definedName>
    <definedName name="FOT_7">'[4]1-1-11_Зем.работы площадки'!#REF!</definedName>
    <definedName name="FOT_8">'[4]1-1-8_островки'!#REF!</definedName>
    <definedName name="FOT_9">'[4]9 навМОСТОВИК'!#REF!</definedName>
    <definedName name="gjjj">#REF!</definedName>
    <definedName name="Ind_1">[4]ЭН1_БНС!#REF!</definedName>
    <definedName name="Ind_1_1">[2]Эл.энергия!#REF!</definedName>
    <definedName name="Ind_1_25">[2]Эл.энергия!#REF!</definedName>
    <definedName name="Ind_11">[4]М2_БНС!#REF!</definedName>
    <definedName name="Ind_12">[4]ЭН14_Ростверк!#REF!</definedName>
    <definedName name="Ind_13">[4]ЭН14_СВСиУ!#REF!</definedName>
    <definedName name="Ind_14">[4]ЭН15_БНС!#REF!</definedName>
    <definedName name="Ind_15">[4]ЭН13_БНС!#REF!</definedName>
    <definedName name="Ind_16">[4]ЭН13_СВСиУ!#REF!</definedName>
    <definedName name="Ind_17">[4]ЭН3_БНС!#REF!</definedName>
    <definedName name="Ind_18">[4]ЭН16_БНС!#REF!</definedName>
    <definedName name="Ind_2">[4]ЭН2_БНС!#REF!</definedName>
    <definedName name="Ind_2_1">'[2]аренда флота'!#REF!</definedName>
    <definedName name="Ind_2_25">'[2]аренда флота'!#REF!</definedName>
    <definedName name="Ind_22">'[4]Аренда флота'!#REF!</definedName>
    <definedName name="Ind_3">[4]ЭН14_БНС!#REF!</definedName>
    <definedName name="Ind_4">'[4]1-1-4'!#REF!</definedName>
    <definedName name="Ind_5">'[4]8-4_времен.дорога А-В'!#REF!</definedName>
    <definedName name="Ind_6">'[4]2-4-9_дорога 3'!#REF!</definedName>
    <definedName name="Ind_7">'[4]1-1-11_Зем.работы площадки'!#REF!</definedName>
    <definedName name="Ind_8">'[4]1-1-8_островки'!#REF!</definedName>
    <definedName name="Ind_9">'[4]9 навМОСТОВИК'!#REF!</definedName>
    <definedName name="j">#REF!</definedName>
    <definedName name="jj">#REF!</definedName>
    <definedName name="K_012">#REF!</definedName>
    <definedName name="K_1">#REF!</definedName>
    <definedName name="K_10">#REF!</definedName>
    <definedName name="K_101">'[6]Тр.(пут)'!$P$20</definedName>
    <definedName name="K_102">'[6]Тр.(пут)'!$P$23</definedName>
    <definedName name="K_103">'[6]Тр.(пут)'!$P$26</definedName>
    <definedName name="K_104">'[6]Тр.(пут)'!$P$29</definedName>
    <definedName name="K_105">'[7]Тр.(пут)'!$P$32</definedName>
    <definedName name="K_106">'[6]Тр.(пут)'!$P$35</definedName>
    <definedName name="K_107">'[6]Тр.(пут)'!$P$38</definedName>
    <definedName name="K_108">'[6]Тр.(пут)'!$P$17</definedName>
    <definedName name="K_109">'[6]Тр.(пут)'!$P$41</definedName>
    <definedName name="K_11">#REF!</definedName>
    <definedName name="K_12">#REF!</definedName>
    <definedName name="K_122">#REF!</definedName>
    <definedName name="K_13">#REF!</definedName>
    <definedName name="K_14">#REF!</definedName>
    <definedName name="K_15">#REF!</definedName>
    <definedName name="K_16">#REF!</definedName>
    <definedName name="K_2">#REF!</definedName>
    <definedName name="K_20">#REF!</definedName>
    <definedName name="K_3">#REF!</definedName>
    <definedName name="K_31">'[8]ТрМ. '!#REF!</definedName>
    <definedName name="K_4">#REF!</definedName>
    <definedName name="K_400">#REF!</definedName>
    <definedName name="K_44">#REF!</definedName>
    <definedName name="K_48">'[9]Тр.(ж.д.)'!$F$43</definedName>
    <definedName name="K_49">#REF!</definedName>
    <definedName name="K_5">[10]Тр.!$H$36</definedName>
    <definedName name="K_55">#REF!</definedName>
    <definedName name="K_58">'[11]Тр.  (мост)'!$P$30</definedName>
    <definedName name="K_6">#REF!</definedName>
    <definedName name="K_6а">#REF!</definedName>
    <definedName name="K_7">#REF!</definedName>
    <definedName name="K_7а">'[8]ТрМ. '!#REF!</definedName>
    <definedName name="K_8">#REF!</definedName>
    <definedName name="K_80">#REF!</definedName>
    <definedName name="K_81">#REF!</definedName>
    <definedName name="K_85">'[12]тр '!#REF!</definedName>
    <definedName name="K_9">#REF!</definedName>
    <definedName name="K_91">#REF!</definedName>
    <definedName name="L_1">#REF!</definedName>
    <definedName name="L_2">#REF!</definedName>
    <definedName name="lh" hidden="1">{#N/A,#N/A,TRUE,"Сводка балансов"}</definedName>
    <definedName name="Ligne_1_commentaire_entete">#REF!</definedName>
    <definedName name="Ligne_1_desi_client">#REF!</definedName>
    <definedName name="Ligne_1_reference">#REF!</definedName>
    <definedName name="Ligne_2_commentaire_entete">#REF!</definedName>
    <definedName name="Ligne_2_desi_client">#REF!</definedName>
    <definedName name="Ligne_2_reference">#REF!</definedName>
    <definedName name="Ligne_3_desi_client">#REF!</definedName>
    <definedName name="Ligne_3_reference">#REF!</definedName>
    <definedName name="M__1">#REF!</definedName>
    <definedName name="M__66">#REF!</definedName>
    <definedName name="M__92">#REF!</definedName>
    <definedName name="M_1">#REF!</definedName>
    <definedName name="M_10">#REF!</definedName>
    <definedName name="M_100">[13]К.С.М.!#REF!</definedName>
    <definedName name="M_101">#REF!</definedName>
    <definedName name="M_107">#REF!</definedName>
    <definedName name="M_11">#REF!</definedName>
    <definedName name="M_119">[14]К.С.М.!#REF!</definedName>
    <definedName name="M_12">#REF!</definedName>
    <definedName name="M_122">'[15]К.С.М. (2)'!$P$49</definedName>
    <definedName name="M_12а">#REF!</definedName>
    <definedName name="M_12б">#REF!</definedName>
    <definedName name="M_13">#REF!</definedName>
    <definedName name="M_13а">#REF!</definedName>
    <definedName name="M_14">#REF!</definedName>
    <definedName name="M_15">#REF!</definedName>
    <definedName name="M_152">[16]К.С.М.!#REF!</definedName>
    <definedName name="M_16">#REF!</definedName>
    <definedName name="M_17">#REF!</definedName>
    <definedName name="M_17a">#REF!</definedName>
    <definedName name="M_17б">#REF!</definedName>
    <definedName name="M_18">[17]К.С.М.!$P$42</definedName>
    <definedName name="M_188">#REF!</definedName>
    <definedName name="M_19">#REF!</definedName>
    <definedName name="M_1д">#REF!</definedName>
    <definedName name="M_2">#REF!</definedName>
    <definedName name="M_20">#REF!</definedName>
    <definedName name="M_20a">#REF!</definedName>
    <definedName name="M_21">#REF!</definedName>
    <definedName name="M_22">#REF!</definedName>
    <definedName name="M_222">#REF!</definedName>
    <definedName name="M_23">#REF!</definedName>
    <definedName name="M_24">#REF!</definedName>
    <definedName name="M_25">#REF!</definedName>
    <definedName name="M_25а">[18]К.С.М.!#REF!</definedName>
    <definedName name="M_25Х">[13]К.С.М.!#REF!</definedName>
    <definedName name="M_26">#REF!</definedName>
    <definedName name="M_27">#REF!</definedName>
    <definedName name="M_27а">#REF!</definedName>
    <definedName name="M_27б">'[8]К.С.М. м'!#REF!</definedName>
    <definedName name="M_28">#REF!</definedName>
    <definedName name="M_29">#REF!</definedName>
    <definedName name="M_2а">#REF!</definedName>
    <definedName name="M_2б">#REF!</definedName>
    <definedName name="M_2в">#REF!</definedName>
    <definedName name="M_2д">#REF!</definedName>
    <definedName name="M_3">#REF!</definedName>
    <definedName name="M_30">#REF!</definedName>
    <definedName name="M_308">#REF!</definedName>
    <definedName name="M_31">#REF!</definedName>
    <definedName name="M_37">[18]К.С.М.!#REF!</definedName>
    <definedName name="M_37а">#REF!</definedName>
    <definedName name="M_3д">#REF!</definedName>
    <definedName name="M_4">#REF!</definedName>
    <definedName name="M_42">#REF!</definedName>
    <definedName name="M_421">[19]К.С.М.!$P$18</definedName>
    <definedName name="M_4а">#REF!</definedName>
    <definedName name="M_4д">#REF!</definedName>
    <definedName name="M_5">#REF!</definedName>
    <definedName name="M_50">[16]К.С.М.!#REF!</definedName>
    <definedName name="M_6">#REF!</definedName>
    <definedName name="M_61">#REF!</definedName>
    <definedName name="M_62">#REF!</definedName>
    <definedName name="M_63">#REF!</definedName>
    <definedName name="M_633">#REF!</definedName>
    <definedName name="M_634">#REF!</definedName>
    <definedName name="M_64">#REF!</definedName>
    <definedName name="M_66">#REF!</definedName>
    <definedName name="M_666">'[8]К.С.М. м'!#REF!</definedName>
    <definedName name="M_66б">[20]К.С.М.!#REF!</definedName>
    <definedName name="M_67">[18]К.С.М.!#REF!</definedName>
    <definedName name="M_69">#REF!</definedName>
    <definedName name="M_6a">#REF!</definedName>
    <definedName name="M_6а">[21]К.С.М.!$P$113</definedName>
    <definedName name="M_6б">[22]К.С.М.!$P$192</definedName>
    <definedName name="M_6бс">#REF!</definedName>
    <definedName name="M_7">#REF!</definedName>
    <definedName name="M_76a">[18]К.С.М.!#REF!</definedName>
    <definedName name="M_77">#REF!</definedName>
    <definedName name="M_78">#REF!</definedName>
    <definedName name="M_7а">#REF!</definedName>
    <definedName name="M_7б">[18]К.С.М.!#REF!</definedName>
    <definedName name="M_7к">[23]К.С.М.!#REF!</definedName>
    <definedName name="M_8">#REF!</definedName>
    <definedName name="M_81">#REF!</definedName>
    <definedName name="M_87">#REF!</definedName>
    <definedName name="M_88">#REF!</definedName>
    <definedName name="M_89">#REF!</definedName>
    <definedName name="M_8а">[12]К.С.М.!#REF!</definedName>
    <definedName name="M_8б">#REF!</definedName>
    <definedName name="M_8в">[12]К.С.М.!#REF!</definedName>
    <definedName name="M_8г">[12]К.С.М.!#REF!</definedName>
    <definedName name="M_9">#REF!</definedName>
    <definedName name="M_90">[12]К.С.М.!#REF!</definedName>
    <definedName name="M_91">#REF!</definedName>
    <definedName name="M_92">#REF!</definedName>
    <definedName name="M_9a">#REF!</definedName>
    <definedName name="Monnaie">#REF!</definedName>
    <definedName name="Montant_en_EURO_ligne_1">#REF!</definedName>
    <definedName name="Montant_en_EURO_ligne_2">#REF!</definedName>
    <definedName name="Montant_en_lettre_ligne_1">#REF!</definedName>
    <definedName name="Montant_en_lettre_ligne_2">#REF!</definedName>
    <definedName name="Montant_EURO_chiffres">#REF!</definedName>
    <definedName name="N_5">'[24]3'!$K$155</definedName>
    <definedName name="nnn">#REF!</definedName>
    <definedName name="Nom_du_responsable">#REF!</definedName>
    <definedName name="Nt_0">#REF!</definedName>
    <definedName name="Obj_1">[4]ЭН1_БНС!#REF!</definedName>
    <definedName name="Obj_1_1">[2]Эл.энергия!#REF!</definedName>
    <definedName name="Obj_1_25">[2]Эл.энергия!#REF!</definedName>
    <definedName name="Obj_11">[4]М2_БНС!#REF!</definedName>
    <definedName name="Obj_12">[4]ЭН14_Ростверк!#REF!</definedName>
    <definedName name="Obj_13">[4]ЭН14_СВСиУ!#REF!</definedName>
    <definedName name="Obj_14">[4]ЭН15_БНС!#REF!</definedName>
    <definedName name="Obj_15">[4]ЭН13_БНС!#REF!</definedName>
    <definedName name="Obj_16">[4]ЭН13_СВСиУ!#REF!</definedName>
    <definedName name="Obj_17">[4]ЭН3_БНС!#REF!</definedName>
    <definedName name="Obj_18">[4]ЭН16_БНС!#REF!</definedName>
    <definedName name="Obj_2">[4]ЭН2_БНС!#REF!</definedName>
    <definedName name="Obj_2_1">'[2]аренда флота'!#REF!</definedName>
    <definedName name="Obj_2_25">'[2]аренда флота'!#REF!</definedName>
    <definedName name="Obj_22">'[4]Аренда флота'!#REF!</definedName>
    <definedName name="Obj_3">[4]ЭН14_БНС!#REF!</definedName>
    <definedName name="Obj_4">'[4]1-1-4'!#REF!</definedName>
    <definedName name="Obj_5">'[4]8-4_времен.дорога А-В'!#REF!</definedName>
    <definedName name="Obj_6">'[4]2-4-9_дорога 3'!#REF!</definedName>
    <definedName name="Obj_7">'[4]1-1-11_Зем.работы площадки'!#REF!</definedName>
    <definedName name="Obj_8">'[4]1-1-8_островки'!#REF!</definedName>
    <definedName name="Obj_9">'[4]9 навМОСТОВИК'!#REF!</definedName>
    <definedName name="Objet_1">#REF!</definedName>
    <definedName name="Objet_2">#REF!</definedName>
    <definedName name="Objet_3">#REF!</definedName>
    <definedName name="Obosn_1">[4]ЭН1_БНС!#REF!</definedName>
    <definedName name="Obosn_1_1">[2]Эл.энергия!#REF!</definedName>
    <definedName name="Obosn_1_25">[2]Эл.энергия!#REF!</definedName>
    <definedName name="Obosn_11">[4]М2_БНС!#REF!</definedName>
    <definedName name="Obosn_12">[4]ЭН14_Ростверк!#REF!</definedName>
    <definedName name="Obosn_13">[4]ЭН14_СВСиУ!#REF!</definedName>
    <definedName name="Obosn_14">[4]ЭН15_БНС!#REF!</definedName>
    <definedName name="Obosn_15">[4]ЭН13_БНС!#REF!</definedName>
    <definedName name="Obosn_16">[4]ЭН13_СВСиУ!#REF!</definedName>
    <definedName name="Obosn_17">[4]ЭН3_БНС!#REF!</definedName>
    <definedName name="Obosn_18">[4]ЭН16_БНС!#REF!</definedName>
    <definedName name="Obosn_2">[4]ЭН2_БНС!#REF!</definedName>
    <definedName name="Obosn_2_1">'[2]аренда флота'!#REF!</definedName>
    <definedName name="Obosn_2_25">'[2]аренда флота'!#REF!</definedName>
    <definedName name="Obosn_22">'[4]Аренда флота'!#REF!</definedName>
    <definedName name="Obosn_3">[4]ЭН14_БНС!#REF!</definedName>
    <definedName name="Obosn_4">'[4]1-1-4'!#REF!</definedName>
    <definedName name="Obosn_5">'[4]8-4_времен.дорога А-В'!#REF!</definedName>
    <definedName name="Obosn_6">'[4]2-4-9_дорога 3'!#REF!</definedName>
    <definedName name="Obosn_7">'[4]1-1-11_Зем.работы площадки'!#REF!</definedName>
    <definedName name="Obosn_8">'[4]1-1-8_островки'!#REF!</definedName>
    <definedName name="Obosn_9">'[4]9 навМОСТОВИК'!#REF!</definedName>
    <definedName name="OnProcMacro">"UFW_Convertion"</definedName>
    <definedName name="P_03">[6]Фм!$H$24</definedName>
    <definedName name="P_04">[6]Фм!$H$26</definedName>
    <definedName name="P_05">[6]Фм!$H$28</definedName>
    <definedName name="P_06">[6]Фм!$H$30</definedName>
    <definedName name="P_07">[6]Фм!$H$32</definedName>
    <definedName name="P_08">[6]Фм!$H$34</definedName>
    <definedName name="P_09">[6]Фм!$H$36</definedName>
    <definedName name="P_091">[6]Фм!$H$38</definedName>
    <definedName name="P_092">[6]Фм!$H$40</definedName>
    <definedName name="P_093">[6]Фм!$H$42</definedName>
    <definedName name="P_1">#REF!</definedName>
    <definedName name="P_10">#REF!</definedName>
    <definedName name="P_100">#REF!</definedName>
    <definedName name="P_1000">#REF!</definedName>
    <definedName name="P_1001">#REF!</definedName>
    <definedName name="P_1002">#REF!</definedName>
    <definedName name="P_101">#REF!</definedName>
    <definedName name="P_103">[23]Ф!#REF!</definedName>
    <definedName name="P_104">[23]Ф!#REF!</definedName>
    <definedName name="P_10а">#REF!</definedName>
    <definedName name="P_10б">#REF!</definedName>
    <definedName name="P_10в">#REF!</definedName>
    <definedName name="P_10г">#REF!</definedName>
    <definedName name="P_11">#REF!</definedName>
    <definedName name="P_111">#REF!</definedName>
    <definedName name="P_112">#REF!</definedName>
    <definedName name="P_113">#REF!</definedName>
    <definedName name="P_113а">#REF!</definedName>
    <definedName name="P_114">#REF!</definedName>
    <definedName name="P_11а">#REF!</definedName>
    <definedName name="P_12">#REF!</definedName>
    <definedName name="P_122">[25]Ф!#REF!</definedName>
    <definedName name="P_129">#REF!</definedName>
    <definedName name="P_129а">#REF!</definedName>
    <definedName name="P_129б">#REF!</definedName>
    <definedName name="P_129в">#REF!</definedName>
    <definedName name="P_12а">#REF!</definedName>
    <definedName name="P_13">#REF!</definedName>
    <definedName name="P_133">#REF!</definedName>
    <definedName name="P_133а">#REF!</definedName>
    <definedName name="P_137">[13]Ф!#REF!</definedName>
    <definedName name="P_13a">#REF!</definedName>
    <definedName name="P_14">#REF!</definedName>
    <definedName name="P_140">[20]Ф!#REF!</definedName>
    <definedName name="P_141">#REF!</definedName>
    <definedName name="P_144">#REF!</definedName>
    <definedName name="P_14а">#REF!</definedName>
    <definedName name="P_14б">#REF!</definedName>
    <definedName name="P_15">#REF!</definedName>
    <definedName name="P_150">[23]Ф!#REF!</definedName>
    <definedName name="P_155">#REF!</definedName>
    <definedName name="P_157">[13]Ф!#REF!</definedName>
    <definedName name="P_159">#REF!</definedName>
    <definedName name="P_16">#REF!</definedName>
    <definedName name="P_17">#REF!</definedName>
    <definedName name="P_18">#REF!</definedName>
    <definedName name="P_19">#REF!</definedName>
    <definedName name="P_190">#REF!</definedName>
    <definedName name="P_1а">#REF!</definedName>
    <definedName name="P_2">#REF!</definedName>
    <definedName name="P_20">#REF!</definedName>
    <definedName name="P_21">#REF!</definedName>
    <definedName name="P_22">#REF!</definedName>
    <definedName name="P_22а">[8]Ф!#REF!</definedName>
    <definedName name="P_23">#REF!</definedName>
    <definedName name="P_23а">[8]Ф!#REF!</definedName>
    <definedName name="P_24">#REF!</definedName>
    <definedName name="P_24а">#REF!</definedName>
    <definedName name="P_25">[23]Ф!#REF!</definedName>
    <definedName name="P_26">#REF!</definedName>
    <definedName name="P_27">#REF!</definedName>
    <definedName name="P_28">#REF!</definedName>
    <definedName name="P_289">#REF!</definedName>
    <definedName name="P_28а">#REF!</definedName>
    <definedName name="P_29">#REF!</definedName>
    <definedName name="P_2a">#REF!</definedName>
    <definedName name="P_2ab">[26]Ф!$H$48</definedName>
    <definedName name="P_2aб">#REF!</definedName>
    <definedName name="P_2б">#REF!</definedName>
    <definedName name="P_3">#REF!</definedName>
    <definedName name="P_30">#REF!</definedName>
    <definedName name="P_302">#REF!</definedName>
    <definedName name="P_303">#REF!</definedName>
    <definedName name="P_304">#REF!</definedName>
    <definedName name="P_305">#REF!</definedName>
    <definedName name="P_306">#REF!</definedName>
    <definedName name="P_307">#REF!</definedName>
    <definedName name="P_308">#REF!</definedName>
    <definedName name="P_31">#REF!</definedName>
    <definedName name="P_310">#REF!</definedName>
    <definedName name="P_311">#REF!</definedName>
    <definedName name="P_313">#REF!</definedName>
    <definedName name="P_318">#REF!</definedName>
    <definedName name="P_32">#REF!</definedName>
    <definedName name="P_33">#REF!</definedName>
    <definedName name="P_330">[27]Ф!#REF!</definedName>
    <definedName name="P_334">[28]Ф!#REF!</definedName>
    <definedName name="P_337">[29]Ф!#REF!</definedName>
    <definedName name="P_339">[29]Ф!#REF!</definedName>
    <definedName name="P_34">#REF!</definedName>
    <definedName name="P_342">[29]Ф!#REF!</definedName>
    <definedName name="P_344">[28]Ф!#REF!</definedName>
    <definedName name="P_346">[30]Ф!$H$97</definedName>
    <definedName name="P_347">[29]Ф!#REF!</definedName>
    <definedName name="P_35">#REF!</definedName>
    <definedName name="P_36">#REF!</definedName>
    <definedName name="P_366">[13]Ф!#REF!</definedName>
    <definedName name="P_3666">[20]Ф!#REF!</definedName>
    <definedName name="P_36а">#REF!</definedName>
    <definedName name="P_37">#REF!</definedName>
    <definedName name="P_37а">#REF!</definedName>
    <definedName name="P_37б">#REF!</definedName>
    <definedName name="P_38">#REF!</definedName>
    <definedName name="P_39">#REF!</definedName>
    <definedName name="P_4">#REF!</definedName>
    <definedName name="P_40">#REF!</definedName>
    <definedName name="P_40а">#REF!</definedName>
    <definedName name="P_41">#REF!</definedName>
    <definedName name="P_418">[13]Ф!#REF!</definedName>
    <definedName name="P_419">[13]Ф!#REF!</definedName>
    <definedName name="P_42">#REF!</definedName>
    <definedName name="P_44">[23]Ф!#REF!</definedName>
    <definedName name="P_44а">[8]Ф!#REF!</definedName>
    <definedName name="P_46">#REF!</definedName>
    <definedName name="P_460">[20]Ф!#REF!</definedName>
    <definedName name="P_461">[20]Ф!#REF!</definedName>
    <definedName name="P_462">[20]Ф!#REF!</definedName>
    <definedName name="P_463">[20]Ф!#REF!</definedName>
    <definedName name="P_466">#REF!</definedName>
    <definedName name="P_467">[20]Ф!#REF!</definedName>
    <definedName name="P_468">[20]Ф!#REF!</definedName>
    <definedName name="P_469">[13]Ф!#REF!</definedName>
    <definedName name="P_49">[13]Ф!#REF!</definedName>
    <definedName name="P_4a">#REF!</definedName>
    <definedName name="P_4b">#REF!</definedName>
    <definedName name="P_4а">[31]Ф!$H$28</definedName>
    <definedName name="P_4б">[8]Ф!#REF!</definedName>
    <definedName name="P_4к">[13]Ф!#REF!</definedName>
    <definedName name="P_5">#REF!</definedName>
    <definedName name="P_50">[13]Ф!#REF!</definedName>
    <definedName name="P_51">#REF!</definedName>
    <definedName name="P_533">[16]Ф!#REF!</definedName>
    <definedName name="P_55">[23]Ф!#REF!</definedName>
    <definedName name="P_55a">[13]Ф!#REF!</definedName>
    <definedName name="P_55а">[13]Ф!#REF!</definedName>
    <definedName name="P_56">[13]Ф!#REF!</definedName>
    <definedName name="P_569">[13]Ф!#REF!</definedName>
    <definedName name="P_57">[13]Ф!#REF!</definedName>
    <definedName name="P_57а">#REF!</definedName>
    <definedName name="P_5а">#REF!</definedName>
    <definedName name="P_6">#REF!</definedName>
    <definedName name="P_600">#REF!</definedName>
    <definedName name="P_62">[13]Ф!#REF!</definedName>
    <definedName name="P_63">[13]Ф!#REF!</definedName>
    <definedName name="P_66">#REF!</definedName>
    <definedName name="P_6а">#REF!</definedName>
    <definedName name="P_7">#REF!</definedName>
    <definedName name="P_71">[13]Ф!#REF!</definedName>
    <definedName name="P_72">[14]Ф!#REF!</definedName>
    <definedName name="P_73">[14]Ф!#REF!</definedName>
    <definedName name="P_73а">[14]Ф!#REF!</definedName>
    <definedName name="P_74">[16]Ф!#REF!</definedName>
    <definedName name="P_76">#REF!</definedName>
    <definedName name="P_78">#REF!</definedName>
    <definedName name="P_8">#REF!</definedName>
    <definedName name="P_82">#REF!</definedName>
    <definedName name="P_88">#REF!</definedName>
    <definedName name="P_9">#REF!</definedName>
    <definedName name="P_91">[13]Ф!#REF!</definedName>
    <definedName name="P_910">[13]Ф!#REF!</definedName>
    <definedName name="P_911">#REF!</definedName>
    <definedName name="P_91а">[12]Ф!#REF!</definedName>
    <definedName name="P_92">[13]Ф!#REF!</definedName>
    <definedName name="P_93">[32]Ф!$H$77</definedName>
    <definedName name="P_98">#REF!</definedName>
    <definedName name="P_98а">#REF!</definedName>
    <definedName name="P_9a">#REF!</definedName>
    <definedName name="Pasp" hidden="1">{#N/A,#N/A,TRUE,"Сводка балансов"}</definedName>
    <definedName name="qwert" hidden="1">{#N/A,#N/A,TRUE,"Сводка балансов"}</definedName>
    <definedName name="R_1">#REF!</definedName>
    <definedName name="R_1a">#REF!</definedName>
    <definedName name="R_1b">#REF!</definedName>
    <definedName name="R_2">#REF!</definedName>
    <definedName name="S_0">#REF!</definedName>
    <definedName name="S_01">#REF!</definedName>
    <definedName name="S_02">#REF!</definedName>
    <definedName name="SDFGHJJ">#REF!</definedName>
    <definedName name="SmPr_1">[4]ЭН1_БНС!#REF!</definedName>
    <definedName name="SmPr_1_1">[2]Эл.энергия!#REF!</definedName>
    <definedName name="SmPr_1_25">[2]Эл.энергия!#REF!</definedName>
    <definedName name="SmPr_11">[4]М2_БНС!#REF!</definedName>
    <definedName name="SmPr_12">[4]ЭН14_Ростверк!#REF!</definedName>
    <definedName name="SmPr_13">[4]ЭН14_СВСиУ!#REF!</definedName>
    <definedName name="SmPr_14">[4]ЭН15_БНС!#REF!</definedName>
    <definedName name="SmPr_15">[4]ЭН13_БНС!#REF!</definedName>
    <definedName name="SmPr_16">[4]ЭН13_СВСиУ!#REF!</definedName>
    <definedName name="SmPr_17">[4]ЭН3_БНС!#REF!</definedName>
    <definedName name="SmPr_18">[4]ЭН16_БНС!#REF!</definedName>
    <definedName name="SmPr_2">[4]ЭН2_БНС!#REF!</definedName>
    <definedName name="SmPr_2_1">'[2]аренда флота'!#REF!</definedName>
    <definedName name="SmPr_2_25">'[2]аренда флота'!#REF!</definedName>
    <definedName name="SmPr_22">'[4]Аренда флота'!#REF!</definedName>
    <definedName name="SmPr_3">[4]ЭН14_БНС!#REF!</definedName>
    <definedName name="SmPr_4">'[4]1-1-4'!#REF!</definedName>
    <definedName name="SmPr_5">'[4]8-4_времен.дорога А-В'!#REF!</definedName>
    <definedName name="SmPr_6">'[4]2-4-9_дорога 3'!#REF!</definedName>
    <definedName name="SmPr_7">'[4]1-1-11_Зем.работы площадки'!#REF!</definedName>
    <definedName name="SmPr_8">'[4]1-1-8_островки'!#REF!</definedName>
    <definedName name="SmPr_9">'[4]9 навМОСТОВИК'!#REF!</definedName>
    <definedName name="Sp_0">#REF!</definedName>
    <definedName name="Sp_01">#REF!</definedName>
    <definedName name="Sp_1">#REF!</definedName>
    <definedName name="Ss_0">#REF!</definedName>
    <definedName name="st_0">#REF!</definedName>
    <definedName name="st_01">#REF!</definedName>
    <definedName name="st_02">#REF!</definedName>
    <definedName name="t_0">#REF!</definedName>
    <definedName name="T17_1">#REF!</definedName>
    <definedName name="Tel">#REF!</definedName>
    <definedName name="Tel_affaire">#REF!</definedName>
    <definedName name="Tel_Dossier">#REF!</definedName>
    <definedName name="Titre">#REF!</definedName>
    <definedName name="TVA">#REF!</definedName>
    <definedName name="v">#REF!</definedName>
    <definedName name="v_0">#REF!</definedName>
    <definedName name="Vers">#REF!</definedName>
    <definedName name="Ville_d_envoi">#REF!</definedName>
    <definedName name="Volgina" hidden="1">{#N/A,#N/A,TRUE,"Сводка балансов"}</definedName>
    <definedName name="VR_0">'[33]зим '!#REF!</definedName>
    <definedName name="Vr_1">#REF!</definedName>
    <definedName name="Vrt_1">#REF!</definedName>
    <definedName name="w_0">#REF!</definedName>
    <definedName name="wrn.Сводка." hidden="1">{#N/A,#N/A,TRUE,"Сводка балансов"}</definedName>
    <definedName name="www">#REF!</definedName>
    <definedName name="x">#REF!</definedName>
    <definedName name="Xcgg">#REF!</definedName>
    <definedName name="xx">#REF!</definedName>
    <definedName name="yty" hidden="1">{#N/A,#N/A,TRUE,"Сводка балансов"}</definedName>
    <definedName name="z_0">#REF!</definedName>
    <definedName name="z_01">#REF!</definedName>
    <definedName name="Z_1">#REF!</definedName>
    <definedName name="Z_3">#REF!</definedName>
    <definedName name="Z_4">#REF!</definedName>
    <definedName name="ZIM_0">'[34]зим '!$F$31</definedName>
    <definedName name="ZIM_03">'[34]зим '!$F$31</definedName>
    <definedName name="ZIM_1">#REF!</definedName>
    <definedName name="Zm_1">[35]Зима!#REF!</definedName>
    <definedName name="Zmt_1">#REF!</definedName>
    <definedName name="А">#REF!</definedName>
    <definedName name="А_1">#REF!</definedName>
    <definedName name="а1">#REF!</definedName>
    <definedName name="а111">#REF!</definedName>
    <definedName name="а123">#REF!</definedName>
    <definedName name="а24_С_Заголовок_pre_rep">[36]Лист1!#REF!</definedName>
    <definedName name="а45">[37]Лист1!#REF!</definedName>
    <definedName name="а54_и">#REF!</definedName>
    <definedName name="аа">#REF!</definedName>
    <definedName name="ааа">#REF!</definedName>
    <definedName name="аааа">#REF!</definedName>
    <definedName name="аааааа">#REF!</definedName>
    <definedName name="ааааааа">#REF!</definedName>
    <definedName name="ааааааааааа">#REF!</definedName>
    <definedName name="ааааааааааааа">#REF!</definedName>
    <definedName name="аааааааааааааааа">#REF!</definedName>
    <definedName name="аб">'[38]C.с '!$D$52</definedName>
    <definedName name="абв">#REF!</definedName>
    <definedName name="абс">'[39]C.с  (2)'!$H$44</definedName>
    <definedName name="ав">#REF!</definedName>
    <definedName name="Автоб.ост.">'[40]Обстановка дороги'!$AJ$103</definedName>
    <definedName name="Автопав.">[40]Автопавильон!$AJ$133</definedName>
    <definedName name="авторск">#REF!</definedName>
    <definedName name="аепапапа">#REF!</definedName>
    <definedName name="аммммммммммм">#REF!</definedName>
    <definedName name="анна_крА">#REF!</definedName>
    <definedName name="анна_крБ">#REF!</definedName>
    <definedName name="анна_крВ">#REF!</definedName>
    <definedName name="анна_крГ">#REF!</definedName>
    <definedName name="анна_крД">#REF!</definedName>
    <definedName name="анна_крЕ">#REF!</definedName>
    <definedName name="анна_крЖ">#REF!</definedName>
    <definedName name="ап">#REF!</definedName>
    <definedName name="апапаап">#REF!</definedName>
    <definedName name="АПАПАПА">#REF!</definedName>
    <definedName name="апапапп">'[8]К.С.М. м'!#REF!</definedName>
    <definedName name="АПАПВАПАПВ">#REF!</definedName>
    <definedName name="апапп">#REF!</definedName>
    <definedName name="апаппрп">#REF!</definedName>
    <definedName name="апекеаорпр">#REF!</definedName>
    <definedName name="апоапоапдол">#REF!</definedName>
    <definedName name="апорп">#REF!</definedName>
    <definedName name="АПППППППППППП">#REF!</definedName>
    <definedName name="АППППППППППППППППППП">#REF!</definedName>
    <definedName name="аппппппппппппппппппппп">#REF!</definedName>
    <definedName name="апр">#REF!</definedName>
    <definedName name="апрель">[41]Лист1!$C$418:$H$704</definedName>
    <definedName name="апро">#REF!</definedName>
    <definedName name="ара">#REF!</definedName>
    <definedName name="арара">#REF!</definedName>
    <definedName name="аренд">#REF!</definedName>
    <definedName name="Асф.покр.">'[40]Дорожная одежда'!$AJ$30</definedName>
    <definedName name="б">#REF!</definedName>
    <definedName name="Б_1">#REF!</definedName>
    <definedName name="_xlnm.Database">#REF!</definedName>
    <definedName name="бб">#REF!</definedName>
    <definedName name="ббб">#REF!</definedName>
    <definedName name="Блаблабла">#REF!</definedName>
    <definedName name="бласть_печати1">#REF!</definedName>
    <definedName name="бобров_крА">#REF!</definedName>
    <definedName name="бобров_крБ">#REF!</definedName>
    <definedName name="бобров_крВ">#REF!</definedName>
    <definedName name="бобров_крГ">#REF!</definedName>
    <definedName name="бобров_крД">#REF!</definedName>
    <definedName name="бобров_крЕ">#REF!</definedName>
    <definedName name="бобров_крЖ">#REF!</definedName>
    <definedName name="богучар_крА">#REF!</definedName>
    <definedName name="богучар_крБ">#REF!</definedName>
    <definedName name="богучар_крВ">#REF!</definedName>
    <definedName name="богучар_крГ">#REF!</definedName>
    <definedName name="богучар_крД">#REF!</definedName>
    <definedName name="богучар_крЕ">#REF!</definedName>
    <definedName name="богучар_крЖ">#REF!</definedName>
    <definedName name="борис_крА">#REF!</definedName>
    <definedName name="борис_крБ">#REF!</definedName>
    <definedName name="борис_крВ">#REF!</definedName>
    <definedName name="борис_крГ">#REF!</definedName>
    <definedName name="борис_крД">#REF!</definedName>
    <definedName name="борис_крЕ">#REF!</definedName>
    <definedName name="борис_крЖ">#REF!</definedName>
    <definedName name="бутур_крА">#REF!</definedName>
    <definedName name="бутур_крБ">#REF!</definedName>
    <definedName name="бутур_крВ">#REF!</definedName>
    <definedName name="бутур_крГ">#REF!</definedName>
    <definedName name="бутур_крД">#REF!</definedName>
    <definedName name="бутур_крЕ">#REF!</definedName>
    <definedName name="бутур_крЖ">#REF!</definedName>
    <definedName name="в">#REF!</definedName>
    <definedName name="В_1">#REF!</definedName>
    <definedName name="ВА">#REF!</definedName>
    <definedName name="вааааааааааа">[23]К.С.М.!#REF!</definedName>
    <definedName name="ваааааааааааааа">#REF!</definedName>
    <definedName name="ваапцуу">#REF!</definedName>
    <definedName name="вававава">#REF!</definedName>
    <definedName name="вавыпаа" hidden="1">{#N/A,#N/A,TRUE,"Сводка балансов"}</definedName>
    <definedName name="ВАПАИИВ">#REF!</definedName>
    <definedName name="ВАПВАП">#REF!</definedName>
    <definedName name="ВАППППППППППППППППППППП">#REF!</definedName>
    <definedName name="ВАППППППППППППППППППППППП">#REF!</definedName>
    <definedName name="вапр">#REF!</definedName>
    <definedName name="вах">[16]вах!$F$17</definedName>
    <definedName name="вах.т.">'[42]вах(б)'!$E$37</definedName>
    <definedName name="вахт">#REF!</definedName>
    <definedName name="ВАЫВАЫАФ">#REF!</definedName>
    <definedName name="вв\">#REF!</definedName>
    <definedName name="ВВ_1">#REF!</definedName>
    <definedName name="вва">#REF!</definedName>
    <definedName name="ввв">#REF!</definedName>
    <definedName name="вввв" hidden="1">{#N/A,#N/A,TRUE,"Сводка балансов"}</definedName>
    <definedName name="ввввв">#REF!</definedName>
    <definedName name="ВВВВВВВВВВВВВВВВВ">#REF!</definedName>
    <definedName name="ВВВВВВВВВВВВВВВВВАААААААААААААААА">#REF!</definedName>
    <definedName name="вввввввввввввввввввввв">#REF!</definedName>
    <definedName name="ввод">#REF!</definedName>
    <definedName name="вентк111">#REF!</definedName>
    <definedName name="Верт.план.">[40]Вертик.планировка!$AJ$32</definedName>
    <definedName name="Вест">#REF!</definedName>
    <definedName name="вестибюль">#REF!</definedName>
    <definedName name="вид_сметы">[43]база!$G$1:$G$65536</definedName>
    <definedName name="ВКПВАПВППЫПЫ">#REF!</definedName>
    <definedName name="вкпвв">#REF!</definedName>
    <definedName name="Вмамон_крА">#REF!</definedName>
    <definedName name="Вмамон_крБ">#REF!</definedName>
    <definedName name="Вмамон_крВ">#REF!</definedName>
    <definedName name="Вмамон_крГ">#REF!</definedName>
    <definedName name="Вмамон_крД">#REF!</definedName>
    <definedName name="Вмамон_крЕ">#REF!</definedName>
    <definedName name="Вмамон_крЖ">#REF!</definedName>
    <definedName name="во">'[44]C.с '!#REF!</definedName>
    <definedName name="Водоотвод">'[40]Дорожная одежда'!$AJ$75</definedName>
    <definedName name="Возм.убытков">'[40] Подготовительные работы'!$AJ$26</definedName>
    <definedName name="вороб_крА">#REF!</definedName>
    <definedName name="вороб_крБ">#REF!</definedName>
    <definedName name="вороб_крВ">#REF!</definedName>
    <definedName name="вороб_крГ">#REF!</definedName>
    <definedName name="вороб_крД">#REF!</definedName>
    <definedName name="вороб_крЕ">#REF!</definedName>
    <definedName name="вороб_крЖ">#REF!</definedName>
    <definedName name="Восст.трассы">'[40] Подготовительные работы'!$AJ$15</definedName>
    <definedName name="ВППППППППППППППП">#REF!</definedName>
    <definedName name="впрва">'[1]КС-2'!#REF!</definedName>
    <definedName name="ВПЫВП">#REF!</definedName>
    <definedName name="вр">[45]зим!$H$48</definedName>
    <definedName name="врем">#REF!</definedName>
    <definedName name="Врем.здан.">[40]Врем.здания!$G$11</definedName>
    <definedName name="времянка2">#REF!</definedName>
    <definedName name="вррр">#REF!</definedName>
    <definedName name="вс">#REF!</definedName>
    <definedName name="Вхава_крА">#REF!</definedName>
    <definedName name="Вхава_крБ">#REF!</definedName>
    <definedName name="Вхава_крВ">#REF!</definedName>
    <definedName name="Вхава_крГ">#REF!</definedName>
    <definedName name="Вхава_крД">#REF!</definedName>
    <definedName name="Вхава_крЕ">#REF!</definedName>
    <definedName name="Вхава_крЖ">#REF!</definedName>
    <definedName name="выдал">[43]база!$E$1:$E$65536</definedName>
    <definedName name="г">#REF!</definedName>
    <definedName name="ггшгшгшшш">#REF!</definedName>
    <definedName name="гнгнгкенкукцуфцуыувыв">#REF!</definedName>
    <definedName name="гриб_крА">#REF!</definedName>
    <definedName name="гриб_крБ">#REF!</definedName>
    <definedName name="гриб_крВ">#REF!</definedName>
    <definedName name="гриб_крГ">#REF!</definedName>
    <definedName name="гриб_крД">#REF!</definedName>
    <definedName name="гриб_крЕ">#REF!</definedName>
    <definedName name="гриб_крЖ">#REF!</definedName>
    <definedName name="гшгшгш">#REF!</definedName>
    <definedName name="д">#REF!</definedName>
    <definedName name="Д.ДЖ.ЖЭЛДЖЭ">#REF!</definedName>
    <definedName name="Д_1">#REF!</definedName>
    <definedName name="даша" hidden="1">{#N/A,#N/A,TRUE,"Сводка балансов"}</definedName>
    <definedName name="дд">#REF!</definedName>
    <definedName name="дддд">#REF!</definedName>
    <definedName name="ддддд">#REF!</definedName>
    <definedName name="ддддддддддддддддд">#REF!</definedName>
    <definedName name="Дем">#REF!</definedName>
    <definedName name="ДЖДЖЛДЖ">#REF!</definedName>
    <definedName name="Диапазон">'[46]КС-3'!$M$3:$M$3</definedName>
    <definedName name="дирекц">#REF!</definedName>
    <definedName name="длдлдддддддд">#REF!</definedName>
    <definedName name="длдлдл">#REF!</definedName>
    <definedName name="длш">#REF!</definedName>
    <definedName name="для">#REF!</definedName>
    <definedName name="до">#REF!</definedName>
    <definedName name="Дор.знаки">'[40]Обстановка дороги'!$AJ$42</definedName>
    <definedName name="дщшл">#REF!</definedName>
    <definedName name="е">#REF!</definedName>
    <definedName name="ё">#REF!</definedName>
    <definedName name="Е_1">#REF!</definedName>
    <definedName name="Е_2">#REF!</definedName>
    <definedName name="Е_3">[16]вр!$G$33</definedName>
    <definedName name="еанен">#REF!</definedName>
    <definedName name="еееееееее">#REF!</definedName>
    <definedName name="екг">#REF!</definedName>
    <definedName name="еноооооооооооооооооооооооооооооо">#REF!</definedName>
    <definedName name="енрррррррррррррр">#REF!</definedName>
    <definedName name="енррррррррррррррррррр">#REF!</definedName>
    <definedName name="енррррррррррррррррррррррр">#REF!</definedName>
    <definedName name="енрррррррррррррррррррррррррррр">#REF!</definedName>
    <definedName name="еп">'[1]КС-2'!#REF!</definedName>
    <definedName name="еркгкшдик">#REF!</definedName>
    <definedName name="ерррррррррррррррррррр">#REF!</definedName>
    <definedName name="ж">#REF!</definedName>
    <definedName name="ж1">#REF!</definedName>
    <definedName name="ждлэдж">#REF!</definedName>
    <definedName name="жж">#REF!</definedName>
    <definedName name="жжжжж">#REF!</definedName>
    <definedName name="жжжжжжжж">#REF!</definedName>
    <definedName name="жжжжжжжжжжжжжж">[16]К.С.М.!#REF!</definedName>
    <definedName name="з">#REF!</definedName>
    <definedName name="з_1">#REF!</definedName>
    <definedName name="за">'[47]12'!$G$1</definedName>
    <definedName name="заказчики">[43]база!$A$1:$A$65536</definedName>
    <definedName name="Земработы">'[40]Земляное полотно'!$AJ$49</definedName>
    <definedName name="зим">#REF!</definedName>
    <definedName name="Зима">[40]Зима!$E$16</definedName>
    <definedName name="и">#REF!</definedName>
    <definedName name="и1">#REF!</definedName>
    <definedName name="и123">#REF!</definedName>
    <definedName name="изыск">#REF!</definedName>
    <definedName name="ии">#REF!</definedName>
    <definedName name="ИНД">#REF!</definedName>
    <definedName name="ИНД_1">#REF!</definedName>
    <definedName name="ИНД_4">#REF!</definedName>
    <definedName name="инж">#REF!</definedName>
    <definedName name="иоршпргшршщзщгзъшщхщъх">#REF!</definedName>
    <definedName name="иртрр">#REF!</definedName>
    <definedName name="ис">'[48]C.с'!$D$92</definedName>
    <definedName name="испрпрапр">#REF!</definedName>
    <definedName name="ИТОГИ_РI_ССР">'[49]Расчет стоимости'!$J$910:$O$910</definedName>
    <definedName name="итттттттттт">#REF!</definedName>
    <definedName name="ить">#REF!</definedName>
    <definedName name="иьбл">#REF!</definedName>
    <definedName name="й">#REF!</definedName>
    <definedName name="й1">#REF!</definedName>
    <definedName name="й2">#REF!</definedName>
    <definedName name="й3">#REF!</definedName>
    <definedName name="й4">#REF!</definedName>
    <definedName name="йй">#REF!</definedName>
    <definedName name="ййй">#REF!</definedName>
    <definedName name="йййй">#REF!</definedName>
    <definedName name="йййййййййййййййййууууууууууу">#REF!</definedName>
    <definedName name="ЙУВ">#REF!</definedName>
    <definedName name="йуцуйцуйцу">#REF!</definedName>
    <definedName name="йццццццццццццццццццццццццццццц">#REF!</definedName>
    <definedName name="к">#REF!</definedName>
    <definedName name="К_1">#REF!</definedName>
    <definedName name="К_10">#REF!</definedName>
    <definedName name="К_13">#REF!</definedName>
    <definedName name="К_15">#REF!</definedName>
    <definedName name="К_16">#REF!</definedName>
    <definedName name="К_17">[50]Тр.!$H$35</definedName>
    <definedName name="К_19">#REF!</definedName>
    <definedName name="К_2">[51]Тр.!$H$18</definedName>
    <definedName name="к_200">'[52]Тр. (2)'!#REF!</definedName>
    <definedName name="К_21">#REF!</definedName>
    <definedName name="К_22">#REF!</definedName>
    <definedName name="К_221">#REF!</definedName>
    <definedName name="К_23">[9]Тр.!$H$39</definedName>
    <definedName name="К_24">#REF!</definedName>
    <definedName name="К_25">#REF!</definedName>
    <definedName name="К_26">[9]Тр.!$H$42</definedName>
    <definedName name="К_27">#REF!</definedName>
    <definedName name="К_28">#REF!</definedName>
    <definedName name="К_29">[9]Тр.!$H$47</definedName>
    <definedName name="К_3">[51]Тр.!$H$21</definedName>
    <definedName name="К_31">#REF!</definedName>
    <definedName name="К_32">[9]Тр.!$H$50</definedName>
    <definedName name="К_34">#REF!</definedName>
    <definedName name="К_344">#REF!</definedName>
    <definedName name="К_35">[9]Тр.!$H$53</definedName>
    <definedName name="К_37">#REF!</definedName>
    <definedName name="К_38">[9]Тр.!$H$56</definedName>
    <definedName name="К_39">#REF!</definedName>
    <definedName name="К_4">#REF!</definedName>
    <definedName name="К_40">#REF!</definedName>
    <definedName name="К_41">[9]Тр.!$H$59</definedName>
    <definedName name="К_44">[9]Тр.!$H$62</definedName>
    <definedName name="К_47">[9]Тр.!$H$65</definedName>
    <definedName name="К_5">[51]Тр.!$H$27</definedName>
    <definedName name="К_6">[51]Тр.!$H$30</definedName>
    <definedName name="К_7">#REF!</definedName>
    <definedName name="К_78">[53]Тр.!$H$27</definedName>
    <definedName name="К_8">#REF!</definedName>
    <definedName name="К_88">#REF!</definedName>
    <definedName name="К_89">[54]Тр.!#REF!</definedName>
    <definedName name="К_9">[51]Тр.!$H$39</definedName>
    <definedName name="К_91">[55]Тр.!$H$31</definedName>
    <definedName name="какакак">#REF!</definedName>
    <definedName name="калач_крА">#REF!</definedName>
    <definedName name="калач_крБ">#REF!</definedName>
    <definedName name="калач_крВ">#REF!</definedName>
    <definedName name="калач_крГ">#REF!</definedName>
    <definedName name="калач_крД">#REF!</definedName>
    <definedName name="калач_крЕ">#REF!</definedName>
    <definedName name="калач_крЖ">#REF!</definedName>
    <definedName name="камен_крА">#REF!</definedName>
    <definedName name="камен_крБ">#REF!</definedName>
    <definedName name="камен_крВ">#REF!</definedName>
    <definedName name="камен_крГ">#REF!</definedName>
    <definedName name="камен_крД">#REF!</definedName>
    <definedName name="камен_крЕ">#REF!</definedName>
    <definedName name="камен_крЖ">#REF!</definedName>
    <definedName name="кантем_крА">#REF!</definedName>
    <definedName name="кантем_крБ">#REF!</definedName>
    <definedName name="кантем_крВ">#REF!</definedName>
    <definedName name="кантем_крГ">#REF!</definedName>
    <definedName name="кантем_крД">#REF!</definedName>
    <definedName name="кантем_крЕ">#REF!</definedName>
    <definedName name="кантем_крЖ">#REF!</definedName>
    <definedName name="капстр">#REF!</definedName>
    <definedName name="кашира_крА">#REF!</definedName>
    <definedName name="кашира_крБ">#REF!</definedName>
    <definedName name="кашира_крВ">#REF!</definedName>
    <definedName name="кашира_крГ">#REF!</definedName>
    <definedName name="кашира_крД">#REF!</definedName>
    <definedName name="кашира_крЕ">#REF!</definedName>
    <definedName name="кашира_крЖ">#REF!</definedName>
    <definedName name="кенррррррррррр">#REF!</definedName>
    <definedName name="кккк">#REF!</definedName>
    <definedName name="ККККККККККККК">#REF!</definedName>
    <definedName name="кккккккккккккккккккк">#REF!</definedName>
    <definedName name="книга8">#REF!</definedName>
    <definedName name="комп1" hidden="1">{#N/A,#N/A,TRUE,"Сводка балансов"}</definedName>
    <definedName name="Контруклон" hidden="1">{#N/A,#N/A,TRUE,"Сводка балансов"}</definedName>
    <definedName name="Коэф._перевода_в_цены_1991_г.">#REF!</definedName>
    <definedName name="Коэф.1_на_ремонт">#REF!</definedName>
    <definedName name="Коэф.2_на_ремонт">#REF!</definedName>
    <definedName name="КоэфИнф">1.1075</definedName>
    <definedName name="КПВКАП">#REF!</definedName>
    <definedName name="кпппппппппппппппппп">#REF!</definedName>
    <definedName name="кпппппппппппппппппппп">#REF!</definedName>
    <definedName name="крппппппппппппппук">#REF!</definedName>
    <definedName name="кс333">#REF!</definedName>
    <definedName name="кс3333">#REF!</definedName>
    <definedName name="КУ">'[56]КС-3'!$M$3:$M$3</definedName>
    <definedName name="куед">#REF!</definedName>
    <definedName name="л">#REF!</definedName>
    <definedName name="лд">[57]Лист1!$A$414:$O$414</definedName>
    <definedName name="ЛДЖЛДЖЛЖЛДЖ">#REF!</definedName>
    <definedName name="ЛЖОЖОЖО">#REF!</definedName>
    <definedName name="ЛЖОЛЖОЖ">#REF!</definedName>
    <definedName name="лиски_крА">#REF!</definedName>
    <definedName name="лиски_крБ">#REF!</definedName>
    <definedName name="лиски_крВ">#REF!</definedName>
    <definedName name="лиски_крГ">#REF!</definedName>
    <definedName name="лиски_крД">#REF!</definedName>
    <definedName name="лиски_крЕ">#REF!</definedName>
    <definedName name="лиски_крЖ">#REF!</definedName>
    <definedName name="лл">#REF!</definedName>
    <definedName name="лллл">#REF!</definedName>
    <definedName name="лллллллллллллллл">#REF!</definedName>
    <definedName name="лллллллллллллллллл">#REF!</definedName>
    <definedName name="ллллллллллллллллллллллл">#REF!</definedName>
    <definedName name="лю">#REF!</definedName>
    <definedName name="м">#REF!</definedName>
    <definedName name="М_01">'[6]К.С.М. (ПУТ)'!$P$106</definedName>
    <definedName name="М_02">'[6]К.С.М. (ПУТ)'!$P$110</definedName>
    <definedName name="М_03">'[6]К.С.М. (ПУТ)'!$P$113</definedName>
    <definedName name="М_04">'[6]К.С.М. (ПУТ)'!$P$86</definedName>
    <definedName name="М_05">'[6]К.С.М. (ПУТ)'!$P$90</definedName>
    <definedName name="М_06">'[6]К.С.М. (ПУТ)'!$P$94</definedName>
    <definedName name="М_07">'[6]К.С.М. (ПУТ)'!$P$98</definedName>
    <definedName name="М_08">'[6]К.С.М. (ПУТ)'!$P$102</definedName>
    <definedName name="М_1">#REF!</definedName>
    <definedName name="М_10">#REF!</definedName>
    <definedName name="М_100">#REF!</definedName>
    <definedName name="М_101">#REF!</definedName>
    <definedName name="М_102">'[58]К.С.М. (ПУТ)'!#REF!</definedName>
    <definedName name="М_103">#REF!</definedName>
    <definedName name="М_1033">#REF!</definedName>
    <definedName name="М_105">#REF!</definedName>
    <definedName name="М_106">#REF!</definedName>
    <definedName name="М_108">'[58]К.С.М. (ПУТ)'!#REF!</definedName>
    <definedName name="М_10а">[54]К.С.М.!#REF!</definedName>
    <definedName name="М_11">#REF!</definedName>
    <definedName name="М_110">#REF!</definedName>
    <definedName name="М_112">'[58]К.С.М. (ПУТ)'!#REF!</definedName>
    <definedName name="М_114">#REF!</definedName>
    <definedName name="М_116">'[58]К.С.М. (ПУТ)'!#REF!</definedName>
    <definedName name="М_119">#REF!</definedName>
    <definedName name="М_120">#REF!</definedName>
    <definedName name="М_121">#REF!</definedName>
    <definedName name="М_122">#REF!</definedName>
    <definedName name="М_123">#REF!</definedName>
    <definedName name="М_124">#REF!</definedName>
    <definedName name="М_126">#REF!</definedName>
    <definedName name="М_127">#REF!</definedName>
    <definedName name="М_13">#REF!</definedName>
    <definedName name="М_131">#REF!</definedName>
    <definedName name="М_136">'[58]К.С.М. (ПУТ)'!#REF!</definedName>
    <definedName name="М_14">#REF!</definedName>
    <definedName name="М_140">#REF!</definedName>
    <definedName name="М_144">#REF!</definedName>
    <definedName name="М_149">#REF!</definedName>
    <definedName name="М_15">#REF!</definedName>
    <definedName name="М_153">#REF!</definedName>
    <definedName name="М_154">'[58]К.С.М. (ПУТ)'!#REF!</definedName>
    <definedName name="М_155">[59]К.С.М.!$P$159</definedName>
    <definedName name="М_156">[59]К.С.М.!$P$163</definedName>
    <definedName name="М_157">[59]К.С.М.!$P$167</definedName>
    <definedName name="М_158">'[58]К.С.М. (ПУТ)'!#REF!</definedName>
    <definedName name="М_16">#REF!</definedName>
    <definedName name="М_161">#REF!</definedName>
    <definedName name="М_162">'[58]К.С.М. (ПУТ)'!#REF!</definedName>
    <definedName name="М_165">#REF!</definedName>
    <definedName name="М_166">'[58]К.С.М. (ПУТ)'!#REF!</definedName>
    <definedName name="М_169">#REF!</definedName>
    <definedName name="М_1691">#REF!</definedName>
    <definedName name="М_17">'[58]К.С.М. (ПУТ)'!#REF!</definedName>
    <definedName name="М_170">'[58]К.С.М. (ПУТ)'!#REF!</definedName>
    <definedName name="М_173">#REF!</definedName>
    <definedName name="М_174">'[58]К.С.М. (ПУТ)'!#REF!</definedName>
    <definedName name="М_177">#REF!</definedName>
    <definedName name="М_178">'[58]К.С.М. (ПУТ)'!#REF!</definedName>
    <definedName name="М_18">[60]К.С.М.!$P$33</definedName>
    <definedName name="М_181">#REF!</definedName>
    <definedName name="М_182">'[58]К.С.М. (ПУТ)'!#REF!</definedName>
    <definedName name="М_185">#REF!</definedName>
    <definedName name="М_186">'[58]К.С.М. (ПУТ)'!#REF!</definedName>
    <definedName name="М_19">#REF!</definedName>
    <definedName name="М_190">'[58]К.С.М. (ПУТ)'!#REF!</definedName>
    <definedName name="М_195">'[58]К.С.М. (ПУТ)'!#REF!</definedName>
    <definedName name="М_196">#REF!</definedName>
    <definedName name="М_2">#REF!</definedName>
    <definedName name="М_20">#REF!</definedName>
    <definedName name="М_200">'[58]К.С.М. (ПУТ)'!#REF!</definedName>
    <definedName name="М_202">[18]К.С.М.!#REF!</definedName>
    <definedName name="М_203">[18]К.С.М.!#REF!</definedName>
    <definedName name="М_204">[18]К.С.М.!#REF!</definedName>
    <definedName name="М_205">'[58]К.С.М. (ПУТ)'!#REF!</definedName>
    <definedName name="М_208">#REF!</definedName>
    <definedName name="М_209">'[58]К.С.М. (ПУТ)'!#REF!</definedName>
    <definedName name="М_21">#REF!</definedName>
    <definedName name="М_212">#REF!</definedName>
    <definedName name="М_213">'[58]К.С.М. (ПУТ)'!#REF!</definedName>
    <definedName name="М_216">#REF!</definedName>
    <definedName name="М_217">'[58]К.С.М. (ПУТ)'!#REF!</definedName>
    <definedName name="М_22">#REF!</definedName>
    <definedName name="М_221">'[58]К.С.М. (ПУТ)'!#REF!</definedName>
    <definedName name="М_222">#REF!</definedName>
    <definedName name="М_225">'[58]К.С.М. (ПУТ)'!#REF!</definedName>
    <definedName name="М_226">#REF!</definedName>
    <definedName name="М_227">#REF!</definedName>
    <definedName name="М_228">#REF!</definedName>
    <definedName name="М_229">'[58]К.С.М. (ПУТ)'!#REF!</definedName>
    <definedName name="М_230">#REF!</definedName>
    <definedName name="М_231">#REF!</definedName>
    <definedName name="М_233">'[58]К.С.М. (ПУТ)'!#REF!</definedName>
    <definedName name="М_237">'[58]К.С.М. (ПУТ)'!#REF!</definedName>
    <definedName name="М_24">#REF!</definedName>
    <definedName name="М_241">'[58]К.С.М. (ПУТ)'!#REF!</definedName>
    <definedName name="М_245">'[58]К.С.М. (ПУТ)'!#REF!</definedName>
    <definedName name="М_249">'[58]К.С.М. (ПУТ)'!#REF!</definedName>
    <definedName name="М_25">#REF!</definedName>
    <definedName name="М_253">'[58]К.С.М. (ПУТ)'!#REF!</definedName>
    <definedName name="М_257">'[58]К.С.М. (ПУТ)'!#REF!</definedName>
    <definedName name="М_25ш">#REF!</definedName>
    <definedName name="М_261">'[58]К.С.М. (ПУТ)'!#REF!</definedName>
    <definedName name="М_265">'[58]К.С.М. (ПУТ)'!#REF!</definedName>
    <definedName name="М_269">'[58]К.С.М. (ПУТ)'!#REF!</definedName>
    <definedName name="М_27">[61]К.С.М.!#REF!</definedName>
    <definedName name="М_273">'[58]К.С.М. (ПУТ)'!#REF!</definedName>
    <definedName name="М_277">'[58]К.С.М. (ПУТ)'!#REF!</definedName>
    <definedName name="М_281">#REF!</definedName>
    <definedName name="М_282">'[58]К.С.М. (ПУТ)'!#REF!</definedName>
    <definedName name="М_282а">'[58]К.С.М. (ПУТ)'!#REF!</definedName>
    <definedName name="М_285">'[58]К.С.М. (ПУТ)'!#REF!</definedName>
    <definedName name="М_289">#REF!</definedName>
    <definedName name="М_29">#REF!</definedName>
    <definedName name="М_293">'[58]К.С.М. (ПУТ)'!#REF!</definedName>
    <definedName name="М_297">[62]К.С.М.!$P$319</definedName>
    <definedName name="М_3">[63]К.С.М.!#REF!</definedName>
    <definedName name="М_30">#REF!</definedName>
    <definedName name="М_301">'[58]К.С.М. (ПУТ)'!#REF!</definedName>
    <definedName name="М_305">'[58]К.С.М. (ПУТ)'!#REF!</definedName>
    <definedName name="М_309">'[58]К.С.М. (ПУТ)'!#REF!</definedName>
    <definedName name="М_31">#REF!</definedName>
    <definedName name="М_313">'[58]К.С.М. (ПУТ)'!#REF!</definedName>
    <definedName name="М_317">'[58]К.С.М. (ПУТ)'!#REF!</definedName>
    <definedName name="М_32">[61]К.С.М.!#REF!</definedName>
    <definedName name="М_320">'[58]К.С.М. (ПУТ)'!#REF!</definedName>
    <definedName name="М_323">'[58]К.С.М. (ПУТ)'!#REF!</definedName>
    <definedName name="М_326">'[58]К.С.М. (ПУТ)'!#REF!</definedName>
    <definedName name="М_33">#REF!</definedName>
    <definedName name="М_330">[64]К.С.М.!$P$354</definedName>
    <definedName name="М_334">'[58]К.С.М. (ПУТ)'!#REF!</definedName>
    <definedName name="М_33Б">#REF!</definedName>
    <definedName name="М_34">#REF!</definedName>
    <definedName name="М_35">#REF!</definedName>
    <definedName name="М_36">[61]К.С.М.!#REF!</definedName>
    <definedName name="М_37">[65]К.С.М.!$P$51</definedName>
    <definedName name="М_38">#REF!</definedName>
    <definedName name="М_4">#REF!</definedName>
    <definedName name="М_40">#REF!</definedName>
    <definedName name="М_41">#REF!</definedName>
    <definedName name="М_42">#REF!</definedName>
    <definedName name="М_45">[66]ф9!#REF!</definedName>
    <definedName name="М_46">#REF!</definedName>
    <definedName name="М_47">'[58]К.С.М. (ПУТ)'!#REF!</definedName>
    <definedName name="М_49">[60]К.С.М.!$P$64</definedName>
    <definedName name="М_4д">#REF!</definedName>
    <definedName name="М_5">#REF!</definedName>
    <definedName name="М_50">#REF!</definedName>
    <definedName name="М_51">#REF!</definedName>
    <definedName name="М_52">#REF!</definedName>
    <definedName name="М_522">[27]К.С.М.!#REF!</definedName>
    <definedName name="М_53">[60]К.С.М.!$P$68</definedName>
    <definedName name="М_54">#REF!</definedName>
    <definedName name="М_55">[67]К.С.М.!#REF!</definedName>
    <definedName name="М_57">#REF!</definedName>
    <definedName name="М_577">#REF!</definedName>
    <definedName name="М_6">#REF!</definedName>
    <definedName name="М_60">[67]К.С.М.!#REF!</definedName>
    <definedName name="М_61">#REF!</definedName>
    <definedName name="М_62">#REF!</definedName>
    <definedName name="М_63">'[58]К.С.М. (ПУТ)'!#REF!</definedName>
    <definedName name="М_64">[65]К.С.М.!$P$78</definedName>
    <definedName name="М_65">[44]К.С.М.!#REF!</definedName>
    <definedName name="М_69">[44]К.С.М.!#REF!</definedName>
    <definedName name="М_7">#REF!</definedName>
    <definedName name="М_70">#REF!</definedName>
    <definedName name="М_71">#REF!</definedName>
    <definedName name="М_72">#REF!</definedName>
    <definedName name="М_73">[44]К.С.М.!#REF!</definedName>
    <definedName name="М_74">#REF!</definedName>
    <definedName name="М_75">'[58]К.С.М. (ПУТ)'!#REF!</definedName>
    <definedName name="М_77">#REF!</definedName>
    <definedName name="М_771">#REF!</definedName>
    <definedName name="М_78">[67]К.С.М.!#REF!</definedName>
    <definedName name="М_79">#REF!</definedName>
    <definedName name="М_80">[60]К.С.М.!$P$83</definedName>
    <definedName name="М_81">#REF!</definedName>
    <definedName name="М_83">#REF!</definedName>
    <definedName name="М_84">[60]К.С.М.!$P$87</definedName>
    <definedName name="М_85">#REF!</definedName>
    <definedName name="М_86">'[58]К.С.М. (ПУТ)'!#REF!</definedName>
    <definedName name="М_87">#REF!</definedName>
    <definedName name="М_88">[60]К.С.М.!$P$91</definedName>
    <definedName name="М_89">#REF!</definedName>
    <definedName name="М_9">#REF!</definedName>
    <definedName name="М_91">'[58]К.С.М. (ПУТ)'!#REF!</definedName>
    <definedName name="М_93">#REF!</definedName>
    <definedName name="М_97">#REF!</definedName>
    <definedName name="М12">#REF!</definedName>
    <definedName name="май">[41]Лист1!$C$936:$H$1175</definedName>
    <definedName name="маша" hidden="1">{#N/A,#N/A,TRUE,"Сводка балансов"}</definedName>
    <definedName name="метро" hidden="1">{#N/A,#N/A,TRUE,"Сводка балансов"}</definedName>
    <definedName name="ми">[37]Лист1!#REF!</definedName>
    <definedName name="миииииииии">#REF!</definedName>
    <definedName name="митьбьотрипма">#REF!</definedName>
    <definedName name="млол">#REF!</definedName>
    <definedName name="мм">#REF!</definedName>
    <definedName name="мо">#REF!</definedName>
    <definedName name="монтаж">#REF!</definedName>
    <definedName name="мост">#REF!</definedName>
    <definedName name="мп">'[38]C.с '!$D$21</definedName>
    <definedName name="н">#REF!</definedName>
    <definedName name="Названия">'[46]КС-3'!$N$3:$N$3</definedName>
    <definedName name="Наименование_объекта">#REF!</definedName>
    <definedName name="Накладные_расходы_1">#REF!</definedName>
    <definedName name="Накладные_расходы_2">#REF!</definedName>
    <definedName name="налпольз">#REF!</definedName>
    <definedName name="Ндевицк_крА">#REF!</definedName>
    <definedName name="Ндевицк_крБ">#REF!</definedName>
    <definedName name="Ндевицк_крВ">#REF!</definedName>
    <definedName name="Ндевицк_крГ">#REF!</definedName>
    <definedName name="Ндевицк_крД">#REF!</definedName>
    <definedName name="Ндевицк_крЕ">#REF!</definedName>
    <definedName name="Ндевицк_крЖ">#REF!</definedName>
    <definedName name="НДС">'[46]КС-3'!$J$1</definedName>
    <definedName name="не">[37]Лист1!#REF!</definedName>
    <definedName name="неет">#REF!</definedName>
    <definedName name="неошл">#REF!</definedName>
    <definedName name="нет">#REF!</definedName>
    <definedName name="нн45ни">#REF!</definedName>
    <definedName name="ннннннннннннн">#REF!</definedName>
    <definedName name="нннннннннннннннннннннннннннннннн">#REF!</definedName>
    <definedName name="нннннннннннт">#REF!</definedName>
    <definedName name="ноооооооооооооооооооо">#REF!</definedName>
    <definedName name="нрогнлгн">[68]Лист1!#REF!</definedName>
    <definedName name="НТС">[49]Лист1!$M$138</definedName>
    <definedName name="НУ">'[56]КС-3'!$N$3:$N$3</definedName>
    <definedName name="Нусмань_крА">#REF!</definedName>
    <definedName name="Нусмань_крБ">#REF!</definedName>
    <definedName name="Нусмань_крВ">#REF!</definedName>
    <definedName name="Нусмань_крГ">#REF!</definedName>
    <definedName name="Нусмань_крД">#REF!</definedName>
    <definedName name="Нусмань_крЕ">#REF!</definedName>
    <definedName name="Нусмань_крЖ">#REF!</definedName>
    <definedName name="Нхопер_крА">#REF!</definedName>
    <definedName name="Нхопер_крБ">#REF!</definedName>
    <definedName name="Нхопер_крВ">#REF!</definedName>
    <definedName name="Нхопер_крГ">#REF!</definedName>
    <definedName name="Нхопер_крД">#REF!</definedName>
    <definedName name="Нхопер_крЕ">#REF!</definedName>
    <definedName name="Нхопер_крЖ">#REF!</definedName>
    <definedName name="о">#REF!</definedName>
    <definedName name="О_1">#REF!</definedName>
    <definedName name="об">'[38]C.с '!$F$36</definedName>
    <definedName name="обл">#REF!</definedName>
    <definedName name="_xlnm.Print_Area" localSheetId="0">'10.4(0,2)'!$A$1:$L$338</definedName>
    <definedName name="_xlnm.Print_Area" localSheetId="6">'17.55'!$A$1:$L$228</definedName>
    <definedName name="_xlnm.Print_Area" localSheetId="7">'17.55доп2'!$A$2:$L$426</definedName>
    <definedName name="_xlnm.Print_Area" localSheetId="4">'КС-3'!$A$1:$H$79</definedName>
    <definedName name="_xlnm.Print_Area" localSheetId="5">Реестр!$A$1:$Q$35</definedName>
    <definedName name="_xlnm.Print_Area">#REF!</definedName>
    <definedName name="обс">#REF!</definedName>
    <definedName name="обсл">#REF!</definedName>
    <definedName name="обслуга">#REF!</definedName>
    <definedName name="обслуж">#REF!</definedName>
    <definedName name="Объездн.дор.">'[40]Объездные дороги'!$AJ$41</definedName>
    <definedName name="объем">#REF!</definedName>
    <definedName name="оз">#REF!</definedName>
    <definedName name="Озел.">[40]Озеленение!$AJ$40</definedName>
    <definedName name="окно.б.">#REF!</definedName>
    <definedName name="ол">#REF!</definedName>
    <definedName name="ОЛЖОЛЖО">#REF!</definedName>
    <definedName name="ололо">#REF!</definedName>
    <definedName name="ольхов_крА">#REF!</definedName>
    <definedName name="ольхов_крБ">#REF!</definedName>
    <definedName name="ольхов_крВ">#REF!</definedName>
    <definedName name="ольхов_крГ">#REF!</definedName>
    <definedName name="ольхов_крД">#REF!</definedName>
    <definedName name="ольхов_крЕ">#REF!</definedName>
    <definedName name="ольхов_крЖ">#REF!</definedName>
    <definedName name="оо">#REF!</definedName>
    <definedName name="ооо">#REF!</definedName>
    <definedName name="оооо">#REF!</definedName>
    <definedName name="ооооо">#REF!</definedName>
    <definedName name="оооооо">#REF!</definedName>
    <definedName name="ОП1">#REF!</definedName>
    <definedName name="ор">'[44]C.с '!#REF!</definedName>
    <definedName name="орпророо">#REF!</definedName>
    <definedName name="орь">#REF!</definedName>
    <definedName name="острог_крА">#REF!</definedName>
    <definedName name="острог_крБ">#REF!</definedName>
    <definedName name="острог_крВ">#REF!</definedName>
    <definedName name="острог_крГ">#REF!</definedName>
    <definedName name="острог_крД">#REF!</definedName>
    <definedName name="острог_крЕ">#REF!</definedName>
    <definedName name="острог_крЖ">#REF!</definedName>
    <definedName name="Отделы">#REF!</definedName>
    <definedName name="Оформл.отвода">'[40] Подготовительные работы'!$AJ$20</definedName>
    <definedName name="охот_клуб" hidden="1">{#N/A,#N/A,TRUE,"Сводка балансов"}</definedName>
    <definedName name="охр">#REF!</definedName>
    <definedName name="охрана">#REF!</definedName>
    <definedName name="охрана2">#REF!</definedName>
    <definedName name="п">#REF!</definedName>
    <definedName name="П_1">#REF!</definedName>
    <definedName name="П1">#REF!</definedName>
    <definedName name="паапа">#REF!</definedName>
    <definedName name="павлов_крА">#REF!</definedName>
    <definedName name="павлов_крБ">#REF!</definedName>
    <definedName name="павлов_крВ">#REF!</definedName>
    <definedName name="павлов_крГ">#REF!</definedName>
    <definedName name="павлов_крД">#REF!</definedName>
    <definedName name="павлов_крЕ">#REF!</definedName>
    <definedName name="павлов_крЖ">#REF!</definedName>
    <definedName name="павод">#REF!</definedName>
    <definedName name="панино_крА">#REF!</definedName>
    <definedName name="панино_крБ">#REF!</definedName>
    <definedName name="панино_крВ">#REF!</definedName>
    <definedName name="панино_крГ">#REF!</definedName>
    <definedName name="панино_крД">#REF!</definedName>
    <definedName name="панино_крЕ">#REF!</definedName>
    <definedName name="панино_крЖ">#REF!</definedName>
    <definedName name="ПАПАИПАПА">#REF!</definedName>
    <definedName name="папап">#REF!</definedName>
    <definedName name="папвуу">#REF!</definedName>
    <definedName name="пар">#REF!</definedName>
    <definedName name="параша" hidden="1">{#N/A,#N/A,TRUE,"Сводка балансов"}</definedName>
    <definedName name="партия2">#REF!</definedName>
    <definedName name="паша" hidden="1">{#N/A,#N/A,TRUE,"Сводка балансов"}</definedName>
    <definedName name="пв">[37]Лист1!#REF!</definedName>
    <definedName name="пд">'[48]C.с'!$D$123</definedName>
    <definedName name="перевозка">#REF!</definedName>
    <definedName name="Пересеч.">'[40]Пересечения и примыкания'!$AJ$58</definedName>
    <definedName name="петроп_крА">#REF!</definedName>
    <definedName name="петроп_крБ">#REF!</definedName>
    <definedName name="петроп_крВ">#REF!</definedName>
    <definedName name="петроп_крГ">#REF!</definedName>
    <definedName name="петроп_крД">#REF!</definedName>
    <definedName name="петроп_крЕ">#REF!</definedName>
    <definedName name="петроп_крЖ">#REF!</definedName>
    <definedName name="пеш">#REF!</definedName>
    <definedName name="Пеш.дорожки">'[40]Обстановка дороги'!$AJ$66</definedName>
    <definedName name="ПИР">[69]ПИР!$F$20</definedName>
    <definedName name="пкапв">#REF!</definedName>
    <definedName name="пквпппппппппппп">#REF!</definedName>
    <definedName name="плрайдшогкуп">#REF!</definedName>
    <definedName name="плс">'[44]C.с '!#REF!</definedName>
    <definedName name="пм">'[48]C.с'!$D$39</definedName>
    <definedName name="пмрпрпрр">#REF!</definedName>
    <definedName name="ПНР">#REF!,#REF!,#REF!,#REF!,#REF!,#REF!,#REF!</definedName>
    <definedName name="ПНР_О_И">#REF!,#REF!,#REF!,#REF!,#REF!,#REF!,#REF!</definedName>
    <definedName name="повор_крА">#REF!</definedName>
    <definedName name="повор_крБ">#REF!</definedName>
    <definedName name="повор_крВ">#REF!</definedName>
    <definedName name="повор_крГ">#REF!</definedName>
    <definedName name="повор_крД">#REF!</definedName>
    <definedName name="повор_крЕ">#REF!</definedName>
    <definedName name="повор_крЖ">#REF!</definedName>
    <definedName name="под">#REF!</definedName>
    <definedName name="подгор_крА">#REF!</definedName>
    <definedName name="подгор_крБ">#REF!</definedName>
    <definedName name="подгор_крВ">#REF!</definedName>
    <definedName name="подгор_крГ">#REF!</definedName>
    <definedName name="подгор_крД">#REF!</definedName>
    <definedName name="подгор_крЕ">#REF!</definedName>
    <definedName name="подгор_крЖ">#REF!</definedName>
    <definedName name="пожар">#REF!</definedName>
    <definedName name="понпш">#REF!</definedName>
    <definedName name="попопоппп">#REF!</definedName>
    <definedName name="пор">#REF!</definedName>
    <definedName name="ПОРЛ">#REF!</definedName>
    <definedName name="Посад.площ.">'[40]Обстановка дороги'!$AJ$121</definedName>
    <definedName name="пп">#REF!</definedName>
    <definedName name="ппп">#REF!</definedName>
    <definedName name="ппп.">#REF!</definedName>
    <definedName name="пппп">#REF!</definedName>
    <definedName name="ппппппппппп">#REF!</definedName>
    <definedName name="пппппппппппп">#REF!</definedName>
    <definedName name="ппппппппппппп">#REF!</definedName>
    <definedName name="пппппппппппппппппппва">#REF!</definedName>
    <definedName name="ппппппппппппппппппппп">#REF!</definedName>
    <definedName name="пппрр">#REF!</definedName>
    <definedName name="пр">'[38]C.с '!$D$69</definedName>
    <definedName name="пр1">'[16]C.с'!$E$58</definedName>
    <definedName name="преапреапрар">#REF!</definedName>
    <definedName name="прно">[70]Лист1!$A$316:$O$318</definedName>
    <definedName name="про">[36]Лист1!#REF!</definedName>
    <definedName name="проект">#REF!</definedName>
    <definedName name="прол">'[39]C.с  (2)'!$I$80</definedName>
    <definedName name="пролл">#REF!</definedName>
    <definedName name="ПРОТОКОЛ_ИТОГИ_БНДС">'[49]Протокол ДЦ'!$E$11,'[49]Протокол ДЦ'!$E$22</definedName>
    <definedName name="прп">#REF!</definedName>
    <definedName name="ПРППОРЛОРЛО">#REF!</definedName>
    <definedName name="прпр.эж">#REF!</definedName>
    <definedName name="ПРПРП">#REF!</definedName>
    <definedName name="прпрпрп">#REF!</definedName>
    <definedName name="ПРРР">#REF!</definedName>
    <definedName name="прррррррр">#REF!</definedName>
    <definedName name="р">#REF!</definedName>
    <definedName name="Р_01">[6]Фм!$H$17</definedName>
    <definedName name="Р_02">[6]Фм!$H$22</definedName>
    <definedName name="Р_1">#REF!</definedName>
    <definedName name="Р_10">#REF!</definedName>
    <definedName name="Р_100">[20]Ф!#REF!</definedName>
    <definedName name="Р_101">#REF!</definedName>
    <definedName name="Р_11">#REF!</definedName>
    <definedName name="Р_111">[27]Ф!#REF!</definedName>
    <definedName name="Р_11а">[13]Ф!#REF!</definedName>
    <definedName name="Р_13">#REF!</definedName>
    <definedName name="Р_14">#REF!</definedName>
    <definedName name="Р_15">[71]Ф!#REF!</definedName>
    <definedName name="Р_150">[13]Ф!#REF!</definedName>
    <definedName name="Р_151">#REF!</definedName>
    <definedName name="Р_152">#REF!</definedName>
    <definedName name="Р_153">#REF!</definedName>
    <definedName name="Р_154">#REF!</definedName>
    <definedName name="Р_15а">[20]Ф!#REF!</definedName>
    <definedName name="Р_16">#REF!</definedName>
    <definedName name="Р_17">[71]Ф!#REF!</definedName>
    <definedName name="Р_17а">[20]Ф!#REF!</definedName>
    <definedName name="Р_18">[61]Ф!#REF!</definedName>
    <definedName name="Р_19">#REF!</definedName>
    <definedName name="Р_190">#REF!</definedName>
    <definedName name="Р_2">#REF!</definedName>
    <definedName name="Р_20">#REF!</definedName>
    <definedName name="Р_21">#REF!</definedName>
    <definedName name="Р_210">#REF!</definedName>
    <definedName name="Р_211">[12]Ф!#REF!</definedName>
    <definedName name="Р_211а">[12]Ф!#REF!</definedName>
    <definedName name="Р_212">[12]Ф!#REF!</definedName>
    <definedName name="Р_22">#REF!</definedName>
    <definedName name="Р_23">#REF!</definedName>
    <definedName name="Р_233">#REF!</definedName>
    <definedName name="Р_24">#REF!</definedName>
    <definedName name="Р_241">#REF!</definedName>
    <definedName name="Р_25">#REF!</definedName>
    <definedName name="Р_26">#REF!</definedName>
    <definedName name="Р_29">#REF!</definedName>
    <definedName name="Р_3">#REF!</definedName>
    <definedName name="Р_300">#REF!</definedName>
    <definedName name="Р_301">#REF!</definedName>
    <definedName name="Р_31">[67]Ф!#REF!</definedName>
    <definedName name="Р_311">#REF!</definedName>
    <definedName name="Р_32">[71]Ф!#REF!</definedName>
    <definedName name="Р_33">#REF!</definedName>
    <definedName name="Р_333">#REF!</definedName>
    <definedName name="Р_34">[67]Ф!#REF!</definedName>
    <definedName name="Р_35">[71]Ф!#REF!</definedName>
    <definedName name="Р_36">#REF!</definedName>
    <definedName name="Р_37">#REF!</definedName>
    <definedName name="Р_38">#REF!</definedName>
    <definedName name="Р_39">[50]Ф!$H$52</definedName>
    <definedName name="Р_4">#REF!</definedName>
    <definedName name="Р_40">#REF!</definedName>
    <definedName name="Р_401">#REF!</definedName>
    <definedName name="Р_402">#REF!</definedName>
    <definedName name="Р_41">[62]Ф!$H$57</definedName>
    <definedName name="Р_411">#REF!</definedName>
    <definedName name="Р_43">[67]Ф!#REF!</definedName>
    <definedName name="Р_44">[71]Ф!#REF!</definedName>
    <definedName name="Р_44а">[12]Ф!#REF!</definedName>
    <definedName name="Р_45">#REF!</definedName>
    <definedName name="Р_46">#REF!</definedName>
    <definedName name="Р_47">#REF!</definedName>
    <definedName name="Р_48">#REF!</definedName>
    <definedName name="Р_49">[71]Ф!#REF!</definedName>
    <definedName name="Р_49а">[71]Ф!#REF!</definedName>
    <definedName name="Р_5">#REF!</definedName>
    <definedName name="Р_50">#REF!</definedName>
    <definedName name="Р_51">#REF!</definedName>
    <definedName name="Р_52">#REF!</definedName>
    <definedName name="Р_53">[71]Ф!#REF!</definedName>
    <definedName name="Р_532">[63]Ф!#REF!</definedName>
    <definedName name="Р_54">#REF!</definedName>
    <definedName name="Р_55">#REF!</definedName>
    <definedName name="Р_57">#REF!</definedName>
    <definedName name="Р_58">#REF!</definedName>
    <definedName name="Р_59">#REF!</definedName>
    <definedName name="Р_59а">[71]Ф!#REF!</definedName>
    <definedName name="Р_6">[72]Ф!#REF!</definedName>
    <definedName name="Р_60">#REF!</definedName>
    <definedName name="Р_63">#REF!</definedName>
    <definedName name="Р_64">#REF!</definedName>
    <definedName name="Р_68">#REF!</definedName>
    <definedName name="Р_69">#REF!</definedName>
    <definedName name="Р_69а">[13]Ф!#REF!</definedName>
    <definedName name="Р_7">#REF!</definedName>
    <definedName name="Р_72">#REF!</definedName>
    <definedName name="Р_720">#REF!</definedName>
    <definedName name="Р_74">#REF!</definedName>
    <definedName name="Р_79">#REF!</definedName>
    <definedName name="Р_790">#REF!</definedName>
    <definedName name="Р_791">#REF!</definedName>
    <definedName name="Р_8">#REF!</definedName>
    <definedName name="Р_83">#REF!</definedName>
    <definedName name="Р_88">#REF!</definedName>
    <definedName name="Р_9">#REF!</definedName>
    <definedName name="Р_900">[13]Ф!#REF!</definedName>
    <definedName name="Р_901">[13]Ф!#REF!</definedName>
    <definedName name="Р_9а">[13]Ф!#REF!</definedName>
    <definedName name="р1">#REF!</definedName>
    <definedName name="раа">#REF!</definedName>
    <definedName name="разборка">#REF!</definedName>
    <definedName name="рамонь_крА">#REF!</definedName>
    <definedName name="рамонь_крБ">#REF!</definedName>
    <definedName name="рамонь_крВ">#REF!</definedName>
    <definedName name="рамонь_крГ">#REF!</definedName>
    <definedName name="рамонь_крД">#REF!</definedName>
    <definedName name="рамонь_крЕ">#REF!</definedName>
    <definedName name="рамонь_крЖ">#REF!</definedName>
    <definedName name="рарарар">#REF!</definedName>
    <definedName name="рвпар">#REF!</definedName>
    <definedName name="регцентр">#REF!</definedName>
    <definedName name="Реес">#REF!</definedName>
    <definedName name="реест1">#REF!</definedName>
    <definedName name="реестр">#REF!</definedName>
    <definedName name="реестр1">#REF!</definedName>
    <definedName name="реестр11">#REF!</definedName>
    <definedName name="реестртаблица">#REF!</definedName>
    <definedName name="Рекульт.БЭ">[40]Рекультивация!$AJ$51</definedName>
    <definedName name="Рекульт.ТЭ">[40]Рекультивация!$AJ$24</definedName>
    <definedName name="рено" hidden="1">{#N/A,#N/A,TRUE,"Сводка балансов"}</definedName>
    <definedName name="репьев_крА">#REF!</definedName>
    <definedName name="репьев_крБ">#REF!</definedName>
    <definedName name="репьев_крВ">#REF!</definedName>
    <definedName name="репьев_крГ">#REF!</definedName>
    <definedName name="репьев_крД">#REF!</definedName>
    <definedName name="репьев_крЕ">#REF!</definedName>
    <definedName name="репьев_крЖ">#REF!</definedName>
    <definedName name="рзщр">#REF!</definedName>
    <definedName name="рм">'[38]C.с '!$D$28</definedName>
    <definedName name="рмп">'[38]C.с '!$D$25</definedName>
    <definedName name="ро">[73]Лист1!#REF!</definedName>
    <definedName name="РОЛРОЛР">#REF!</definedName>
    <definedName name="рооооооооо">#REF!</definedName>
    <definedName name="рооооооооооооо">#REF!</definedName>
    <definedName name="рор">#REF!</definedName>
    <definedName name="россошь_крА">#REF!</definedName>
    <definedName name="россошь_крБ">#REF!</definedName>
    <definedName name="россошь_крВ">#REF!</definedName>
    <definedName name="россошь_крГ">#REF!</definedName>
    <definedName name="россошь_крД">#REF!</definedName>
    <definedName name="россошь_крЕ">#REF!</definedName>
    <definedName name="россошь_крЖ">#REF!</definedName>
    <definedName name="рпа">#REF!</definedName>
    <definedName name="рпп">'[38]C.с '!$D$49</definedName>
    <definedName name="рпрпрррпрпрпр">#REF!</definedName>
    <definedName name="РПТ" hidden="1">{#N/A,#N/A,TRUE,"Сводка балансов"}</definedName>
    <definedName name="рпуп">#REF!</definedName>
    <definedName name="рр">#REF!</definedName>
    <definedName name="Рр_1">#REF!</definedName>
    <definedName name="ррп">'[44]C.с '!#REF!</definedName>
    <definedName name="ррр">#REF!</definedName>
    <definedName name="рррпр">#REF!</definedName>
    <definedName name="рррр">#REF!</definedName>
    <definedName name="ррррр">#REF!</definedName>
    <definedName name="рррррр">#REF!</definedName>
    <definedName name="рррррррррррр">[18]К.С.М.!#REF!</definedName>
    <definedName name="ррррррррррррр">#REF!</definedName>
    <definedName name="рррррррррррррр">#REF!</definedName>
    <definedName name="ррррррррррррррррр">#REF!</definedName>
    <definedName name="ррррррррррррррррррррр">#REF!</definedName>
    <definedName name="рррррррррррррррррррррррррррррр">#REF!</definedName>
    <definedName name="рсп">'[44]C.с '!#REF!</definedName>
    <definedName name="Рубка_леса">'[40] Подготовительные работы'!$AJ$71</definedName>
    <definedName name="с">#REF!</definedName>
    <definedName name="С112">#REF!</definedName>
    <definedName name="С113">#REF!</definedName>
    <definedName name="С120">#REF!</definedName>
    <definedName name="сапрсапр">#REF!</definedName>
    <definedName name="сваи">#REF!</definedName>
    <definedName name="семил_крА">#REF!</definedName>
    <definedName name="семил_крБ">#REF!</definedName>
    <definedName name="семил_крВ">#REF!</definedName>
    <definedName name="семил_крГ">#REF!</definedName>
    <definedName name="семил_крД">#REF!</definedName>
    <definedName name="семил_крЕ">#REF!</definedName>
    <definedName name="семил_крЖ">#REF!</definedName>
    <definedName name="си">'[16]C.с'!$I$28</definedName>
    <definedName name="Сигн.столбики">'[40]Обстановка дороги'!$AJ$24</definedName>
    <definedName name="см.158нов">#REF!</definedName>
    <definedName name="см110нов">#REF!</definedName>
    <definedName name="см129нов">#REF!</definedName>
    <definedName name="смммммммммм">[18]К.С.М.!#REF!</definedName>
    <definedName name="смр">#REF!</definedName>
    <definedName name="Снятие">#REF!</definedName>
    <definedName name="сп2">#REF!</definedName>
    <definedName name="спр2">#REF!</definedName>
    <definedName name="спр22">#REF!</definedName>
    <definedName name="спр33">#REF!</definedName>
    <definedName name="сроки">[43]Коэффициенты!$A$1:$A$65536</definedName>
    <definedName name="сс">#REF!</definedName>
    <definedName name="стадия_П">[43]база!$J$1:$J$65536</definedName>
    <definedName name="стд">#REF!</definedName>
    <definedName name="страх">#REF!</definedName>
    <definedName name="сттт">#REF!</definedName>
    <definedName name="т">#REF!</definedName>
    <definedName name="Т.а.">#REF!</definedName>
    <definedName name="Т_1">#REF!</definedName>
    <definedName name="Т_10">#REF!</definedName>
    <definedName name="Т_13">#REF!</definedName>
    <definedName name="Т_16">#REF!</definedName>
    <definedName name="Т_25">#REF!</definedName>
    <definedName name="Т_28">#REF!</definedName>
    <definedName name="Т_31">#REF!</definedName>
    <definedName name="Т_35">#REF!</definedName>
    <definedName name="Т_351">#REF!</definedName>
    <definedName name="Т_352">#REF!</definedName>
    <definedName name="Т_353">#REF!</definedName>
    <definedName name="Т_354">#REF!</definedName>
    <definedName name="Т_355">#REF!</definedName>
    <definedName name="Т_372">#REF!</definedName>
    <definedName name="Т_39">#REF!</definedName>
    <definedName name="Т_4">#REF!</definedName>
    <definedName name="Т_40">#REF!</definedName>
    <definedName name="Т_43">#REF!</definedName>
    <definedName name="Т_44">#REF!</definedName>
    <definedName name="Т_46">#REF!</definedName>
    <definedName name="Т_461">#REF!</definedName>
    <definedName name="Т_49">#REF!</definedName>
    <definedName name="Т_52">#REF!</definedName>
    <definedName name="Т_56">#REF!</definedName>
    <definedName name="Т_59">#REF!</definedName>
    <definedName name="Т_590">#REF!</definedName>
    <definedName name="Т_5901">#REF!</definedName>
    <definedName name="Т_63">#REF!</definedName>
    <definedName name="Т_67">#REF!</definedName>
    <definedName name="Т_7">#REF!</definedName>
    <definedName name="Т_70">#REF!</definedName>
    <definedName name="Т_72">#REF!</definedName>
    <definedName name="Т_74">#REF!</definedName>
    <definedName name="Т12">#REF!</definedName>
    <definedName name="Т12_1">#REF!</definedName>
    <definedName name="Т12_4">#REF!</definedName>
    <definedName name="Т13">#REF!</definedName>
    <definedName name="Т14">#REF!</definedName>
    <definedName name="Т14_1">#REF!</definedName>
    <definedName name="Т14_4">#REF!</definedName>
    <definedName name="Т14_6">#REF!</definedName>
    <definedName name="Т14_7">#REF!</definedName>
    <definedName name="т17">#REF!</definedName>
    <definedName name="Т18">#REF!</definedName>
    <definedName name="Т200">#REF!</definedName>
    <definedName name="Т25">#REF!</definedName>
    <definedName name="талов_крА">#REF!</definedName>
    <definedName name="талов_крБ">#REF!</definedName>
    <definedName name="талов_крВ">#REF!</definedName>
    <definedName name="талов_крГ">#REF!</definedName>
    <definedName name="талов_крД">#REF!</definedName>
    <definedName name="талов_крЕ">#REF!</definedName>
    <definedName name="талов_крЖ">#REF!</definedName>
    <definedName name="ТендСниж">0.985</definedName>
    <definedName name="тернов_крА">#REF!</definedName>
    <definedName name="тернов_крБ">#REF!</definedName>
    <definedName name="тернов_крВ">#REF!</definedName>
    <definedName name="тернов_крГ">#REF!</definedName>
    <definedName name="тернов_крД">#REF!</definedName>
    <definedName name="тернов_крЕ">#REF!</definedName>
    <definedName name="тернов_крЖ">#REF!</definedName>
    <definedName name="тз">#REF!</definedName>
    <definedName name="тимс" hidden="1">{#N/A,#N/A,TRUE,"Сводка балансов"}</definedName>
    <definedName name="тип2">#REF!</definedName>
    <definedName name="торг">#REF!</definedName>
    <definedName name="Тощ.бет.">#REF!</definedName>
    <definedName name="трог" hidden="1">{#N/A,#N/A,TRUE,"Сводка балансов"}</definedName>
    <definedName name="тррррррртрт">#REF!</definedName>
    <definedName name="Трубы">'[40]Искусственные сооружения'!$AJ$182</definedName>
    <definedName name="тт">#REF!</definedName>
    <definedName name="тт45ни">#REF!</definedName>
    <definedName name="ттт">#REF!</definedName>
    <definedName name="тттт">#REF!</definedName>
    <definedName name="тттттттттттттттттттттттттттт">#REF!</definedName>
    <definedName name="тьтььььььььььььььььььь">#REF!</definedName>
    <definedName name="у">#REF!</definedName>
    <definedName name="у1">#REF!</definedName>
    <definedName name="у2">#REF!</definedName>
    <definedName name="уке">#REF!</definedName>
    <definedName name="укккккккккккккккккккккккк">#REF!</definedName>
    <definedName name="Укр.обочин">'[40]Дорожная одежда'!$AJ$51</definedName>
    <definedName name="Укреп.оаботы">'[40]Земляное полотно'!$AJ$70</definedName>
    <definedName name="укук">#REF!</definedName>
    <definedName name="УМ1">#REF!</definedName>
    <definedName name="умгкр">#REF!</definedName>
    <definedName name="умгкр1">#REF!</definedName>
    <definedName name="УПВКАП">#REF!</definedName>
    <definedName name="уперп">#REF!</definedName>
    <definedName name="ууу">#REF!</definedName>
    <definedName name="уууууууууав">#REF!</definedName>
    <definedName name="уууууууууук">#REF!</definedName>
    <definedName name="уууууууууууу">#REF!</definedName>
    <definedName name="ууууууууууууууууу">#REF!</definedName>
    <definedName name="уууууууууууууууууууу">#REF!</definedName>
    <definedName name="УЦ">#REF!</definedName>
    <definedName name="уыпыыыыыыыыыыыыыыыыыыы">#REF!</definedName>
    <definedName name="ф">#REF!</definedName>
    <definedName name="Ф_10">[66]ф10!#REF!</definedName>
    <definedName name="Ф_11">[66]ф10!#REF!</definedName>
    <definedName name="Ф_12">[66]ф10!#REF!</definedName>
    <definedName name="Ф_13">[66]ф10!#REF!</definedName>
    <definedName name="Ф_14">[66]ф10!#REF!</definedName>
    <definedName name="Ф_15">[66]ф10!#REF!</definedName>
    <definedName name="Ф_16">[66]ф10!#REF!</definedName>
    <definedName name="Ф_160">[74]ф10!#REF!</definedName>
    <definedName name="Ф_193">[74]ф10!#REF!</definedName>
    <definedName name="Ф_2">[66]ф10!#REF!</definedName>
    <definedName name="Ф_3">[66]ф10!#REF!</definedName>
    <definedName name="Ф_31">[66]ф10!#REF!</definedName>
    <definedName name="Ф_32">[66]ф10!#REF!</definedName>
    <definedName name="Ф_38">[74]ф10!#REF!</definedName>
    <definedName name="Ф_4">[66]ф10!#REF!</definedName>
    <definedName name="Ф_5">[66]ф10!#REF!</definedName>
    <definedName name="Ф_6">[66]ф10!#REF!</definedName>
    <definedName name="Ф_7">[66]ф10!#REF!</definedName>
    <definedName name="Ф_8">[66]ф10!#REF!</definedName>
    <definedName name="Ф_83">[66]ф10!#REF!</definedName>
    <definedName name="Ф_9">[66]ф10!#REF!</definedName>
    <definedName name="Ф_98">[74]ф10!#REF!</definedName>
    <definedName name="ф1">#REF!</definedName>
    <definedName name="ф2">'[75]C.с '!$H$86</definedName>
    <definedName name="ф4">#REF!</definedName>
    <definedName name="ФААААААААААААААА">#REF!</definedName>
    <definedName name="фввввввввв">#REF!</definedName>
    <definedName name="фвввввввввввввввввввв">#REF!</definedName>
    <definedName name="фвввввввввуууууууууууп">#REF!</definedName>
    <definedName name="февраль">#REF!</definedName>
    <definedName name="фф">#REF!</definedName>
    <definedName name="ффф">#REF!</definedName>
    <definedName name="фффф">#REF!</definedName>
    <definedName name="ффффффффвасссссссссссссс">#REF!</definedName>
    <definedName name="ФФФФФФФФФФФФФФФ">#REF!</definedName>
    <definedName name="ФФФФФФФФФФФЫЫЫЫЫЫЫ">#REF!</definedName>
    <definedName name="фцыв">#REF!</definedName>
    <definedName name="ФЫАЫАВЫ">#REF!</definedName>
    <definedName name="ФЫВВВВВ">#REF!</definedName>
    <definedName name="фыыыыыыыыыыыыыа">#REF!</definedName>
    <definedName name="х">#REF!</definedName>
    <definedName name="хзщ">#REF!</definedName>
    <definedName name="хохол_крА">#REF!</definedName>
    <definedName name="хохол_крБ">#REF!</definedName>
    <definedName name="хохол_крВ">#REF!</definedName>
    <definedName name="хохол_крГ">#REF!</definedName>
    <definedName name="хохол_крД">#REF!</definedName>
    <definedName name="хохол_крЕ">#REF!</definedName>
    <definedName name="хохол_крЖ">#REF!</definedName>
    <definedName name="хххх">#REF!</definedName>
    <definedName name="хшнир">#REF!</definedName>
    <definedName name="ц">#REF!</definedName>
    <definedName name="цкеен">#REF!</definedName>
    <definedName name="цкрт">#REF!</definedName>
    <definedName name="цол">#REF!</definedName>
    <definedName name="цуауыыыыыыыыыыыыыыыыы">#REF!</definedName>
    <definedName name="цуенгш">#REF!</definedName>
    <definedName name="цуецкуе" hidden="1">{#N/A,#N/A,TRUE,"Сводка балансов"}</definedName>
    <definedName name="цуккккккккккккккккккк">#REF!</definedName>
    <definedName name="цукчфффффффффффф">#REF!</definedName>
    <definedName name="цууууууууууууууууууууу">#REF!</definedName>
    <definedName name="цфввввввввввввввв">#REF!</definedName>
    <definedName name="цц">#REF!</definedName>
    <definedName name="цццц">#REF!</definedName>
    <definedName name="ццццц">#REF!</definedName>
    <definedName name="ццццццццццццууууууууууууууууу">#REF!</definedName>
    <definedName name="ццццццццццццццццц">#REF!</definedName>
    <definedName name="ч">#REF!</definedName>
    <definedName name="Ч_Щ_1">#REF!</definedName>
    <definedName name="Ч_Щ_2">'[9]ч. щ. 2'!$F$29</definedName>
    <definedName name="чапр">#REF!</definedName>
    <definedName name="Чспп">#REF!</definedName>
    <definedName name="чсссссссссс">#REF!</definedName>
    <definedName name="чч">#REF!</definedName>
    <definedName name="ччч">#REF!</definedName>
    <definedName name="ш">#REF!</definedName>
    <definedName name="шзшзхх">#REF!</definedName>
    <definedName name="ШЛЮЖОЛО">#REF!</definedName>
    <definedName name="шшщз">#REF!</definedName>
    <definedName name="щ">#REF!</definedName>
    <definedName name="щшг">#REF!</definedName>
    <definedName name="ъ">#REF!</definedName>
    <definedName name="ъъъъ">#REF!</definedName>
    <definedName name="ы">#REF!</definedName>
    <definedName name="ыаааааааааааа">#REF!</definedName>
    <definedName name="ыаааыыыыыыыыыыыыыыыыыы">#REF!</definedName>
    <definedName name="ыаов">[76]hx_abc4!$A$20:$IV$20</definedName>
    <definedName name="ыаов_1">[77]hx_abc4!$20:$20</definedName>
    <definedName name="ыасяавааааааааааааааааааа">#REF!</definedName>
    <definedName name="ыв">#REF!</definedName>
    <definedName name="ывааааааа">#REF!</definedName>
    <definedName name="ывапроорпавыываппавывапрпа">#REF!</definedName>
    <definedName name="ываы">#REF!</definedName>
    <definedName name="ыввыфвфвф">#REF!</definedName>
    <definedName name="ЫВПАПАПАПАПАПАПАПАПАПАПАПАПАПАПА">#REF!</definedName>
    <definedName name="ЫВПВПЫВП">#REF!</definedName>
    <definedName name="ЫВППЫВП">#REF!</definedName>
    <definedName name="ЫПВВПВАП">#REF!</definedName>
    <definedName name="ыуааауаааааааааааааа">#REF!</definedName>
    <definedName name="ЫУВКП">#REF!</definedName>
    <definedName name="ыупаааааааааааааааа">#REF!</definedName>
    <definedName name="ыфввввввввввввввввв">#REF!</definedName>
    <definedName name="ыцвввввввввввв">#REF!</definedName>
    <definedName name="ыы">#REF!</definedName>
    <definedName name="ыыы">#REF!</definedName>
    <definedName name="ь">#REF!</definedName>
    <definedName name="ьлдщгрш7нш">#REF!</definedName>
    <definedName name="ьтьть">#REF!</definedName>
    <definedName name="ьь">#REF!</definedName>
    <definedName name="ьььь">#REF!</definedName>
    <definedName name="ььььь">#REF!</definedName>
    <definedName name="ьььььь">#REF!</definedName>
    <definedName name="ьььььььь">#REF!</definedName>
    <definedName name="ььььььььььььььььь">#REF!</definedName>
    <definedName name="ьььььььььььььььььь">#REF!</definedName>
    <definedName name="э">#REF!</definedName>
    <definedName name="эксперт">#REF!</definedName>
    <definedName name="эл">'[38]C.с '!$I$39</definedName>
    <definedName name="элт">#REF!</definedName>
    <definedName name="эртиль_крА">#REF!</definedName>
    <definedName name="эртиль_крБ">#REF!</definedName>
    <definedName name="эртиль_крВ">#REF!</definedName>
    <definedName name="эртиль_крГ">#REF!</definedName>
    <definedName name="эртиль_крД">#REF!</definedName>
    <definedName name="эртиль_крЕ">#REF!</definedName>
    <definedName name="эртиль_крЖ">#REF!</definedName>
    <definedName name="ээ">#REF!</definedName>
    <definedName name="ю">#REF!</definedName>
    <definedName name="юж">#REF!</definedName>
    <definedName name="юля">#REF!</definedName>
    <definedName name="юю">#REF!</definedName>
    <definedName name="ююююю">#REF!</definedName>
    <definedName name="я">#REF!</definedName>
    <definedName name="яччччччччч">#REF!</definedName>
    <definedName name="яя">#REF!</definedName>
    <definedName name="яяя">#REF!</definedName>
  </definedNames>
  <calcPr calcId="162913" fullPrecision="0"/>
  <customWorkbookViews>
    <customWorkbookView name="Сулима Анатолий Владимирович - Личное представление" guid="{0E27566C-5E8B-411A-84C7-F161A069C119}" mergeInterval="0" personalView="1" windowWidth="1280" windowHeight="1040" tabRatio="899" activeSheetId="2"/>
    <customWorkbookView name="Панина Ольга Ивановна - Личное представление" guid="{70C5F922-8B98-4033-AB89-E3DA26700780}" mergeInterval="0" personalView="1" maximized="1" xWindow="-8" yWindow="-8" windowWidth="1936" windowHeight="1056" tabRatio="890" activeSheetId="12"/>
    <customWorkbookView name="Римша Татьяна Михайловна - Личное представление" guid="{114FFFD1-CB48-4AB5-846E-68E811AA0B61}" mergeInterval="0" personalView="1" maximized="1" xWindow="-8" yWindow="-8" windowWidth="1936" windowHeight="1056" tabRatio="890" activeSheetId="12"/>
    <customWorkbookView name="Игнатьева Елена Валентиновна - Личное представление" guid="{6C0C8826-98FC-4A18-BF57-1D7E9CCF969C}" mergeInterval="0" personalView="1" windowWidth="960" windowHeight="1040" tabRatio="890" activeSheetId="12"/>
    <customWorkbookView name="Нестерова Жанна Борисовна - Личное представление" guid="{375CA54E-07C4-42A8-B2DF-00F021A8A0AA}" mergeInterval="0" personalView="1" xWindow="33" yWindow="11" windowWidth="1227" windowHeight="975" tabRatio="899" activeSheetId="17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5" i="98" l="1"/>
  <c r="L382" i="87"/>
  <c r="L381" i="87"/>
  <c r="P15" i="98" s="1"/>
  <c r="K376" i="87"/>
  <c r="K379" i="87"/>
  <c r="C60" i="99" l="1"/>
  <c r="P16" i="98"/>
  <c r="J361" i="87"/>
  <c r="I376" i="87" s="1"/>
  <c r="J382" i="87" s="1"/>
  <c r="P362" i="87"/>
  <c r="P358" i="87"/>
  <c r="P354" i="87"/>
  <c r="P350" i="87"/>
  <c r="K362" i="87"/>
  <c r="K358" i="87"/>
  <c r="K354" i="87"/>
  <c r="K350" i="87"/>
  <c r="G361" i="87"/>
  <c r="J357" i="87"/>
  <c r="J353" i="87"/>
  <c r="I354" i="87" s="1"/>
  <c r="J349" i="87"/>
  <c r="O350" i="87" s="1"/>
  <c r="O358" i="87" l="1"/>
  <c r="I379" i="87"/>
  <c r="J381" i="87" s="1"/>
  <c r="K373" i="87"/>
  <c r="L384" i="87" s="1"/>
  <c r="I362" i="87"/>
  <c r="L392" i="87"/>
  <c r="L385" i="87"/>
  <c r="L393" i="87" s="1"/>
  <c r="P22" i="98"/>
  <c r="H60" i="99"/>
  <c r="I358" i="87"/>
  <c r="O362" i="87"/>
  <c r="G357" i="87"/>
  <c r="K365" i="87"/>
  <c r="O354" i="87"/>
  <c r="I373" i="87" s="1"/>
  <c r="J384" i="87" s="1"/>
  <c r="G353" i="87"/>
  <c r="G349" i="87"/>
  <c r="I350" i="87"/>
  <c r="M380" i="87"/>
  <c r="J385" i="87" l="1"/>
  <c r="F60" i="99"/>
  <c r="D60" i="99"/>
  <c r="I365" i="87"/>
  <c r="U45" i="99"/>
  <c r="V45" i="99"/>
  <c r="V49" i="99"/>
  <c r="V53" i="99"/>
  <c r="U61" i="99"/>
  <c r="V61" i="99"/>
  <c r="L396" i="87" l="1"/>
  <c r="L217" i="73"/>
  <c r="J202" i="73"/>
  <c r="L51" i="73"/>
  <c r="AJ44" i="73"/>
  <c r="G68" i="99"/>
  <c r="G65" i="99"/>
  <c r="E65" i="99" s="1"/>
  <c r="U65" i="99" s="1"/>
  <c r="G64" i="99"/>
  <c r="C64" i="99" s="1"/>
  <c r="G63" i="99"/>
  <c r="G66" i="99" s="1"/>
  <c r="C63" i="99"/>
  <c r="E62" i="99"/>
  <c r="U62" i="99" s="1"/>
  <c r="C62" i="99"/>
  <c r="E60" i="99"/>
  <c r="U60" i="99" s="1"/>
  <c r="E59" i="99"/>
  <c r="U59" i="99" s="1"/>
  <c r="C59" i="99"/>
  <c r="E58" i="99"/>
  <c r="U58" i="99" s="1"/>
  <c r="C58" i="99"/>
  <c r="E57" i="99"/>
  <c r="U57" i="99" s="1"/>
  <c r="C57" i="99"/>
  <c r="E56" i="99"/>
  <c r="U56" i="99" s="1"/>
  <c r="C56" i="99"/>
  <c r="H55" i="99"/>
  <c r="F55" i="99"/>
  <c r="E55" i="99"/>
  <c r="U55" i="99" s="1"/>
  <c r="C55" i="99"/>
  <c r="H54" i="99"/>
  <c r="V54" i="99" s="1"/>
  <c r="F54" i="99"/>
  <c r="E54" i="99"/>
  <c r="U54" i="99" s="1"/>
  <c r="D54" i="99"/>
  <c r="C54" i="99"/>
  <c r="F53" i="99"/>
  <c r="E53" i="99"/>
  <c r="U53" i="99" s="1"/>
  <c r="D53" i="99"/>
  <c r="C53" i="99"/>
  <c r="E52" i="99"/>
  <c r="U52" i="99" s="1"/>
  <c r="C52" i="99"/>
  <c r="E51" i="99"/>
  <c r="U51" i="99" s="1"/>
  <c r="C51" i="99"/>
  <c r="F49" i="99"/>
  <c r="E49" i="99"/>
  <c r="U49" i="99" s="1"/>
  <c r="D49" i="99"/>
  <c r="C49" i="99"/>
  <c r="E48" i="99"/>
  <c r="U48" i="99" s="1"/>
  <c r="C48" i="99"/>
  <c r="E47" i="99"/>
  <c r="U47" i="99" s="1"/>
  <c r="C47" i="99"/>
  <c r="M39" i="99"/>
  <c r="M38" i="99"/>
  <c r="H31" i="99"/>
  <c r="O16" i="98"/>
  <c r="O22" i="98" s="1"/>
  <c r="D55" i="99" l="1"/>
  <c r="V55" i="99"/>
  <c r="E63" i="99"/>
  <c r="U63" i="99" s="1"/>
  <c r="H59" i="99"/>
  <c r="G70" i="99"/>
  <c r="E66" i="99"/>
  <c r="U66" i="99" s="1"/>
  <c r="C66" i="99"/>
  <c r="G69" i="99"/>
  <c r="E64" i="99"/>
  <c r="U64" i="99" s="1"/>
  <c r="E68" i="99"/>
  <c r="U68" i="99" s="1"/>
  <c r="C65" i="99"/>
  <c r="G67" i="99"/>
  <c r="C68" i="99"/>
  <c r="D59" i="99" l="1"/>
  <c r="F59" i="99"/>
  <c r="V59" i="99"/>
  <c r="E69" i="99"/>
  <c r="U69" i="99" s="1"/>
  <c r="C69" i="99"/>
  <c r="E70" i="99"/>
  <c r="U70" i="99" s="1"/>
  <c r="C70" i="99"/>
  <c r="E67" i="99"/>
  <c r="U67" i="99" s="1"/>
  <c r="C67" i="99"/>
  <c r="K710" i="94" l="1"/>
  <c r="L716" i="94" s="1"/>
  <c r="L727" i="94" s="1"/>
  <c r="I710" i="94"/>
  <c r="J716" i="94" s="1"/>
  <c r="D710" i="94"/>
  <c r="K709" i="94"/>
  <c r="I709" i="94"/>
  <c r="D709" i="94"/>
  <c r="K708" i="94"/>
  <c r="I708" i="94"/>
  <c r="D708" i="94"/>
  <c r="K707" i="94"/>
  <c r="L715" i="94" s="1"/>
  <c r="L726" i="94" s="1"/>
  <c r="I707" i="94"/>
  <c r="J715" i="94" s="1"/>
  <c r="D707" i="94"/>
  <c r="K706" i="94"/>
  <c r="J706" i="94"/>
  <c r="K705" i="94"/>
  <c r="J705" i="94"/>
  <c r="AF704" i="94"/>
  <c r="A704" i="94"/>
  <c r="K702" i="94"/>
  <c r="I702" i="94"/>
  <c r="D702" i="94"/>
  <c r="K701" i="94"/>
  <c r="I701" i="94"/>
  <c r="D701" i="94"/>
  <c r="K700" i="94"/>
  <c r="I700" i="94"/>
  <c r="D700" i="94"/>
  <c r="K699" i="94"/>
  <c r="J699" i="94"/>
  <c r="K698" i="94"/>
  <c r="J698" i="94"/>
  <c r="A697" i="94"/>
  <c r="K695" i="94"/>
  <c r="J695" i="94"/>
  <c r="K694" i="94"/>
  <c r="J694" i="94"/>
  <c r="K693" i="94"/>
  <c r="I693" i="94"/>
  <c r="A693" i="94"/>
  <c r="A691" i="94"/>
  <c r="K689" i="94"/>
  <c r="J689" i="94"/>
  <c r="K688" i="94"/>
  <c r="J688" i="94"/>
  <c r="K687" i="94"/>
  <c r="I687" i="94"/>
  <c r="A687" i="94"/>
  <c r="A685" i="94"/>
  <c r="K683" i="94"/>
  <c r="J683" i="94"/>
  <c r="K682" i="94"/>
  <c r="J682" i="94"/>
  <c r="A681" i="94"/>
  <c r="K679" i="94"/>
  <c r="J679" i="94"/>
  <c r="K678" i="94"/>
  <c r="J678" i="94"/>
  <c r="K677" i="94"/>
  <c r="I677" i="94"/>
  <c r="A677" i="94"/>
  <c r="A675" i="94"/>
  <c r="K673" i="94"/>
  <c r="J673" i="94"/>
  <c r="K672" i="94"/>
  <c r="J672" i="94"/>
  <c r="K671" i="94"/>
  <c r="I671" i="94"/>
  <c r="A671" i="94"/>
  <c r="A669" i="94"/>
  <c r="K667" i="94"/>
  <c r="J667" i="94"/>
  <c r="K666" i="94"/>
  <c r="J666" i="94"/>
  <c r="K665" i="94"/>
  <c r="I665" i="94"/>
  <c r="A665" i="94"/>
  <c r="C663" i="94"/>
  <c r="C661" i="94"/>
  <c r="C659" i="94"/>
  <c r="C657" i="94"/>
  <c r="A655" i="94"/>
  <c r="K653" i="94"/>
  <c r="J653" i="94"/>
  <c r="K652" i="94"/>
  <c r="J652" i="94"/>
  <c r="A651" i="94"/>
  <c r="K647" i="94"/>
  <c r="F647" i="94"/>
  <c r="K646" i="94"/>
  <c r="K645" i="94" s="1"/>
  <c r="I646" i="94"/>
  <c r="I645" i="94" s="1"/>
  <c r="G646" i="94"/>
  <c r="G645" i="94" s="1"/>
  <c r="H645" i="94"/>
  <c r="F644" i="94"/>
  <c r="E644" i="94"/>
  <c r="B644" i="94"/>
  <c r="J641" i="94"/>
  <c r="I641" i="94"/>
  <c r="H641" i="94"/>
  <c r="F641" i="94"/>
  <c r="K640" i="94"/>
  <c r="F640" i="94"/>
  <c r="K639" i="94"/>
  <c r="F639" i="94"/>
  <c r="K638" i="94"/>
  <c r="F638" i="94"/>
  <c r="V637" i="94"/>
  <c r="U637" i="94"/>
  <c r="T637" i="94"/>
  <c r="S637" i="94"/>
  <c r="R637" i="94"/>
  <c r="Q637" i="94"/>
  <c r="L637" i="94"/>
  <c r="K637" i="94"/>
  <c r="J637" i="94"/>
  <c r="I637" i="94"/>
  <c r="G637" i="94"/>
  <c r="F637" i="94"/>
  <c r="E637" i="94"/>
  <c r="C637" i="94"/>
  <c r="B637" i="94"/>
  <c r="L636" i="94"/>
  <c r="K636" i="94"/>
  <c r="J636" i="94"/>
  <c r="I636" i="94"/>
  <c r="H636" i="94"/>
  <c r="G636" i="94"/>
  <c r="K635" i="94"/>
  <c r="I635" i="94"/>
  <c r="H635" i="94"/>
  <c r="G635" i="94"/>
  <c r="K634" i="94"/>
  <c r="I634" i="94"/>
  <c r="H634" i="94"/>
  <c r="G634" i="94"/>
  <c r="L633" i="94"/>
  <c r="K633" i="94"/>
  <c r="J633" i="94"/>
  <c r="I633" i="94"/>
  <c r="H633" i="94"/>
  <c r="G633" i="94"/>
  <c r="V632" i="94"/>
  <c r="U632" i="94"/>
  <c r="T632" i="94"/>
  <c r="S632" i="94"/>
  <c r="R632" i="94"/>
  <c r="Q632" i="94"/>
  <c r="F632" i="94"/>
  <c r="E632" i="94"/>
  <c r="B632" i="94"/>
  <c r="K629" i="94"/>
  <c r="F629" i="94"/>
  <c r="K628" i="94"/>
  <c r="K627" i="94" s="1"/>
  <c r="I628" i="94"/>
  <c r="I627" i="94" s="1"/>
  <c r="G628" i="94"/>
  <c r="G627" i="94" s="1"/>
  <c r="H627" i="94"/>
  <c r="F626" i="94"/>
  <c r="E626" i="94"/>
  <c r="B626" i="94"/>
  <c r="J623" i="94"/>
  <c r="I623" i="94"/>
  <c r="H623" i="94"/>
  <c r="F623" i="94"/>
  <c r="K622" i="94"/>
  <c r="F622" i="94"/>
  <c r="K621" i="94"/>
  <c r="F621" i="94"/>
  <c r="K620" i="94"/>
  <c r="F620" i="94"/>
  <c r="V619" i="94"/>
  <c r="U619" i="94"/>
  <c r="T619" i="94"/>
  <c r="S619" i="94"/>
  <c r="R619" i="94"/>
  <c r="Q619" i="94"/>
  <c r="L619" i="94"/>
  <c r="K619" i="94"/>
  <c r="J619" i="94"/>
  <c r="I619" i="94"/>
  <c r="G619" i="94"/>
  <c r="F619" i="94"/>
  <c r="E619" i="94"/>
  <c r="C619" i="94"/>
  <c r="B619" i="94"/>
  <c r="K618" i="94"/>
  <c r="I618" i="94"/>
  <c r="H618" i="94"/>
  <c r="G618" i="94"/>
  <c r="K617" i="94"/>
  <c r="I617" i="94"/>
  <c r="H617" i="94"/>
  <c r="G617" i="94"/>
  <c r="L616" i="94"/>
  <c r="K616" i="94"/>
  <c r="J616" i="94"/>
  <c r="I616" i="94"/>
  <c r="H616" i="94"/>
  <c r="G616" i="94"/>
  <c r="V615" i="94"/>
  <c r="U615" i="94"/>
  <c r="T615" i="94"/>
  <c r="S615" i="94"/>
  <c r="R615" i="94"/>
  <c r="Q615" i="94"/>
  <c r="F615" i="94"/>
  <c r="E615" i="94"/>
  <c r="B615" i="94"/>
  <c r="A614" i="94"/>
  <c r="K612" i="94"/>
  <c r="J612" i="94"/>
  <c r="K611" i="94"/>
  <c r="J611" i="94"/>
  <c r="K610" i="94"/>
  <c r="I610" i="94"/>
  <c r="A610" i="94"/>
  <c r="C608" i="94"/>
  <c r="A606" i="94"/>
  <c r="K604" i="94"/>
  <c r="J604" i="94"/>
  <c r="K603" i="94"/>
  <c r="J603" i="94"/>
  <c r="K602" i="94"/>
  <c r="I602" i="94"/>
  <c r="A602" i="94"/>
  <c r="A600" i="94"/>
  <c r="K598" i="94"/>
  <c r="J598" i="94"/>
  <c r="K597" i="94"/>
  <c r="J597" i="94"/>
  <c r="K596" i="94"/>
  <c r="I596" i="94"/>
  <c r="A596" i="94"/>
  <c r="A594" i="94"/>
  <c r="K592" i="94"/>
  <c r="J592" i="94"/>
  <c r="K591" i="94"/>
  <c r="J591" i="94"/>
  <c r="K590" i="94"/>
  <c r="I590" i="94"/>
  <c r="A590" i="94"/>
  <c r="A588" i="94"/>
  <c r="K586" i="94"/>
  <c r="J586" i="94"/>
  <c r="K585" i="94"/>
  <c r="J585" i="94"/>
  <c r="K584" i="94"/>
  <c r="I584" i="94"/>
  <c r="A584" i="94"/>
  <c r="A582" i="94"/>
  <c r="K580" i="94"/>
  <c r="J580" i="94"/>
  <c r="K579" i="94"/>
  <c r="J579" i="94"/>
  <c r="K578" i="94"/>
  <c r="I578" i="94"/>
  <c r="A578" i="94"/>
  <c r="A576" i="94"/>
  <c r="K574" i="94"/>
  <c r="J574" i="94"/>
  <c r="K573" i="94"/>
  <c r="J573" i="94"/>
  <c r="K572" i="94"/>
  <c r="I572" i="94"/>
  <c r="A572" i="94"/>
  <c r="A570" i="94"/>
  <c r="K568" i="94"/>
  <c r="J568" i="94"/>
  <c r="K567" i="94"/>
  <c r="J567" i="94"/>
  <c r="K566" i="94"/>
  <c r="I566" i="94"/>
  <c r="A566" i="94"/>
  <c r="A564" i="94"/>
  <c r="K562" i="94"/>
  <c r="J562" i="94"/>
  <c r="K561" i="94"/>
  <c r="J561" i="94"/>
  <c r="K560" i="94"/>
  <c r="I560" i="94"/>
  <c r="A560" i="94"/>
  <c r="A558" i="94"/>
  <c r="K556" i="94"/>
  <c r="J556" i="94"/>
  <c r="K555" i="94"/>
  <c r="J555" i="94"/>
  <c r="A554" i="94"/>
  <c r="K550" i="94"/>
  <c r="F550" i="94"/>
  <c r="K549" i="94"/>
  <c r="K548" i="94" s="1"/>
  <c r="I549" i="94"/>
  <c r="I548" i="94" s="1"/>
  <c r="G549" i="94"/>
  <c r="G548" i="94" s="1"/>
  <c r="H548" i="94"/>
  <c r="F547" i="94"/>
  <c r="E547" i="94"/>
  <c r="B547" i="94"/>
  <c r="J544" i="94"/>
  <c r="I544" i="94"/>
  <c r="H544" i="94"/>
  <c r="F544" i="94"/>
  <c r="K543" i="94"/>
  <c r="F543" i="94"/>
  <c r="K542" i="94"/>
  <c r="F542" i="94"/>
  <c r="K541" i="94"/>
  <c r="F541" i="94"/>
  <c r="V540" i="94"/>
  <c r="U540" i="94"/>
  <c r="T540" i="94"/>
  <c r="S540" i="94"/>
  <c r="R540" i="94"/>
  <c r="Q540" i="94"/>
  <c r="L540" i="94"/>
  <c r="K540" i="94"/>
  <c r="J540" i="94"/>
  <c r="I540" i="94"/>
  <c r="G540" i="94"/>
  <c r="F540" i="94"/>
  <c r="E540" i="94"/>
  <c r="C540" i="94"/>
  <c r="B540" i="94"/>
  <c r="L539" i="94"/>
  <c r="K539" i="94"/>
  <c r="J539" i="94"/>
  <c r="I539" i="94"/>
  <c r="H539" i="94"/>
  <c r="G539" i="94"/>
  <c r="K538" i="94"/>
  <c r="I538" i="94"/>
  <c r="H538" i="94"/>
  <c r="G538" i="94"/>
  <c r="K537" i="94"/>
  <c r="I537" i="94"/>
  <c r="H537" i="94"/>
  <c r="G537" i="94"/>
  <c r="L536" i="94"/>
  <c r="K536" i="94"/>
  <c r="J536" i="94"/>
  <c r="I536" i="94"/>
  <c r="H536" i="94"/>
  <c r="G536" i="94"/>
  <c r="V535" i="94"/>
  <c r="U535" i="94"/>
  <c r="T535" i="94"/>
  <c r="S535" i="94"/>
  <c r="R535" i="94"/>
  <c r="Q535" i="94"/>
  <c r="F535" i="94"/>
  <c r="E535" i="94"/>
  <c r="B535" i="94"/>
  <c r="K532" i="94"/>
  <c r="F532" i="94"/>
  <c r="K531" i="94"/>
  <c r="K530" i="94" s="1"/>
  <c r="I531" i="94"/>
  <c r="I530" i="94" s="1"/>
  <c r="G531" i="94"/>
  <c r="G530" i="94" s="1"/>
  <c r="H530" i="94"/>
  <c r="F529" i="94"/>
  <c r="E529" i="94"/>
  <c r="B529" i="94"/>
  <c r="J526" i="94"/>
  <c r="I526" i="94"/>
  <c r="H526" i="94"/>
  <c r="F526" i="94"/>
  <c r="K525" i="94"/>
  <c r="F525" i="94"/>
  <c r="K524" i="94"/>
  <c r="F524" i="94"/>
  <c r="K523" i="94"/>
  <c r="F523" i="94"/>
  <c r="V522" i="94"/>
  <c r="U522" i="94"/>
  <c r="T522" i="94"/>
  <c r="S522" i="94"/>
  <c r="R522" i="94"/>
  <c r="Q522" i="94"/>
  <c r="L522" i="94"/>
  <c r="K522" i="94"/>
  <c r="J522" i="94"/>
  <c r="I522" i="94"/>
  <c r="G522" i="94"/>
  <c r="F522" i="94"/>
  <c r="E522" i="94"/>
  <c r="C522" i="94"/>
  <c r="B522" i="94"/>
  <c r="V521" i="94"/>
  <c r="U521" i="94"/>
  <c r="T521" i="94"/>
  <c r="S521" i="94"/>
  <c r="R521" i="94"/>
  <c r="Q521" i="94"/>
  <c r="L521" i="94"/>
  <c r="K521" i="94"/>
  <c r="J521" i="94"/>
  <c r="I521" i="94"/>
  <c r="G521" i="94"/>
  <c r="F521" i="94"/>
  <c r="E521" i="94"/>
  <c r="C521" i="94"/>
  <c r="B521" i="94"/>
  <c r="L520" i="94"/>
  <c r="K520" i="94"/>
  <c r="J520" i="94"/>
  <c r="I520" i="94"/>
  <c r="H520" i="94"/>
  <c r="G520" i="94"/>
  <c r="K519" i="94"/>
  <c r="I519" i="94"/>
  <c r="H519" i="94"/>
  <c r="G519" i="94"/>
  <c r="K518" i="94"/>
  <c r="I518" i="94"/>
  <c r="H518" i="94"/>
  <c r="G518" i="94"/>
  <c r="L517" i="94"/>
  <c r="K517" i="94"/>
  <c r="J517" i="94"/>
  <c r="I517" i="94"/>
  <c r="H517" i="94"/>
  <c r="G517" i="94"/>
  <c r="V516" i="94"/>
  <c r="U516" i="94"/>
  <c r="T516" i="94"/>
  <c r="S516" i="94"/>
  <c r="R516" i="94"/>
  <c r="Q516" i="94"/>
  <c r="F516" i="94"/>
  <c r="E516" i="94"/>
  <c r="B516" i="94"/>
  <c r="K513" i="94"/>
  <c r="F513" i="94"/>
  <c r="K512" i="94"/>
  <c r="K511" i="94" s="1"/>
  <c r="I512" i="94"/>
  <c r="I511" i="94" s="1"/>
  <c r="G512" i="94"/>
  <c r="G511" i="94" s="1"/>
  <c r="H511" i="94"/>
  <c r="F510" i="94"/>
  <c r="E510" i="94"/>
  <c r="B510" i="94"/>
  <c r="J507" i="94"/>
  <c r="I507" i="94"/>
  <c r="H507" i="94"/>
  <c r="F507" i="94"/>
  <c r="K506" i="94"/>
  <c r="F506" i="94"/>
  <c r="K505" i="94"/>
  <c r="F505" i="94"/>
  <c r="K504" i="94"/>
  <c r="F504" i="94"/>
  <c r="V503" i="94"/>
  <c r="U503" i="94"/>
  <c r="T503" i="94"/>
  <c r="S503" i="94"/>
  <c r="R503" i="94"/>
  <c r="Q503" i="94"/>
  <c r="L503" i="94"/>
  <c r="K503" i="94"/>
  <c r="J503" i="94"/>
  <c r="I503" i="94"/>
  <c r="G503" i="94"/>
  <c r="F503" i="94"/>
  <c r="E503" i="94"/>
  <c r="C503" i="94"/>
  <c r="B503" i="94"/>
  <c r="K502" i="94"/>
  <c r="I502" i="94"/>
  <c r="H502" i="94"/>
  <c r="G502" i="94"/>
  <c r="K501" i="94"/>
  <c r="I501" i="94"/>
  <c r="H501" i="94"/>
  <c r="G501" i="94"/>
  <c r="L500" i="94"/>
  <c r="K500" i="94"/>
  <c r="J500" i="94"/>
  <c r="I500" i="94"/>
  <c r="H500" i="94"/>
  <c r="G500" i="94"/>
  <c r="V499" i="94"/>
  <c r="U499" i="94"/>
  <c r="T499" i="94"/>
  <c r="S499" i="94"/>
  <c r="R499" i="94"/>
  <c r="Q499" i="94"/>
  <c r="F499" i="94"/>
  <c r="E499" i="94"/>
  <c r="B499" i="94"/>
  <c r="K496" i="94"/>
  <c r="F496" i="94"/>
  <c r="K495" i="94"/>
  <c r="K494" i="94" s="1"/>
  <c r="I495" i="94"/>
  <c r="I494" i="94" s="1"/>
  <c r="G495" i="94"/>
  <c r="G494" i="94" s="1"/>
  <c r="H494" i="94"/>
  <c r="F493" i="94"/>
  <c r="E493" i="94"/>
  <c r="B493" i="94"/>
  <c r="J490" i="94"/>
  <c r="I490" i="94"/>
  <c r="H490" i="94"/>
  <c r="F490" i="94"/>
  <c r="K489" i="94"/>
  <c r="F489" i="94"/>
  <c r="K488" i="94"/>
  <c r="F488" i="94"/>
  <c r="K487" i="94"/>
  <c r="F487" i="94"/>
  <c r="V486" i="94"/>
  <c r="U486" i="94"/>
  <c r="T486" i="94"/>
  <c r="S486" i="94"/>
  <c r="R486" i="94"/>
  <c r="Q486" i="94"/>
  <c r="L486" i="94"/>
  <c r="K486" i="94"/>
  <c r="J486" i="94"/>
  <c r="I486" i="94"/>
  <c r="G486" i="94"/>
  <c r="F486" i="94"/>
  <c r="E486" i="94"/>
  <c r="C486" i="94"/>
  <c r="B486" i="94"/>
  <c r="L485" i="94"/>
  <c r="K485" i="94"/>
  <c r="J485" i="94"/>
  <c r="I485" i="94"/>
  <c r="H485" i="94"/>
  <c r="G485" i="94"/>
  <c r="K484" i="94"/>
  <c r="I484" i="94"/>
  <c r="H484" i="94"/>
  <c r="G484" i="94"/>
  <c r="K483" i="94"/>
  <c r="I483" i="94"/>
  <c r="H483" i="94"/>
  <c r="G483" i="94"/>
  <c r="L482" i="94"/>
  <c r="K482" i="94"/>
  <c r="J482" i="94"/>
  <c r="I482" i="94"/>
  <c r="H482" i="94"/>
  <c r="G482" i="94"/>
  <c r="V481" i="94"/>
  <c r="U481" i="94"/>
  <c r="T481" i="94"/>
  <c r="S481" i="94"/>
  <c r="R481" i="94"/>
  <c r="L487" i="94" s="1"/>
  <c r="Q481" i="94"/>
  <c r="F481" i="94"/>
  <c r="E481" i="94"/>
  <c r="B481" i="94"/>
  <c r="K478" i="94"/>
  <c r="F478" i="94"/>
  <c r="K477" i="94"/>
  <c r="K476" i="94" s="1"/>
  <c r="I477" i="94"/>
  <c r="I476" i="94" s="1"/>
  <c r="G477" i="94"/>
  <c r="G476" i="94" s="1"/>
  <c r="H476" i="94"/>
  <c r="F475" i="94"/>
  <c r="E475" i="94"/>
  <c r="B475" i="94"/>
  <c r="J472" i="94"/>
  <c r="I472" i="94"/>
  <c r="H472" i="94"/>
  <c r="F472" i="94"/>
  <c r="K471" i="94"/>
  <c r="F471" i="94"/>
  <c r="K470" i="94"/>
  <c r="F470" i="94"/>
  <c r="K469" i="94"/>
  <c r="F469" i="94"/>
  <c r="V468" i="94"/>
  <c r="U468" i="94"/>
  <c r="T468" i="94"/>
  <c r="S468" i="94"/>
  <c r="R468" i="94"/>
  <c r="Q468" i="94"/>
  <c r="L468" i="94"/>
  <c r="K468" i="94"/>
  <c r="J468" i="94"/>
  <c r="I468" i="94"/>
  <c r="G468" i="94"/>
  <c r="F468" i="94"/>
  <c r="E468" i="94"/>
  <c r="C468" i="94"/>
  <c r="B468" i="94"/>
  <c r="L467" i="94"/>
  <c r="K467" i="94"/>
  <c r="J467" i="94"/>
  <c r="I467" i="94"/>
  <c r="H467" i="94"/>
  <c r="G467" i="94"/>
  <c r="K466" i="94"/>
  <c r="I466" i="94"/>
  <c r="H466" i="94"/>
  <c r="G466" i="94"/>
  <c r="K465" i="94"/>
  <c r="I465" i="94"/>
  <c r="H465" i="94"/>
  <c r="G465" i="94"/>
  <c r="L464" i="94"/>
  <c r="K464" i="94"/>
  <c r="J464" i="94"/>
  <c r="I464" i="94"/>
  <c r="H464" i="94"/>
  <c r="G464" i="94"/>
  <c r="V463" i="94"/>
  <c r="U463" i="94"/>
  <c r="T463" i="94"/>
  <c r="S463" i="94"/>
  <c r="R463" i="94"/>
  <c r="Q463" i="94"/>
  <c r="J469" i="94" s="1"/>
  <c r="F463" i="94"/>
  <c r="E463" i="94"/>
  <c r="B463" i="94"/>
  <c r="K460" i="94"/>
  <c r="F460" i="94"/>
  <c r="K459" i="94"/>
  <c r="K458" i="94" s="1"/>
  <c r="I459" i="94"/>
  <c r="I458" i="94" s="1"/>
  <c r="G459" i="94"/>
  <c r="G458" i="94" s="1"/>
  <c r="H458" i="94"/>
  <c r="F457" i="94"/>
  <c r="E457" i="94"/>
  <c r="B457" i="94"/>
  <c r="J454" i="94"/>
  <c r="I454" i="94"/>
  <c r="H454" i="94"/>
  <c r="F454" i="94"/>
  <c r="K453" i="94"/>
  <c r="F453" i="94"/>
  <c r="K452" i="94"/>
  <c r="F452" i="94"/>
  <c r="K451" i="94"/>
  <c r="F451" i="94"/>
  <c r="V450" i="94"/>
  <c r="U450" i="94"/>
  <c r="T450" i="94"/>
  <c r="S450" i="94"/>
  <c r="R450" i="94"/>
  <c r="Q450" i="94"/>
  <c r="L450" i="94"/>
  <c r="K450" i="94"/>
  <c r="J450" i="94"/>
  <c r="I450" i="94"/>
  <c r="G450" i="94"/>
  <c r="F450" i="94"/>
  <c r="E450" i="94"/>
  <c r="C450" i="94"/>
  <c r="B450" i="94"/>
  <c r="L449" i="94"/>
  <c r="K449" i="94"/>
  <c r="J449" i="94"/>
  <c r="I449" i="94"/>
  <c r="H449" i="94"/>
  <c r="G449" i="94"/>
  <c r="K448" i="94"/>
  <c r="I448" i="94"/>
  <c r="H448" i="94"/>
  <c r="G448" i="94"/>
  <c r="K447" i="94"/>
  <c r="I447" i="94"/>
  <c r="H447" i="94"/>
  <c r="G447" i="94"/>
  <c r="L446" i="94"/>
  <c r="K446" i="94"/>
  <c r="J446" i="94"/>
  <c r="I446" i="94"/>
  <c r="H446" i="94"/>
  <c r="G446" i="94"/>
  <c r="V445" i="94"/>
  <c r="U445" i="94"/>
  <c r="T445" i="94"/>
  <c r="S445" i="94"/>
  <c r="R445" i="94"/>
  <c r="Q445" i="94"/>
  <c r="F445" i="94"/>
  <c r="E445" i="94"/>
  <c r="B445" i="94"/>
  <c r="A444" i="94"/>
  <c r="K442" i="94"/>
  <c r="J442" i="94"/>
  <c r="K441" i="94"/>
  <c r="J441" i="94"/>
  <c r="K440" i="94"/>
  <c r="I440" i="94"/>
  <c r="A440" i="94"/>
  <c r="A438" i="94"/>
  <c r="K436" i="94"/>
  <c r="J436" i="94"/>
  <c r="K435" i="94"/>
  <c r="J435" i="94"/>
  <c r="K434" i="94"/>
  <c r="I434" i="94"/>
  <c r="A434" i="94"/>
  <c r="A432" i="94"/>
  <c r="K430" i="94"/>
  <c r="J430" i="94"/>
  <c r="K429" i="94"/>
  <c r="J429" i="94"/>
  <c r="A428" i="94"/>
  <c r="K424" i="94"/>
  <c r="F424" i="94"/>
  <c r="K423" i="94"/>
  <c r="K422" i="94" s="1"/>
  <c r="I423" i="94"/>
  <c r="I422" i="94" s="1"/>
  <c r="G423" i="94"/>
  <c r="G422" i="94" s="1"/>
  <c r="H422" i="94"/>
  <c r="F421" i="94"/>
  <c r="E421" i="94"/>
  <c r="B421" i="94"/>
  <c r="J418" i="94"/>
  <c r="I418" i="94"/>
  <c r="H418" i="94"/>
  <c r="F418" i="94"/>
  <c r="K417" i="94"/>
  <c r="F417" i="94"/>
  <c r="K416" i="94"/>
  <c r="F416" i="94"/>
  <c r="K415" i="94"/>
  <c r="F415" i="94"/>
  <c r="V414" i="94"/>
  <c r="U414" i="94"/>
  <c r="T414" i="94"/>
  <c r="S414" i="94"/>
  <c r="R414" i="94"/>
  <c r="Q414" i="94"/>
  <c r="L414" i="94"/>
  <c r="K414" i="94"/>
  <c r="J414" i="94"/>
  <c r="I414" i="94"/>
  <c r="G414" i="94"/>
  <c r="F414" i="94"/>
  <c r="E414" i="94"/>
  <c r="C414" i="94"/>
  <c r="B414" i="94"/>
  <c r="V413" i="94"/>
  <c r="U413" i="94"/>
  <c r="T413" i="94"/>
  <c r="S413" i="94"/>
  <c r="R413" i="94"/>
  <c r="Q413" i="94"/>
  <c r="L413" i="94"/>
  <c r="K413" i="94"/>
  <c r="J413" i="94"/>
  <c r="I413" i="94"/>
  <c r="G413" i="94"/>
  <c r="F413" i="94"/>
  <c r="E413" i="94"/>
  <c r="C413" i="94"/>
  <c r="B413" i="94"/>
  <c r="V412" i="94"/>
  <c r="U412" i="94"/>
  <c r="T412" i="94"/>
  <c r="S412" i="94"/>
  <c r="R412" i="94"/>
  <c r="Q412" i="94"/>
  <c r="L412" i="94"/>
  <c r="K412" i="94"/>
  <c r="J412" i="94"/>
  <c r="I412" i="94"/>
  <c r="G412" i="94"/>
  <c r="F412" i="94"/>
  <c r="E412" i="94"/>
  <c r="C412" i="94"/>
  <c r="B412" i="94"/>
  <c r="L411" i="94"/>
  <c r="K411" i="94"/>
  <c r="J411" i="94"/>
  <c r="I411" i="94"/>
  <c r="H411" i="94"/>
  <c r="G411" i="94"/>
  <c r="K410" i="94"/>
  <c r="I410" i="94"/>
  <c r="H410" i="94"/>
  <c r="G410" i="94"/>
  <c r="K409" i="94"/>
  <c r="I409" i="94"/>
  <c r="H409" i="94"/>
  <c r="G409" i="94"/>
  <c r="L408" i="94"/>
  <c r="K408" i="94"/>
  <c r="J408" i="94"/>
  <c r="I408" i="94"/>
  <c r="H408" i="94"/>
  <c r="G408" i="94"/>
  <c r="V407" i="94"/>
  <c r="U407" i="94"/>
  <c r="T407" i="94"/>
  <c r="S407" i="94"/>
  <c r="R407" i="94"/>
  <c r="Q407" i="94"/>
  <c r="F407" i="94"/>
  <c r="E407" i="94"/>
  <c r="B407" i="94"/>
  <c r="K404" i="94"/>
  <c r="F404" i="94"/>
  <c r="K403" i="94"/>
  <c r="K402" i="94" s="1"/>
  <c r="I403" i="94"/>
  <c r="I402" i="94" s="1"/>
  <c r="G403" i="94"/>
  <c r="G402" i="94" s="1"/>
  <c r="H402" i="94"/>
  <c r="F401" i="94"/>
  <c r="E401" i="94"/>
  <c r="B401" i="94"/>
  <c r="J398" i="94"/>
  <c r="I398" i="94"/>
  <c r="H398" i="94"/>
  <c r="F398" i="94"/>
  <c r="K397" i="94"/>
  <c r="F397" i="94"/>
  <c r="K396" i="94"/>
  <c r="F396" i="94"/>
  <c r="K395" i="94"/>
  <c r="F395" i="94"/>
  <c r="V394" i="94"/>
  <c r="U394" i="94"/>
  <c r="T394" i="94"/>
  <c r="S394" i="94"/>
  <c r="R394" i="94"/>
  <c r="Q394" i="94"/>
  <c r="L394" i="94"/>
  <c r="K394" i="94"/>
  <c r="J394" i="94"/>
  <c r="I394" i="94"/>
  <c r="G394" i="94"/>
  <c r="F394" i="94"/>
  <c r="E394" i="94"/>
  <c r="C394" i="94"/>
  <c r="B394" i="94"/>
  <c r="K393" i="94"/>
  <c r="I393" i="94"/>
  <c r="H393" i="94"/>
  <c r="G393" i="94"/>
  <c r="K392" i="94"/>
  <c r="I392" i="94"/>
  <c r="H392" i="94"/>
  <c r="G392" i="94"/>
  <c r="L391" i="94"/>
  <c r="K391" i="94"/>
  <c r="J391" i="94"/>
  <c r="I391" i="94"/>
  <c r="H391" i="94"/>
  <c r="G391" i="94"/>
  <c r="V390" i="94"/>
  <c r="U390" i="94"/>
  <c r="T390" i="94"/>
  <c r="S390" i="94"/>
  <c r="R390" i="94"/>
  <c r="Q390" i="94"/>
  <c r="F390" i="94"/>
  <c r="E390" i="94"/>
  <c r="B390" i="94"/>
  <c r="K387" i="94"/>
  <c r="F387" i="94"/>
  <c r="K386" i="94"/>
  <c r="K385" i="94" s="1"/>
  <c r="I386" i="94"/>
  <c r="I385" i="94" s="1"/>
  <c r="G386" i="94"/>
  <c r="G385" i="94" s="1"/>
  <c r="H385" i="94"/>
  <c r="F384" i="94"/>
  <c r="E384" i="94"/>
  <c r="B384" i="94"/>
  <c r="J381" i="94"/>
  <c r="I381" i="94"/>
  <c r="H381" i="94"/>
  <c r="F381" i="94"/>
  <c r="K380" i="94"/>
  <c r="F380" i="94"/>
  <c r="K379" i="94"/>
  <c r="F379" i="94"/>
  <c r="K378" i="94"/>
  <c r="F378" i="94"/>
  <c r="V377" i="94"/>
  <c r="U377" i="94"/>
  <c r="T377" i="94"/>
  <c r="S377" i="94"/>
  <c r="R377" i="94"/>
  <c r="Q377" i="94"/>
  <c r="L377" i="94"/>
  <c r="K377" i="94"/>
  <c r="J377" i="94"/>
  <c r="I377" i="94"/>
  <c r="G377" i="94"/>
  <c r="F377" i="94"/>
  <c r="E377" i="94"/>
  <c r="C377" i="94"/>
  <c r="B377" i="94"/>
  <c r="L376" i="94"/>
  <c r="K376" i="94"/>
  <c r="J376" i="94"/>
  <c r="I376" i="94"/>
  <c r="H376" i="94"/>
  <c r="G376" i="94"/>
  <c r="K375" i="94"/>
  <c r="I375" i="94"/>
  <c r="H375" i="94"/>
  <c r="G375" i="94"/>
  <c r="K374" i="94"/>
  <c r="I374" i="94"/>
  <c r="H374" i="94"/>
  <c r="G374" i="94"/>
  <c r="L373" i="94"/>
  <c r="K373" i="94"/>
  <c r="J373" i="94"/>
  <c r="I373" i="94"/>
  <c r="H373" i="94"/>
  <c r="G373" i="94"/>
  <c r="V372" i="94"/>
  <c r="U372" i="94"/>
  <c r="T372" i="94"/>
  <c r="S372" i="94"/>
  <c r="R372" i="94"/>
  <c r="Q372" i="94"/>
  <c r="F372" i="94"/>
  <c r="E372" i="94"/>
  <c r="B372" i="94"/>
  <c r="K369" i="94"/>
  <c r="F369" i="94"/>
  <c r="K368" i="94"/>
  <c r="K367" i="94" s="1"/>
  <c r="I368" i="94"/>
  <c r="I367" i="94" s="1"/>
  <c r="G368" i="94"/>
  <c r="G367" i="94" s="1"/>
  <c r="H367" i="94"/>
  <c r="F366" i="94"/>
  <c r="E366" i="94"/>
  <c r="B366" i="94"/>
  <c r="J363" i="94"/>
  <c r="I363" i="94"/>
  <c r="H363" i="94"/>
  <c r="F363" i="94"/>
  <c r="K362" i="94"/>
  <c r="F362" i="94"/>
  <c r="K361" i="94"/>
  <c r="F361" i="94"/>
  <c r="K360" i="94"/>
  <c r="F360" i="94"/>
  <c r="V359" i="94"/>
  <c r="U359" i="94"/>
  <c r="T359" i="94"/>
  <c r="S359" i="94"/>
  <c r="R359" i="94"/>
  <c r="Q359" i="94"/>
  <c r="L359" i="94"/>
  <c r="K359" i="94"/>
  <c r="J359" i="94"/>
  <c r="I359" i="94"/>
  <c r="G359" i="94"/>
  <c r="F359" i="94"/>
  <c r="E359" i="94"/>
  <c r="C359" i="94"/>
  <c r="B359" i="94"/>
  <c r="L358" i="94"/>
  <c r="K358" i="94"/>
  <c r="J358" i="94"/>
  <c r="I358" i="94"/>
  <c r="H358" i="94"/>
  <c r="G358" i="94"/>
  <c r="K357" i="94"/>
  <c r="I357" i="94"/>
  <c r="H357" i="94"/>
  <c r="G357" i="94"/>
  <c r="K356" i="94"/>
  <c r="I356" i="94"/>
  <c r="H356" i="94"/>
  <c r="G356" i="94"/>
  <c r="L355" i="94"/>
  <c r="K355" i="94"/>
  <c r="J355" i="94"/>
  <c r="I355" i="94"/>
  <c r="H355" i="94"/>
  <c r="G355" i="94"/>
  <c r="V354" i="94"/>
  <c r="U354" i="94"/>
  <c r="T354" i="94"/>
  <c r="S354" i="94"/>
  <c r="R354" i="94"/>
  <c r="Q354" i="94"/>
  <c r="F354" i="94"/>
  <c r="E354" i="94"/>
  <c r="B354" i="94"/>
  <c r="K351" i="94"/>
  <c r="F351" i="94"/>
  <c r="K350" i="94"/>
  <c r="K349" i="94" s="1"/>
  <c r="I350" i="94"/>
  <c r="I349" i="94" s="1"/>
  <c r="G350" i="94"/>
  <c r="G349" i="94" s="1"/>
  <c r="H349" i="94"/>
  <c r="F348" i="94"/>
  <c r="E348" i="94"/>
  <c r="B348" i="94"/>
  <c r="J345" i="94"/>
  <c r="I345" i="94"/>
  <c r="H345" i="94"/>
  <c r="F345" i="94"/>
  <c r="K344" i="94"/>
  <c r="F344" i="94"/>
  <c r="K343" i="94"/>
  <c r="F343" i="94"/>
  <c r="K342" i="94"/>
  <c r="F342" i="94"/>
  <c r="V341" i="94"/>
  <c r="U341" i="94"/>
  <c r="T341" i="94"/>
  <c r="S341" i="94"/>
  <c r="R341" i="94"/>
  <c r="Q341" i="94"/>
  <c r="L341" i="94"/>
  <c r="K341" i="94"/>
  <c r="J341" i="94"/>
  <c r="I341" i="94"/>
  <c r="G341" i="94"/>
  <c r="F341" i="94"/>
  <c r="E341" i="94"/>
  <c r="C341" i="94"/>
  <c r="B341" i="94"/>
  <c r="L340" i="94"/>
  <c r="K340" i="94"/>
  <c r="J340" i="94"/>
  <c r="I340" i="94"/>
  <c r="H340" i="94"/>
  <c r="G340" i="94"/>
  <c r="K339" i="94"/>
  <c r="I339" i="94"/>
  <c r="H339" i="94"/>
  <c r="G339" i="94"/>
  <c r="K338" i="94"/>
  <c r="I338" i="94"/>
  <c r="H338" i="94"/>
  <c r="G338" i="94"/>
  <c r="L337" i="94"/>
  <c r="K337" i="94"/>
  <c r="J337" i="94"/>
  <c r="I337" i="94"/>
  <c r="H337" i="94"/>
  <c r="G337" i="94"/>
  <c r="V336" i="94"/>
  <c r="U336" i="94"/>
  <c r="T336" i="94"/>
  <c r="S336" i="94"/>
  <c r="R336" i="94"/>
  <c r="Q336" i="94"/>
  <c r="F336" i="94"/>
  <c r="E336" i="94"/>
  <c r="B336" i="94"/>
  <c r="A335" i="94"/>
  <c r="K333" i="94"/>
  <c r="J333" i="94"/>
  <c r="K332" i="94"/>
  <c r="J332" i="94"/>
  <c r="K331" i="94"/>
  <c r="I331" i="94"/>
  <c r="A331" i="94"/>
  <c r="A329" i="94"/>
  <c r="K327" i="94"/>
  <c r="J327" i="94"/>
  <c r="K326" i="94"/>
  <c r="J326" i="94"/>
  <c r="K325" i="94"/>
  <c r="I325" i="94"/>
  <c r="A325" i="94"/>
  <c r="A323" i="94"/>
  <c r="K321" i="94"/>
  <c r="J321" i="94"/>
  <c r="K320" i="94"/>
  <c r="J320" i="94"/>
  <c r="K319" i="94"/>
  <c r="I319" i="94"/>
  <c r="A319" i="94"/>
  <c r="A317" i="94"/>
  <c r="K315" i="94"/>
  <c r="J315" i="94"/>
  <c r="K314" i="94"/>
  <c r="J314" i="94"/>
  <c r="A313" i="94"/>
  <c r="K309" i="94"/>
  <c r="F309" i="94"/>
  <c r="K308" i="94"/>
  <c r="K307" i="94" s="1"/>
  <c r="I308" i="94"/>
  <c r="I307" i="94" s="1"/>
  <c r="G308" i="94"/>
  <c r="G307" i="94" s="1"/>
  <c r="H307" i="94"/>
  <c r="F306" i="94"/>
  <c r="E306" i="94"/>
  <c r="B306" i="94"/>
  <c r="J303" i="94"/>
  <c r="I303" i="94"/>
  <c r="H303" i="94"/>
  <c r="F303" i="94"/>
  <c r="K302" i="94"/>
  <c r="F302" i="94"/>
  <c r="K301" i="94"/>
  <c r="F301" i="94"/>
  <c r="K300" i="94"/>
  <c r="F300" i="94"/>
  <c r="V299" i="94"/>
  <c r="U299" i="94"/>
  <c r="T299" i="94"/>
  <c r="S299" i="94"/>
  <c r="R299" i="94"/>
  <c r="Q299" i="94"/>
  <c r="L299" i="94"/>
  <c r="K299" i="94"/>
  <c r="J299" i="94"/>
  <c r="I299" i="94"/>
  <c r="G299" i="94"/>
  <c r="F299" i="94"/>
  <c r="E299" i="94"/>
  <c r="C299" i="94"/>
  <c r="B299" i="94"/>
  <c r="V298" i="94"/>
  <c r="U298" i="94"/>
  <c r="T298" i="94"/>
  <c r="S298" i="94"/>
  <c r="R298" i="94"/>
  <c r="Q298" i="94"/>
  <c r="L298" i="94"/>
  <c r="K298" i="94"/>
  <c r="J298" i="94"/>
  <c r="I298" i="94"/>
  <c r="G298" i="94"/>
  <c r="F298" i="94"/>
  <c r="E298" i="94"/>
  <c r="C298" i="94"/>
  <c r="B298" i="94"/>
  <c r="V297" i="94"/>
  <c r="U297" i="94"/>
  <c r="T297" i="94"/>
  <c r="S297" i="94"/>
  <c r="R297" i="94"/>
  <c r="Q297" i="94"/>
  <c r="L297" i="94"/>
  <c r="K297" i="94"/>
  <c r="J297" i="94"/>
  <c r="I297" i="94"/>
  <c r="G297" i="94"/>
  <c r="F297" i="94"/>
  <c r="E297" i="94"/>
  <c r="C297" i="94"/>
  <c r="B297" i="94"/>
  <c r="L296" i="94"/>
  <c r="K296" i="94"/>
  <c r="J296" i="94"/>
  <c r="I296" i="94"/>
  <c r="H296" i="94"/>
  <c r="G296" i="94"/>
  <c r="K295" i="94"/>
  <c r="I295" i="94"/>
  <c r="H295" i="94"/>
  <c r="G295" i="94"/>
  <c r="K294" i="94"/>
  <c r="I294" i="94"/>
  <c r="H294" i="94"/>
  <c r="G294" i="94"/>
  <c r="L293" i="94"/>
  <c r="K293" i="94"/>
  <c r="J293" i="94"/>
  <c r="I293" i="94"/>
  <c r="H293" i="94"/>
  <c r="G293" i="94"/>
  <c r="V292" i="94"/>
  <c r="U292" i="94"/>
  <c r="T292" i="94"/>
  <c r="S292" i="94"/>
  <c r="R292" i="94"/>
  <c r="Q292" i="94"/>
  <c r="F292" i="94"/>
  <c r="E292" i="94"/>
  <c r="B292" i="94"/>
  <c r="K289" i="94"/>
  <c r="F289" i="94"/>
  <c r="K288" i="94"/>
  <c r="K287" i="94" s="1"/>
  <c r="I288" i="94"/>
  <c r="I287" i="94" s="1"/>
  <c r="G288" i="94"/>
  <c r="G287" i="94" s="1"/>
  <c r="H287" i="94"/>
  <c r="F286" i="94"/>
  <c r="E286" i="94"/>
  <c r="B286" i="94"/>
  <c r="J283" i="94"/>
  <c r="I283" i="94"/>
  <c r="H283" i="94"/>
  <c r="F283" i="94"/>
  <c r="K282" i="94"/>
  <c r="F282" i="94"/>
  <c r="K281" i="94"/>
  <c r="F281" i="94"/>
  <c r="K280" i="94"/>
  <c r="F280" i="94"/>
  <c r="V279" i="94"/>
  <c r="U279" i="94"/>
  <c r="T279" i="94"/>
  <c r="S279" i="94"/>
  <c r="R279" i="94"/>
  <c r="Q279" i="94"/>
  <c r="L279" i="94"/>
  <c r="K279" i="94"/>
  <c r="J279" i="94"/>
  <c r="I279" i="94"/>
  <c r="G279" i="94"/>
  <c r="F279" i="94"/>
  <c r="E279" i="94"/>
  <c r="C279" i="94"/>
  <c r="B279" i="94"/>
  <c r="K278" i="94"/>
  <c r="I278" i="94"/>
  <c r="H278" i="94"/>
  <c r="G278" i="94"/>
  <c r="K277" i="94"/>
  <c r="I277" i="94"/>
  <c r="H277" i="94"/>
  <c r="G277" i="94"/>
  <c r="L276" i="94"/>
  <c r="K276" i="94"/>
  <c r="J276" i="94"/>
  <c r="I276" i="94"/>
  <c r="H276" i="94"/>
  <c r="G276" i="94"/>
  <c r="V275" i="94"/>
  <c r="U275" i="94"/>
  <c r="T275" i="94"/>
  <c r="S275" i="94"/>
  <c r="R275" i="94"/>
  <c r="Q275" i="94"/>
  <c r="F275" i="94"/>
  <c r="E275" i="94"/>
  <c r="B275" i="94"/>
  <c r="K272" i="94"/>
  <c r="F272" i="94"/>
  <c r="K271" i="94"/>
  <c r="K270" i="94" s="1"/>
  <c r="I271" i="94"/>
  <c r="I270" i="94" s="1"/>
  <c r="G271" i="94"/>
  <c r="G270" i="94" s="1"/>
  <c r="H270" i="94"/>
  <c r="F269" i="94"/>
  <c r="E269" i="94"/>
  <c r="B269" i="94"/>
  <c r="J266" i="94"/>
  <c r="I266" i="94"/>
  <c r="H266" i="94"/>
  <c r="F266" i="94"/>
  <c r="K265" i="94"/>
  <c r="F265" i="94"/>
  <c r="K264" i="94"/>
  <c r="F264" i="94"/>
  <c r="K263" i="94"/>
  <c r="F263" i="94"/>
  <c r="V262" i="94"/>
  <c r="U262" i="94"/>
  <c r="T262" i="94"/>
  <c r="S262" i="94"/>
  <c r="R262" i="94"/>
  <c r="Q262" i="94"/>
  <c r="L262" i="94"/>
  <c r="K262" i="94"/>
  <c r="J262" i="94"/>
  <c r="I262" i="94"/>
  <c r="G262" i="94"/>
  <c r="F262" i="94"/>
  <c r="E262" i="94"/>
  <c r="C262" i="94"/>
  <c r="B262" i="94"/>
  <c r="L261" i="94"/>
  <c r="K261" i="94"/>
  <c r="J261" i="94"/>
  <c r="I261" i="94"/>
  <c r="H261" i="94"/>
  <c r="G261" i="94"/>
  <c r="K260" i="94"/>
  <c r="I260" i="94"/>
  <c r="H260" i="94"/>
  <c r="G260" i="94"/>
  <c r="K259" i="94"/>
  <c r="I259" i="94"/>
  <c r="H259" i="94"/>
  <c r="G259" i="94"/>
  <c r="L258" i="94"/>
  <c r="K258" i="94"/>
  <c r="J258" i="94"/>
  <c r="I258" i="94"/>
  <c r="H258" i="94"/>
  <c r="G258" i="94"/>
  <c r="V257" i="94"/>
  <c r="U257" i="94"/>
  <c r="T257" i="94"/>
  <c r="S257" i="94"/>
  <c r="R257" i="94"/>
  <c r="Q257" i="94"/>
  <c r="F257" i="94"/>
  <c r="E257" i="94"/>
  <c r="B257" i="94"/>
  <c r="K254" i="94"/>
  <c r="F254" i="94"/>
  <c r="K253" i="94"/>
  <c r="K252" i="94" s="1"/>
  <c r="I253" i="94"/>
  <c r="I252" i="94" s="1"/>
  <c r="G253" i="94"/>
  <c r="G252" i="94" s="1"/>
  <c r="H252" i="94"/>
  <c r="F251" i="94"/>
  <c r="E251" i="94"/>
  <c r="B251" i="94"/>
  <c r="J248" i="94"/>
  <c r="I248" i="94"/>
  <c r="H248" i="94"/>
  <c r="F248" i="94"/>
  <c r="K247" i="94"/>
  <c r="F247" i="94"/>
  <c r="K246" i="94"/>
  <c r="F246" i="94"/>
  <c r="K245" i="94"/>
  <c r="F245" i="94"/>
  <c r="V244" i="94"/>
  <c r="U244" i="94"/>
  <c r="T244" i="94"/>
  <c r="S244" i="94"/>
  <c r="R244" i="94"/>
  <c r="Q244" i="94"/>
  <c r="L244" i="94"/>
  <c r="K244" i="94"/>
  <c r="J244" i="94"/>
  <c r="I244" i="94"/>
  <c r="G244" i="94"/>
  <c r="F244" i="94"/>
  <c r="E244" i="94"/>
  <c r="C244" i="94"/>
  <c r="B244" i="94"/>
  <c r="L243" i="94"/>
  <c r="K243" i="94"/>
  <c r="J243" i="94"/>
  <c r="I243" i="94"/>
  <c r="H243" i="94"/>
  <c r="G243" i="94"/>
  <c r="K242" i="94"/>
  <c r="I242" i="94"/>
  <c r="H242" i="94"/>
  <c r="G242" i="94"/>
  <c r="K241" i="94"/>
  <c r="I241" i="94"/>
  <c r="H241" i="94"/>
  <c r="G241" i="94"/>
  <c r="L240" i="94"/>
  <c r="K240" i="94"/>
  <c r="J240" i="94"/>
  <c r="I240" i="94"/>
  <c r="H240" i="94"/>
  <c r="G240" i="94"/>
  <c r="V239" i="94"/>
  <c r="U239" i="94"/>
  <c r="T239" i="94"/>
  <c r="L246" i="94" s="1"/>
  <c r="S239" i="94"/>
  <c r="R239" i="94"/>
  <c r="Q239" i="94"/>
  <c r="F239" i="94"/>
  <c r="E239" i="94"/>
  <c r="B239" i="94"/>
  <c r="K236" i="94"/>
  <c r="F236" i="94"/>
  <c r="K235" i="94"/>
  <c r="K234" i="94" s="1"/>
  <c r="I235" i="94"/>
  <c r="I234" i="94" s="1"/>
  <c r="G235" i="94"/>
  <c r="H234" i="94"/>
  <c r="F233" i="94"/>
  <c r="E233" i="94"/>
  <c r="B233" i="94"/>
  <c r="J230" i="94"/>
  <c r="I230" i="94"/>
  <c r="H230" i="94"/>
  <c r="F230" i="94"/>
  <c r="K229" i="94"/>
  <c r="F229" i="94"/>
  <c r="K228" i="94"/>
  <c r="F228" i="94"/>
  <c r="K227" i="94"/>
  <c r="F227" i="94"/>
  <c r="V226" i="94"/>
  <c r="U226" i="94"/>
  <c r="T226" i="94"/>
  <c r="S226" i="94"/>
  <c r="R226" i="94"/>
  <c r="Q226" i="94"/>
  <c r="L226" i="94"/>
  <c r="K226" i="94"/>
  <c r="J226" i="94"/>
  <c r="I226" i="94"/>
  <c r="G226" i="94"/>
  <c r="F226" i="94"/>
  <c r="E226" i="94"/>
  <c r="C226" i="94"/>
  <c r="B226" i="94"/>
  <c r="L225" i="94"/>
  <c r="K225" i="94"/>
  <c r="J225" i="94"/>
  <c r="I225" i="94"/>
  <c r="H225" i="94"/>
  <c r="G225" i="94"/>
  <c r="K224" i="94"/>
  <c r="I224" i="94"/>
  <c r="H224" i="94"/>
  <c r="G224" i="94"/>
  <c r="K223" i="94"/>
  <c r="I223" i="94"/>
  <c r="H223" i="94"/>
  <c r="G223" i="94"/>
  <c r="L222" i="94"/>
  <c r="K222" i="94"/>
  <c r="J222" i="94"/>
  <c r="I222" i="94"/>
  <c r="H222" i="94"/>
  <c r="G222" i="94"/>
  <c r="V221" i="94"/>
  <c r="U221" i="94"/>
  <c r="T221" i="94"/>
  <c r="S221" i="94"/>
  <c r="R221" i="94"/>
  <c r="Q221" i="94"/>
  <c r="J227" i="94" s="1"/>
  <c r="F221" i="94"/>
  <c r="E221" i="94"/>
  <c r="B221" i="94"/>
  <c r="K218" i="94"/>
  <c r="F218" i="94"/>
  <c r="K217" i="94"/>
  <c r="K216" i="94" s="1"/>
  <c r="I217" i="94"/>
  <c r="I216" i="94" s="1"/>
  <c r="G217" i="94"/>
  <c r="G216" i="94" s="1"/>
  <c r="H216" i="94"/>
  <c r="F215" i="94"/>
  <c r="E215" i="94"/>
  <c r="B215" i="94"/>
  <c r="J212" i="94"/>
  <c r="I212" i="94"/>
  <c r="H212" i="94"/>
  <c r="F212" i="94"/>
  <c r="K211" i="94"/>
  <c r="F211" i="94"/>
  <c r="K210" i="94"/>
  <c r="F210" i="94"/>
  <c r="K209" i="94"/>
  <c r="F209" i="94"/>
  <c r="V208" i="94"/>
  <c r="U208" i="94"/>
  <c r="T208" i="94"/>
  <c r="S208" i="94"/>
  <c r="R208" i="94"/>
  <c r="Q208" i="94"/>
  <c r="L208" i="94"/>
  <c r="K208" i="94"/>
  <c r="J208" i="94"/>
  <c r="I208" i="94"/>
  <c r="G208" i="94"/>
  <c r="F208" i="94"/>
  <c r="E208" i="94"/>
  <c r="C208" i="94"/>
  <c r="B208" i="94"/>
  <c r="L207" i="94"/>
  <c r="K207" i="94"/>
  <c r="J207" i="94"/>
  <c r="I207" i="94"/>
  <c r="H207" i="94"/>
  <c r="G207" i="94"/>
  <c r="K206" i="94"/>
  <c r="I206" i="94"/>
  <c r="H206" i="94"/>
  <c r="G206" i="94"/>
  <c r="K205" i="94"/>
  <c r="I205" i="94"/>
  <c r="H205" i="94"/>
  <c r="G205" i="94"/>
  <c r="L204" i="94"/>
  <c r="K204" i="94"/>
  <c r="J204" i="94"/>
  <c r="I204" i="94"/>
  <c r="H204" i="94"/>
  <c r="G204" i="94"/>
  <c r="V203" i="94"/>
  <c r="U203" i="94"/>
  <c r="T203" i="94"/>
  <c r="S203" i="94"/>
  <c r="R203" i="94"/>
  <c r="Q203" i="94"/>
  <c r="F203" i="94"/>
  <c r="E203" i="94"/>
  <c r="B203" i="94"/>
  <c r="K200" i="94"/>
  <c r="F200" i="94"/>
  <c r="K199" i="94"/>
  <c r="K198" i="94" s="1"/>
  <c r="I199" i="94"/>
  <c r="I198" i="94" s="1"/>
  <c r="G199" i="94"/>
  <c r="G198" i="94" s="1"/>
  <c r="H198" i="94"/>
  <c r="F197" i="94"/>
  <c r="E197" i="94"/>
  <c r="B197" i="94"/>
  <c r="J194" i="94"/>
  <c r="I194" i="94"/>
  <c r="H194" i="94"/>
  <c r="F194" i="94"/>
  <c r="K193" i="94"/>
  <c r="F193" i="94"/>
  <c r="K192" i="94"/>
  <c r="F192" i="94"/>
  <c r="K191" i="94"/>
  <c r="F191" i="94"/>
  <c r="V190" i="94"/>
  <c r="U190" i="94"/>
  <c r="T190" i="94"/>
  <c r="S190" i="94"/>
  <c r="R190" i="94"/>
  <c r="Q190" i="94"/>
  <c r="L190" i="94"/>
  <c r="K190" i="94"/>
  <c r="J190" i="94"/>
  <c r="I190" i="94"/>
  <c r="G190" i="94"/>
  <c r="F190" i="94"/>
  <c r="E190" i="94"/>
  <c r="C190" i="94"/>
  <c r="B190" i="94"/>
  <c r="L189" i="94"/>
  <c r="K189" i="94"/>
  <c r="J189" i="94"/>
  <c r="I189" i="94"/>
  <c r="H189" i="94"/>
  <c r="G189" i="94"/>
  <c r="K188" i="94"/>
  <c r="I188" i="94"/>
  <c r="H188" i="94"/>
  <c r="G188" i="94"/>
  <c r="K187" i="94"/>
  <c r="I187" i="94"/>
  <c r="H187" i="94"/>
  <c r="G187" i="94"/>
  <c r="L186" i="94"/>
  <c r="K186" i="94"/>
  <c r="J186" i="94"/>
  <c r="I186" i="94"/>
  <c r="H186" i="94"/>
  <c r="G186" i="94"/>
  <c r="V185" i="94"/>
  <c r="U185" i="94"/>
  <c r="T185" i="94"/>
  <c r="S185" i="94"/>
  <c r="R185" i="94"/>
  <c r="Q185" i="94"/>
  <c r="J191" i="94" s="1"/>
  <c r="F185" i="94"/>
  <c r="E185" i="94"/>
  <c r="B185" i="94"/>
  <c r="A184" i="94"/>
  <c r="K182" i="94"/>
  <c r="J182" i="94"/>
  <c r="K181" i="94"/>
  <c r="J181" i="94"/>
  <c r="A180" i="94"/>
  <c r="K176" i="94"/>
  <c r="F176" i="94"/>
  <c r="K175" i="94"/>
  <c r="K174" i="94" s="1"/>
  <c r="I175" i="94"/>
  <c r="I174" i="94" s="1"/>
  <c r="G175" i="94"/>
  <c r="G174" i="94" s="1"/>
  <c r="H174" i="94"/>
  <c r="F173" i="94"/>
  <c r="E173" i="94"/>
  <c r="B173" i="94"/>
  <c r="J170" i="94"/>
  <c r="I170" i="94"/>
  <c r="H170" i="94"/>
  <c r="F170" i="94"/>
  <c r="K169" i="94"/>
  <c r="F169" i="94"/>
  <c r="K168" i="94"/>
  <c r="F168" i="94"/>
  <c r="K167" i="94"/>
  <c r="F167" i="94"/>
  <c r="V166" i="94"/>
  <c r="U166" i="94"/>
  <c r="T166" i="94"/>
  <c r="S166" i="94"/>
  <c r="R166" i="94"/>
  <c r="Q166" i="94"/>
  <c r="L166" i="94"/>
  <c r="K166" i="94"/>
  <c r="J166" i="94"/>
  <c r="I166" i="94"/>
  <c r="G166" i="94"/>
  <c r="F166" i="94"/>
  <c r="E166" i="94"/>
  <c r="C166" i="94"/>
  <c r="B166" i="94"/>
  <c r="V165" i="94"/>
  <c r="U165" i="94"/>
  <c r="T165" i="94"/>
  <c r="S165" i="94"/>
  <c r="R165" i="94"/>
  <c r="Q165" i="94"/>
  <c r="L165" i="94"/>
  <c r="K165" i="94"/>
  <c r="J165" i="94"/>
  <c r="I165" i="94"/>
  <c r="G165" i="94"/>
  <c r="F165" i="94"/>
  <c r="E165" i="94"/>
  <c r="C165" i="94"/>
  <c r="B165" i="94"/>
  <c r="V164" i="94"/>
  <c r="U164" i="94"/>
  <c r="T164" i="94"/>
  <c r="S164" i="94"/>
  <c r="R164" i="94"/>
  <c r="Q164" i="94"/>
  <c r="L164" i="94"/>
  <c r="K164" i="94"/>
  <c r="J164" i="94"/>
  <c r="I164" i="94"/>
  <c r="G164" i="94"/>
  <c r="F164" i="94"/>
  <c r="E164" i="94"/>
  <c r="C164" i="94"/>
  <c r="B164" i="94"/>
  <c r="L163" i="94"/>
  <c r="K163" i="94"/>
  <c r="J163" i="94"/>
  <c r="I163" i="94"/>
  <c r="H163" i="94"/>
  <c r="G163" i="94"/>
  <c r="K162" i="94"/>
  <c r="I162" i="94"/>
  <c r="H162" i="94"/>
  <c r="G162" i="94"/>
  <c r="K161" i="94"/>
  <c r="I161" i="94"/>
  <c r="H161" i="94"/>
  <c r="G161" i="94"/>
  <c r="L160" i="94"/>
  <c r="K160" i="94"/>
  <c r="J160" i="94"/>
  <c r="I160" i="94"/>
  <c r="H160" i="94"/>
  <c r="G160" i="94"/>
  <c r="V159" i="94"/>
  <c r="U159" i="94"/>
  <c r="T159" i="94"/>
  <c r="S159" i="94"/>
  <c r="R159" i="94"/>
  <c r="Q159" i="94"/>
  <c r="F159" i="94"/>
  <c r="E159" i="94"/>
  <c r="B159" i="94"/>
  <c r="K156" i="94"/>
  <c r="F156" i="94"/>
  <c r="K155" i="94"/>
  <c r="K154" i="94" s="1"/>
  <c r="I155" i="94"/>
  <c r="I154" i="94" s="1"/>
  <c r="G155" i="94"/>
  <c r="G154" i="94" s="1"/>
  <c r="H154" i="94"/>
  <c r="F153" i="94"/>
  <c r="E153" i="94"/>
  <c r="B153" i="94"/>
  <c r="J150" i="94"/>
  <c r="I150" i="94"/>
  <c r="H150" i="94"/>
  <c r="F150" i="94"/>
  <c r="K149" i="94"/>
  <c r="F149" i="94"/>
  <c r="K148" i="94"/>
  <c r="F148" i="94"/>
  <c r="K147" i="94"/>
  <c r="F147" i="94"/>
  <c r="V146" i="94"/>
  <c r="U146" i="94"/>
  <c r="T146" i="94"/>
  <c r="S146" i="94"/>
  <c r="R146" i="94"/>
  <c r="Q146" i="94"/>
  <c r="L146" i="94"/>
  <c r="K146" i="94"/>
  <c r="J146" i="94"/>
  <c r="I146" i="94"/>
  <c r="G146" i="94"/>
  <c r="F146" i="94"/>
  <c r="E146" i="94"/>
  <c r="C146" i="94"/>
  <c r="B146" i="94"/>
  <c r="K145" i="94"/>
  <c r="I145" i="94"/>
  <c r="H145" i="94"/>
  <c r="G145" i="94"/>
  <c r="K144" i="94"/>
  <c r="I144" i="94"/>
  <c r="H144" i="94"/>
  <c r="G144" i="94"/>
  <c r="L143" i="94"/>
  <c r="K143" i="94"/>
  <c r="J143" i="94"/>
  <c r="I143" i="94"/>
  <c r="H143" i="94"/>
  <c r="G143" i="94"/>
  <c r="V142" i="94"/>
  <c r="U142" i="94"/>
  <c r="T142" i="94"/>
  <c r="S142" i="94"/>
  <c r="R142" i="94"/>
  <c r="Q142" i="94"/>
  <c r="F142" i="94"/>
  <c r="E142" i="94"/>
  <c r="B142" i="94"/>
  <c r="K139" i="94"/>
  <c r="F139" i="94"/>
  <c r="K138" i="94"/>
  <c r="K137" i="94" s="1"/>
  <c r="I138" i="94"/>
  <c r="I137" i="94" s="1"/>
  <c r="G138" i="94"/>
  <c r="G137" i="94" s="1"/>
  <c r="H137" i="94"/>
  <c r="F136" i="94"/>
  <c r="E136" i="94"/>
  <c r="B136" i="94"/>
  <c r="J133" i="94"/>
  <c r="I133" i="94"/>
  <c r="H133" i="94"/>
  <c r="F133" i="94"/>
  <c r="K132" i="94"/>
  <c r="F132" i="94"/>
  <c r="K131" i="94"/>
  <c r="F131" i="94"/>
  <c r="K130" i="94"/>
  <c r="F130" i="94"/>
  <c r="V129" i="94"/>
  <c r="U129" i="94"/>
  <c r="T129" i="94"/>
  <c r="S129" i="94"/>
  <c r="R129" i="94"/>
  <c r="Q129" i="94"/>
  <c r="L129" i="94"/>
  <c r="K129" i="94"/>
  <c r="J129" i="94"/>
  <c r="I129" i="94"/>
  <c r="G129" i="94"/>
  <c r="F129" i="94"/>
  <c r="E129" i="94"/>
  <c r="C129" i="94"/>
  <c r="B129" i="94"/>
  <c r="L128" i="94"/>
  <c r="K128" i="94"/>
  <c r="J128" i="94"/>
  <c r="I128" i="94"/>
  <c r="H128" i="94"/>
  <c r="G128" i="94"/>
  <c r="K127" i="94"/>
  <c r="I127" i="94"/>
  <c r="H127" i="94"/>
  <c r="G127" i="94"/>
  <c r="K126" i="94"/>
  <c r="I126" i="94"/>
  <c r="H126" i="94"/>
  <c r="G126" i="94"/>
  <c r="L125" i="94"/>
  <c r="K125" i="94"/>
  <c r="J125" i="94"/>
  <c r="I125" i="94"/>
  <c r="H125" i="94"/>
  <c r="G125" i="94"/>
  <c r="V124" i="94"/>
  <c r="U124" i="94"/>
  <c r="T124" i="94"/>
  <c r="S124" i="94"/>
  <c r="R124" i="94"/>
  <c r="Q124" i="94"/>
  <c r="J130" i="94" s="1"/>
  <c r="F124" i="94"/>
  <c r="E124" i="94"/>
  <c r="B124" i="94"/>
  <c r="K121" i="94"/>
  <c r="F121" i="94"/>
  <c r="K120" i="94"/>
  <c r="K119" i="94" s="1"/>
  <c r="I120" i="94"/>
  <c r="I119" i="94" s="1"/>
  <c r="G120" i="94"/>
  <c r="G119" i="94" s="1"/>
  <c r="H119" i="94"/>
  <c r="F118" i="94"/>
  <c r="E118" i="94"/>
  <c r="B118" i="94"/>
  <c r="J115" i="94"/>
  <c r="I115" i="94"/>
  <c r="H115" i="94"/>
  <c r="F115" i="94"/>
  <c r="K114" i="94"/>
  <c r="F114" i="94"/>
  <c r="K113" i="94"/>
  <c r="F113" i="94"/>
  <c r="K112" i="94"/>
  <c r="F112" i="94"/>
  <c r="V111" i="94"/>
  <c r="U111" i="94"/>
  <c r="T111" i="94"/>
  <c r="S111" i="94"/>
  <c r="R111" i="94"/>
  <c r="Q111" i="94"/>
  <c r="L111" i="94"/>
  <c r="K111" i="94"/>
  <c r="J111" i="94"/>
  <c r="I111" i="94"/>
  <c r="G111" i="94"/>
  <c r="F111" i="94"/>
  <c r="E111" i="94"/>
  <c r="C111" i="94"/>
  <c r="B111" i="94"/>
  <c r="L110" i="94"/>
  <c r="K110" i="94"/>
  <c r="J110" i="94"/>
  <c r="I110" i="94"/>
  <c r="H110" i="94"/>
  <c r="G110" i="94"/>
  <c r="K109" i="94"/>
  <c r="I109" i="94"/>
  <c r="H109" i="94"/>
  <c r="G109" i="94"/>
  <c r="K108" i="94"/>
  <c r="I108" i="94"/>
  <c r="H108" i="94"/>
  <c r="G108" i="94"/>
  <c r="L107" i="94"/>
  <c r="K107" i="94"/>
  <c r="J107" i="94"/>
  <c r="I107" i="94"/>
  <c r="H107" i="94"/>
  <c r="G107" i="94"/>
  <c r="V106" i="94"/>
  <c r="U106" i="94"/>
  <c r="T106" i="94"/>
  <c r="L113" i="94" s="1"/>
  <c r="S106" i="94"/>
  <c r="R106" i="94"/>
  <c r="Q106" i="94"/>
  <c r="F106" i="94"/>
  <c r="E106" i="94"/>
  <c r="B106" i="94"/>
  <c r="K103" i="94"/>
  <c r="F103" i="94"/>
  <c r="K102" i="94"/>
  <c r="I102" i="94"/>
  <c r="I101" i="94" s="1"/>
  <c r="G102" i="94"/>
  <c r="G101" i="94" s="1"/>
  <c r="K101" i="94"/>
  <c r="H101" i="94"/>
  <c r="F100" i="94"/>
  <c r="E100" i="94"/>
  <c r="B100" i="94"/>
  <c r="J97" i="94"/>
  <c r="I97" i="94"/>
  <c r="H97" i="94"/>
  <c r="F97" i="94"/>
  <c r="K96" i="94"/>
  <c r="F96" i="94"/>
  <c r="K95" i="94"/>
  <c r="F95" i="94"/>
  <c r="K94" i="94"/>
  <c r="F94" i="94"/>
  <c r="V93" i="94"/>
  <c r="U93" i="94"/>
  <c r="T93" i="94"/>
  <c r="S93" i="94"/>
  <c r="R93" i="94"/>
  <c r="Q93" i="94"/>
  <c r="L93" i="94"/>
  <c r="K93" i="94"/>
  <c r="J93" i="94"/>
  <c r="I93" i="94"/>
  <c r="G93" i="94"/>
  <c r="F93" i="94"/>
  <c r="E93" i="94"/>
  <c r="C93" i="94"/>
  <c r="B93" i="94"/>
  <c r="L92" i="94"/>
  <c r="K92" i="94"/>
  <c r="J92" i="94"/>
  <c r="I92" i="94"/>
  <c r="H92" i="94"/>
  <c r="G92" i="94"/>
  <c r="K91" i="94"/>
  <c r="I91" i="94"/>
  <c r="H91" i="94"/>
  <c r="G91" i="94"/>
  <c r="K90" i="94"/>
  <c r="I90" i="94"/>
  <c r="H90" i="94"/>
  <c r="G90" i="94"/>
  <c r="L89" i="94"/>
  <c r="K89" i="94"/>
  <c r="J89" i="94"/>
  <c r="I89" i="94"/>
  <c r="H89" i="94"/>
  <c r="G89" i="94"/>
  <c r="V88" i="94"/>
  <c r="U88" i="94"/>
  <c r="T88" i="94"/>
  <c r="S88" i="94"/>
  <c r="R88" i="94"/>
  <c r="Q88" i="94"/>
  <c r="F88" i="94"/>
  <c r="E88" i="94"/>
  <c r="B88" i="94"/>
  <c r="K85" i="94"/>
  <c r="F85" i="94"/>
  <c r="K84" i="94"/>
  <c r="K83" i="94" s="1"/>
  <c r="I84" i="94"/>
  <c r="I83" i="94" s="1"/>
  <c r="G84" i="94"/>
  <c r="G83" i="94" s="1"/>
  <c r="H83" i="94"/>
  <c r="F82" i="94"/>
  <c r="E82" i="94"/>
  <c r="B82" i="94"/>
  <c r="J79" i="94"/>
  <c r="I79" i="94"/>
  <c r="H79" i="94"/>
  <c r="F79" i="94"/>
  <c r="K78" i="94"/>
  <c r="F78" i="94"/>
  <c r="K77" i="94"/>
  <c r="F77" i="94"/>
  <c r="K76" i="94"/>
  <c r="F76" i="94"/>
  <c r="V75" i="94"/>
  <c r="U75" i="94"/>
  <c r="T75" i="94"/>
  <c r="S75" i="94"/>
  <c r="R75" i="94"/>
  <c r="Q75" i="94"/>
  <c r="L75" i="94"/>
  <c r="K75" i="94"/>
  <c r="J75" i="94"/>
  <c r="I75" i="94"/>
  <c r="G75" i="94"/>
  <c r="F75" i="94"/>
  <c r="E75" i="94"/>
  <c r="C75" i="94"/>
  <c r="B75" i="94"/>
  <c r="L74" i="94"/>
  <c r="K74" i="94"/>
  <c r="J74" i="94"/>
  <c r="I74" i="94"/>
  <c r="H74" i="94"/>
  <c r="G74" i="94"/>
  <c r="K73" i="94"/>
  <c r="I73" i="94"/>
  <c r="H73" i="94"/>
  <c r="G73" i="94"/>
  <c r="K72" i="94"/>
  <c r="I72" i="94"/>
  <c r="H72" i="94"/>
  <c r="G72" i="94"/>
  <c r="L71" i="94"/>
  <c r="K71" i="94"/>
  <c r="J71" i="94"/>
  <c r="I71" i="94"/>
  <c r="H71" i="94"/>
  <c r="G71" i="94"/>
  <c r="V70" i="94"/>
  <c r="U70" i="94"/>
  <c r="T70" i="94"/>
  <c r="S70" i="94"/>
  <c r="R70" i="94"/>
  <c r="Q70" i="94"/>
  <c r="F70" i="94"/>
  <c r="E70" i="94"/>
  <c r="B70" i="94"/>
  <c r="K67" i="94"/>
  <c r="F67" i="94"/>
  <c r="K66" i="94"/>
  <c r="K65" i="94" s="1"/>
  <c r="I66" i="94"/>
  <c r="I65" i="94" s="1"/>
  <c r="G66" i="94"/>
  <c r="G65" i="94" s="1"/>
  <c r="H65" i="94"/>
  <c r="F64" i="94"/>
  <c r="E64" i="94"/>
  <c r="B64" i="94"/>
  <c r="J61" i="94"/>
  <c r="I61" i="94"/>
  <c r="H61" i="94"/>
  <c r="F61" i="94"/>
  <c r="K60" i="94"/>
  <c r="F60" i="94"/>
  <c r="K59" i="94"/>
  <c r="F59" i="94"/>
  <c r="K58" i="94"/>
  <c r="F58" i="94"/>
  <c r="V57" i="94"/>
  <c r="U57" i="94"/>
  <c r="T57" i="94"/>
  <c r="S57" i="94"/>
  <c r="R57" i="94"/>
  <c r="Q57" i="94"/>
  <c r="L57" i="94"/>
  <c r="K57" i="94"/>
  <c r="J57" i="94"/>
  <c r="I57" i="94"/>
  <c r="G57" i="94"/>
  <c r="F57" i="94"/>
  <c r="E57" i="94"/>
  <c r="C57" i="94"/>
  <c r="B57" i="94"/>
  <c r="L56" i="94"/>
  <c r="K56" i="94"/>
  <c r="J56" i="94"/>
  <c r="I56" i="94"/>
  <c r="H56" i="94"/>
  <c r="G56" i="94"/>
  <c r="K55" i="94"/>
  <c r="I55" i="94"/>
  <c r="H55" i="94"/>
  <c r="G55" i="94"/>
  <c r="K54" i="94"/>
  <c r="I54" i="94"/>
  <c r="H54" i="94"/>
  <c r="G54" i="94"/>
  <c r="L53" i="94"/>
  <c r="K53" i="94"/>
  <c r="J53" i="94"/>
  <c r="I53" i="94"/>
  <c r="H53" i="94"/>
  <c r="G53" i="94"/>
  <c r="V52" i="94"/>
  <c r="U52" i="94"/>
  <c r="T52" i="94"/>
  <c r="S52" i="94"/>
  <c r="R52" i="94"/>
  <c r="Q52" i="94"/>
  <c r="F52" i="94"/>
  <c r="E52" i="94"/>
  <c r="B52" i="94"/>
  <c r="A51" i="94"/>
  <c r="K49" i="94"/>
  <c r="J49" i="94"/>
  <c r="K48" i="94"/>
  <c r="J48" i="94"/>
  <c r="K47" i="94"/>
  <c r="I47" i="94"/>
  <c r="A47" i="94"/>
  <c r="A45" i="94"/>
  <c r="A43" i="94"/>
  <c r="H28" i="94"/>
  <c r="J22" i="94"/>
  <c r="J58" i="94" l="1"/>
  <c r="J148" i="94"/>
  <c r="J228" i="94"/>
  <c r="J620" i="94"/>
  <c r="L84" i="94"/>
  <c r="L59" i="94"/>
  <c r="J76" i="94"/>
  <c r="L95" i="94"/>
  <c r="L342" i="94"/>
  <c r="J451" i="94"/>
  <c r="J505" i="94"/>
  <c r="L77" i="94"/>
  <c r="J343" i="94"/>
  <c r="J531" i="94"/>
  <c r="J532" i="94" s="1"/>
  <c r="L361" i="94"/>
  <c r="L524" i="94"/>
  <c r="J628" i="94"/>
  <c r="J618" i="94" s="1"/>
  <c r="J112" i="94"/>
  <c r="J395" i="94"/>
  <c r="L714" i="94"/>
  <c r="L730" i="94" s="1"/>
  <c r="L733" i="94" s="1"/>
  <c r="L66" i="94"/>
  <c r="L148" i="94"/>
  <c r="L646" i="94"/>
  <c r="L635" i="94" s="1"/>
  <c r="L199" i="94"/>
  <c r="L200" i="94" s="1"/>
  <c r="L193" i="94" s="1"/>
  <c r="J209" i="94"/>
  <c r="L264" i="94"/>
  <c r="J342" i="94"/>
  <c r="L360" i="94"/>
  <c r="L415" i="94"/>
  <c r="J638" i="94"/>
  <c r="J210" i="94"/>
  <c r="J477" i="94"/>
  <c r="J466" i="94" s="1"/>
  <c r="J495" i="94"/>
  <c r="J496" i="94" s="1"/>
  <c r="L102" i="94"/>
  <c r="L101" i="94" s="1"/>
  <c r="L90" i="94" s="1"/>
  <c r="J147" i="94"/>
  <c r="J621" i="94"/>
  <c r="L147" i="94"/>
  <c r="J280" i="94"/>
  <c r="L621" i="94"/>
  <c r="L76" i="94"/>
  <c r="J131" i="94"/>
  <c r="J542" i="94"/>
  <c r="J95" i="94"/>
  <c r="J113" i="94"/>
  <c r="L131" i="94"/>
  <c r="J245" i="94"/>
  <c r="L263" i="94"/>
  <c r="L300" i="94"/>
  <c r="J378" i="94"/>
  <c r="J452" i="94"/>
  <c r="L470" i="94"/>
  <c r="L488" i="94"/>
  <c r="L639" i="94"/>
  <c r="L58" i="94"/>
  <c r="J217" i="94"/>
  <c r="J206" i="94" s="1"/>
  <c r="L281" i="94"/>
  <c r="L395" i="94"/>
  <c r="J66" i="94"/>
  <c r="J67" i="94" s="1"/>
  <c r="L191" i="94"/>
  <c r="L209" i="94"/>
  <c r="L227" i="94"/>
  <c r="L343" i="94"/>
  <c r="L378" i="94"/>
  <c r="L396" i="94"/>
  <c r="J416" i="94"/>
  <c r="L451" i="94"/>
  <c r="L469" i="94"/>
  <c r="J487" i="94"/>
  <c r="L210" i="94"/>
  <c r="L228" i="94"/>
  <c r="L416" i="94"/>
  <c r="J488" i="94"/>
  <c r="J504" i="94"/>
  <c r="J396" i="94"/>
  <c r="L477" i="94"/>
  <c r="L466" i="94" s="1"/>
  <c r="J646" i="94"/>
  <c r="J645" i="94" s="1"/>
  <c r="J634" i="94" s="1"/>
  <c r="L495" i="94"/>
  <c r="L494" i="94" s="1"/>
  <c r="L483" i="94" s="1"/>
  <c r="L175" i="94"/>
  <c r="L174" i="94" s="1"/>
  <c r="L161" i="94" s="1"/>
  <c r="L235" i="94"/>
  <c r="L234" i="94" s="1"/>
  <c r="L223" i="94" s="1"/>
  <c r="L245" i="94"/>
  <c r="L280" i="94"/>
  <c r="J300" i="94"/>
  <c r="L403" i="94"/>
  <c r="L393" i="94" s="1"/>
  <c r="J403" i="94"/>
  <c r="J393" i="94" s="1"/>
  <c r="L504" i="94"/>
  <c r="J524" i="94"/>
  <c r="L542" i="94"/>
  <c r="L620" i="94"/>
  <c r="L638" i="94"/>
  <c r="J59" i="94"/>
  <c r="J77" i="94"/>
  <c r="J94" i="94"/>
  <c r="L94" i="94"/>
  <c r="J102" i="94"/>
  <c r="J103" i="94" s="1"/>
  <c r="J96" i="94" s="1"/>
  <c r="L112" i="94"/>
  <c r="L138" i="94"/>
  <c r="L139" i="94" s="1"/>
  <c r="L155" i="94"/>
  <c r="L156" i="94" s="1"/>
  <c r="J155" i="94"/>
  <c r="J156" i="94" s="1"/>
  <c r="J175" i="94"/>
  <c r="J176" i="94" s="1"/>
  <c r="J169" i="94" s="1"/>
  <c r="J192" i="94"/>
  <c r="L217" i="94"/>
  <c r="L218" i="94" s="1"/>
  <c r="J235" i="94"/>
  <c r="J236" i="94" s="1"/>
  <c r="J246" i="94"/>
  <c r="J264" i="94"/>
  <c r="L288" i="94"/>
  <c r="L289" i="94" s="1"/>
  <c r="J281" i="94"/>
  <c r="J301" i="94"/>
  <c r="J350" i="94"/>
  <c r="J339" i="94" s="1"/>
  <c r="J361" i="94"/>
  <c r="L386" i="94"/>
  <c r="L385" i="94" s="1"/>
  <c r="L374" i="94" s="1"/>
  <c r="L379" i="94"/>
  <c r="L423" i="94"/>
  <c r="L422" i="94" s="1"/>
  <c r="L409" i="94" s="1"/>
  <c r="J423" i="94"/>
  <c r="J424" i="94" s="1"/>
  <c r="I425" i="94" s="1"/>
  <c r="O425" i="94" s="1"/>
  <c r="J470" i="94"/>
  <c r="J523" i="94"/>
  <c r="L541" i="94"/>
  <c r="L628" i="94"/>
  <c r="L629" i="94" s="1"/>
  <c r="J639" i="94"/>
  <c r="J84" i="94"/>
  <c r="J85" i="94" s="1"/>
  <c r="L130" i="94"/>
  <c r="J138" i="94"/>
  <c r="J139" i="94" s="1"/>
  <c r="J132" i="94" s="1"/>
  <c r="J168" i="94"/>
  <c r="L168" i="94"/>
  <c r="L167" i="94"/>
  <c r="J199" i="94"/>
  <c r="J188" i="94" s="1"/>
  <c r="J263" i="94"/>
  <c r="L301" i="94"/>
  <c r="J415" i="94"/>
  <c r="L523" i="94"/>
  <c r="I104" i="94"/>
  <c r="O104" i="94" s="1"/>
  <c r="L236" i="94"/>
  <c r="L224" i="94"/>
  <c r="J167" i="94"/>
  <c r="L192" i="94"/>
  <c r="L83" i="94"/>
  <c r="L72" i="94" s="1"/>
  <c r="L73" i="94"/>
  <c r="J216" i="94"/>
  <c r="J205" i="94" s="1"/>
  <c r="L55" i="94"/>
  <c r="L67" i="94"/>
  <c r="L65" i="94"/>
  <c r="L54" i="94" s="1"/>
  <c r="J73" i="94"/>
  <c r="L176" i="94"/>
  <c r="L85" i="94"/>
  <c r="J101" i="94"/>
  <c r="J90" i="94" s="1"/>
  <c r="J91" i="94"/>
  <c r="J120" i="94"/>
  <c r="L120" i="94"/>
  <c r="L271" i="94"/>
  <c r="J271" i="94"/>
  <c r="L308" i="94"/>
  <c r="J379" i="94"/>
  <c r="L402" i="94"/>
  <c r="L392" i="94" s="1"/>
  <c r="J519" i="94"/>
  <c r="G234" i="94"/>
  <c r="L368" i="94"/>
  <c r="J368" i="94"/>
  <c r="L424" i="94"/>
  <c r="J494" i="94"/>
  <c r="J483" i="94" s="1"/>
  <c r="L253" i="94"/>
  <c r="J253" i="94"/>
  <c r="J360" i="94"/>
  <c r="J288" i="94"/>
  <c r="J308" i="94"/>
  <c r="L350" i="94"/>
  <c r="J386" i="94"/>
  <c r="J459" i="94"/>
  <c r="L452" i="94"/>
  <c r="L459" i="94"/>
  <c r="L512" i="94"/>
  <c r="L549" i="94"/>
  <c r="J549" i="94"/>
  <c r="J714" i="94"/>
  <c r="J721" i="94" s="1"/>
  <c r="J512" i="94"/>
  <c r="L505" i="94"/>
  <c r="J541" i="94"/>
  <c r="L647" i="94"/>
  <c r="L531" i="94"/>
  <c r="J234" i="94" l="1"/>
  <c r="J223" i="94" s="1"/>
  <c r="J224" i="94"/>
  <c r="K201" i="94"/>
  <c r="P201" i="94" s="1"/>
  <c r="L188" i="94"/>
  <c r="L162" i="94"/>
  <c r="L127" i="94"/>
  <c r="L645" i="94"/>
  <c r="L634" i="94" s="1"/>
  <c r="J530" i="94"/>
  <c r="J518" i="94" s="1"/>
  <c r="J83" i="94"/>
  <c r="J72" i="94" s="1"/>
  <c r="J349" i="94"/>
  <c r="J338" i="94" s="1"/>
  <c r="J404" i="94"/>
  <c r="I405" i="94" s="1"/>
  <c r="O405" i="94" s="1"/>
  <c r="L137" i="94"/>
  <c r="L126" i="94" s="1"/>
  <c r="L410" i="94"/>
  <c r="J476" i="94"/>
  <c r="J465" i="94" s="1"/>
  <c r="J402" i="94"/>
  <c r="J392" i="94" s="1"/>
  <c r="L198" i="94"/>
  <c r="L187" i="94" s="1"/>
  <c r="L375" i="94"/>
  <c r="L387" i="94"/>
  <c r="L380" i="94" s="1"/>
  <c r="P382" i="94" s="1"/>
  <c r="L103" i="94"/>
  <c r="L96" i="94" s="1"/>
  <c r="P98" i="94" s="1"/>
  <c r="L721" i="94"/>
  <c r="J218" i="94"/>
  <c r="J211" i="94" s="1"/>
  <c r="I213" i="94" s="1"/>
  <c r="L91" i="94"/>
  <c r="J478" i="94"/>
  <c r="I479" i="94" s="1"/>
  <c r="O479" i="94" s="1"/>
  <c r="J145" i="94"/>
  <c r="J154" i="94"/>
  <c r="J144" i="94" s="1"/>
  <c r="J627" i="94"/>
  <c r="J617" i="94" s="1"/>
  <c r="J484" i="94"/>
  <c r="I177" i="94"/>
  <c r="O177" i="94" s="1"/>
  <c r="L404" i="94"/>
  <c r="L397" i="94" s="1"/>
  <c r="K399" i="94" s="1"/>
  <c r="J629" i="94"/>
  <c r="I630" i="94" s="1"/>
  <c r="O630" i="94" s="1"/>
  <c r="L476" i="94"/>
  <c r="L465" i="94" s="1"/>
  <c r="J174" i="94"/>
  <c r="J161" i="94" s="1"/>
  <c r="O171" i="94" s="1"/>
  <c r="I140" i="94"/>
  <c r="O140" i="94" s="1"/>
  <c r="J55" i="94"/>
  <c r="L478" i="94"/>
  <c r="L471" i="94" s="1"/>
  <c r="K473" i="94" s="1"/>
  <c r="L278" i="94"/>
  <c r="J65" i="94"/>
  <c r="J54" i="94" s="1"/>
  <c r="J162" i="94"/>
  <c r="O98" i="94"/>
  <c r="J351" i="94"/>
  <c r="J344" i="94" s="1"/>
  <c r="J647" i="94"/>
  <c r="J635" i="94"/>
  <c r="L618" i="94"/>
  <c r="L496" i="94"/>
  <c r="K497" i="94" s="1"/>
  <c r="P497" i="94" s="1"/>
  <c r="L206" i="94"/>
  <c r="L484" i="94"/>
  <c r="L145" i="94"/>
  <c r="J137" i="94"/>
  <c r="J126" i="94" s="1"/>
  <c r="I134" i="94" s="1"/>
  <c r="P195" i="94"/>
  <c r="J417" i="94"/>
  <c r="L287" i="94"/>
  <c r="L277" i="94" s="1"/>
  <c r="L627" i="94"/>
  <c r="L617" i="94" s="1"/>
  <c r="L154" i="94"/>
  <c r="L144" i="94" s="1"/>
  <c r="J198" i="94"/>
  <c r="J187" i="94" s="1"/>
  <c r="L216" i="94"/>
  <c r="L205" i="94" s="1"/>
  <c r="J200" i="94"/>
  <c r="I201" i="94" s="1"/>
  <c r="O201" i="94" s="1"/>
  <c r="J410" i="94"/>
  <c r="J422" i="94"/>
  <c r="J409" i="94" s="1"/>
  <c r="J127" i="94"/>
  <c r="J513" i="94"/>
  <c r="J511" i="94"/>
  <c r="J501" i="94" s="1"/>
  <c r="J502" i="94"/>
  <c r="L339" i="94"/>
  <c r="L351" i="94"/>
  <c r="L349" i="94"/>
  <c r="L338" i="94" s="1"/>
  <c r="L369" i="94"/>
  <c r="L367" i="94"/>
  <c r="L356" i="94" s="1"/>
  <c r="L357" i="94"/>
  <c r="L119" i="94"/>
  <c r="L108" i="94" s="1"/>
  <c r="L109" i="94"/>
  <c r="L121" i="94"/>
  <c r="I237" i="94"/>
  <c r="O237" i="94" s="1"/>
  <c r="J229" i="94"/>
  <c r="L211" i="94"/>
  <c r="K219" i="94"/>
  <c r="P219" i="94" s="1"/>
  <c r="L519" i="94"/>
  <c r="L532" i="94"/>
  <c r="L530" i="94"/>
  <c r="L518" i="94" s="1"/>
  <c r="J538" i="94"/>
  <c r="J550" i="94"/>
  <c r="J548" i="94"/>
  <c r="J537" i="94" s="1"/>
  <c r="L511" i="94"/>
  <c r="L501" i="94" s="1"/>
  <c r="L502" i="94"/>
  <c r="L513" i="94"/>
  <c r="J254" i="94"/>
  <c r="J252" i="94"/>
  <c r="J241" i="94" s="1"/>
  <c r="J242" i="94"/>
  <c r="L309" i="94"/>
  <c r="L307" i="94"/>
  <c r="L294" i="94" s="1"/>
  <c r="L295" i="94"/>
  <c r="J272" i="94"/>
  <c r="J260" i="94"/>
  <c r="J270" i="94"/>
  <c r="J259" i="94" s="1"/>
  <c r="K630" i="94"/>
  <c r="P630" i="94" s="1"/>
  <c r="L622" i="94"/>
  <c r="J397" i="94"/>
  <c r="I219" i="94"/>
  <c r="O219" i="94" s="1"/>
  <c r="K86" i="94"/>
  <c r="P86" i="94" s="1"/>
  <c r="L78" i="94"/>
  <c r="P80" i="94" s="1"/>
  <c r="K140" i="94"/>
  <c r="P140" i="94" s="1"/>
  <c r="L132" i="94"/>
  <c r="P134" i="94" s="1"/>
  <c r="K237" i="94"/>
  <c r="P237" i="94" s="1"/>
  <c r="L229" i="94"/>
  <c r="K231" i="94" s="1"/>
  <c r="L149" i="94"/>
  <c r="K157" i="94"/>
  <c r="P157" i="94" s="1"/>
  <c r="K648" i="94"/>
  <c r="P648" i="94" s="1"/>
  <c r="L640" i="94"/>
  <c r="K642" i="94" s="1"/>
  <c r="L550" i="94"/>
  <c r="L548" i="94"/>
  <c r="L537" i="94" s="1"/>
  <c r="L538" i="94"/>
  <c r="J448" i="94"/>
  <c r="J460" i="94"/>
  <c r="J458" i="94"/>
  <c r="J447" i="94" s="1"/>
  <c r="J309" i="94"/>
  <c r="J307" i="94"/>
  <c r="J294" i="94" s="1"/>
  <c r="J295" i="94"/>
  <c r="I648" i="94"/>
  <c r="O648" i="94" s="1"/>
  <c r="J640" i="94"/>
  <c r="O642" i="94" s="1"/>
  <c r="L272" i="94"/>
  <c r="L270" i="94"/>
  <c r="L259" i="94" s="1"/>
  <c r="L260" i="94"/>
  <c r="J109" i="94"/>
  <c r="J121" i="94"/>
  <c r="J119" i="94"/>
  <c r="J108" i="94" s="1"/>
  <c r="I68" i="94"/>
  <c r="O68" i="94" s="1"/>
  <c r="J60" i="94"/>
  <c r="I86" i="94"/>
  <c r="O86" i="94" s="1"/>
  <c r="J78" i="94"/>
  <c r="O80" i="94" s="1"/>
  <c r="L60" i="94"/>
  <c r="K62" i="94" s="1"/>
  <c r="K68" i="94"/>
  <c r="P68" i="94" s="1"/>
  <c r="O134" i="94"/>
  <c r="J289" i="94"/>
  <c r="J278" i="94"/>
  <c r="J287" i="94"/>
  <c r="J277" i="94" s="1"/>
  <c r="K425" i="94"/>
  <c r="P425" i="94" s="1"/>
  <c r="L417" i="94"/>
  <c r="K419" i="94" s="1"/>
  <c r="L458" i="94"/>
  <c r="L447" i="94" s="1"/>
  <c r="L448" i="94"/>
  <c r="L460" i="94"/>
  <c r="J387" i="94"/>
  <c r="J385" i="94"/>
  <c r="J374" i="94" s="1"/>
  <c r="J375" i="94"/>
  <c r="K290" i="94"/>
  <c r="P290" i="94" s="1"/>
  <c r="L282" i="94"/>
  <c r="L254" i="94"/>
  <c r="L242" i="94"/>
  <c r="L252" i="94"/>
  <c r="L241" i="94" s="1"/>
  <c r="I497" i="94"/>
  <c r="O497" i="94" s="1"/>
  <c r="J489" i="94"/>
  <c r="J357" i="94"/>
  <c r="J369" i="94"/>
  <c r="J367" i="94"/>
  <c r="J356" i="94" s="1"/>
  <c r="I533" i="94"/>
  <c r="O533" i="94" s="1"/>
  <c r="J525" i="94"/>
  <c r="O527" i="94" s="1"/>
  <c r="I352" i="94"/>
  <c r="O352" i="94" s="1"/>
  <c r="I157" i="94"/>
  <c r="O157" i="94" s="1"/>
  <c r="J149" i="94"/>
  <c r="I151" i="94" s="1"/>
  <c r="K177" i="94"/>
  <c r="P177" i="94" s="1"/>
  <c r="L169" i="94"/>
  <c r="P171" i="94" s="1"/>
  <c r="K195" i="94"/>
  <c r="I98" i="94"/>
  <c r="I171" i="94" l="1"/>
  <c r="K388" i="94"/>
  <c r="P388" i="94" s="1"/>
  <c r="J622" i="94"/>
  <c r="K479" i="94"/>
  <c r="P479" i="94" s="1"/>
  <c r="J471" i="94"/>
  <c r="O473" i="94" s="1"/>
  <c r="K104" i="94"/>
  <c r="P104" i="94" s="1"/>
  <c r="K134" i="94"/>
  <c r="I62" i="94"/>
  <c r="K405" i="94"/>
  <c r="P405" i="94" s="1"/>
  <c r="K213" i="94"/>
  <c r="J193" i="94"/>
  <c r="I195" i="94" s="1"/>
  <c r="L489" i="94"/>
  <c r="P491" i="94" s="1"/>
  <c r="P213" i="94"/>
  <c r="P624" i="94"/>
  <c r="P419" i="94"/>
  <c r="K284" i="94"/>
  <c r="O151" i="94"/>
  <c r="P151" i="94"/>
  <c r="O213" i="94"/>
  <c r="K382" i="94"/>
  <c r="K171" i="94"/>
  <c r="K151" i="94"/>
  <c r="I419" i="94"/>
  <c r="O419" i="94"/>
  <c r="K624" i="94"/>
  <c r="K80" i="94"/>
  <c r="I527" i="94"/>
  <c r="O195" i="94"/>
  <c r="J380" i="94"/>
  <c r="O382" i="94" s="1"/>
  <c r="I388" i="94"/>
  <c r="O388" i="94" s="1"/>
  <c r="K370" i="94"/>
  <c r="P370" i="94" s="1"/>
  <c r="L362" i="94"/>
  <c r="K364" i="94" s="1"/>
  <c r="P284" i="94"/>
  <c r="K461" i="94"/>
  <c r="P461" i="94" s="1"/>
  <c r="L453" i="94"/>
  <c r="P455" i="94" s="1"/>
  <c r="J282" i="94"/>
  <c r="O284" i="94" s="1"/>
  <c r="I290" i="94"/>
  <c r="O290" i="94" s="1"/>
  <c r="K273" i="94"/>
  <c r="P273" i="94" s="1"/>
  <c r="L265" i="94"/>
  <c r="P267" i="94" s="1"/>
  <c r="I624" i="94"/>
  <c r="O624" i="94"/>
  <c r="I651" i="94" s="1"/>
  <c r="O399" i="94"/>
  <c r="I399" i="94"/>
  <c r="J265" i="94"/>
  <c r="I267" i="94" s="1"/>
  <c r="I273" i="94"/>
  <c r="O273" i="94" s="1"/>
  <c r="P399" i="94"/>
  <c r="K514" i="94"/>
  <c r="P514" i="94" s="1"/>
  <c r="L506" i="94"/>
  <c r="K508" i="94" s="1"/>
  <c r="J543" i="94"/>
  <c r="O545" i="94" s="1"/>
  <c r="I551" i="94"/>
  <c r="O551" i="94" s="1"/>
  <c r="K533" i="94"/>
  <c r="P533" i="94" s="1"/>
  <c r="L525" i="94"/>
  <c r="K527" i="94" s="1"/>
  <c r="O231" i="94"/>
  <c r="I231" i="94"/>
  <c r="K98" i="94"/>
  <c r="I122" i="94"/>
  <c r="O122" i="94" s="1"/>
  <c r="J114" i="94"/>
  <c r="I116" i="94" s="1"/>
  <c r="I461" i="94"/>
  <c r="O461" i="94" s="1"/>
  <c r="J453" i="94"/>
  <c r="O455" i="94" s="1"/>
  <c r="J247" i="94"/>
  <c r="O249" i="94" s="1"/>
  <c r="I255" i="94"/>
  <c r="O255" i="94" s="1"/>
  <c r="P231" i="94"/>
  <c r="J302" i="94"/>
  <c r="I304" i="94" s="1"/>
  <c r="I310" i="94"/>
  <c r="O310" i="94" s="1"/>
  <c r="K352" i="94"/>
  <c r="P352" i="94" s="1"/>
  <c r="L344" i="94"/>
  <c r="P346" i="94" s="1"/>
  <c r="I514" i="94"/>
  <c r="O514" i="94" s="1"/>
  <c r="J506" i="94"/>
  <c r="I508" i="94" s="1"/>
  <c r="I642" i="94"/>
  <c r="J362" i="94"/>
  <c r="O364" i="94" s="1"/>
  <c r="I370" i="94"/>
  <c r="O370" i="94" s="1"/>
  <c r="K551" i="94"/>
  <c r="P551" i="94" s="1"/>
  <c r="L543" i="94"/>
  <c r="K545" i="94" s="1"/>
  <c r="P62" i="94"/>
  <c r="K310" i="94"/>
  <c r="P310" i="94" s="1"/>
  <c r="L302" i="94"/>
  <c r="P304" i="94" s="1"/>
  <c r="O346" i="94"/>
  <c r="I346" i="94"/>
  <c r="O491" i="94"/>
  <c r="I491" i="94"/>
  <c r="K255" i="94"/>
  <c r="P255" i="94" s="1"/>
  <c r="L247" i="94"/>
  <c r="P249" i="94" s="1"/>
  <c r="O116" i="94"/>
  <c r="P473" i="94"/>
  <c r="O62" i="94"/>
  <c r="P642" i="94"/>
  <c r="K651" i="94" s="1"/>
  <c r="K122" i="94"/>
  <c r="P122" i="94" s="1"/>
  <c r="L114" i="94"/>
  <c r="K116" i="94" s="1"/>
  <c r="I80" i="94"/>
  <c r="O267" i="94" l="1"/>
  <c r="I284" i="94"/>
  <c r="I473" i="94"/>
  <c r="K491" i="94"/>
  <c r="P545" i="94"/>
  <c r="K455" i="94"/>
  <c r="I455" i="94"/>
  <c r="I249" i="94"/>
  <c r="P508" i="94"/>
  <c r="P364" i="94"/>
  <c r="K428" i="94" s="1"/>
  <c r="K304" i="94"/>
  <c r="I382" i="94"/>
  <c r="I545" i="94"/>
  <c r="O508" i="94"/>
  <c r="I554" i="94" s="1"/>
  <c r="O304" i="94"/>
  <c r="I313" i="94" s="1"/>
  <c r="K267" i="94"/>
  <c r="I364" i="94"/>
  <c r="K313" i="94"/>
  <c r="I180" i="94"/>
  <c r="P116" i="94"/>
  <c r="K180" i="94" s="1"/>
  <c r="P527" i="94"/>
  <c r="K249" i="94"/>
  <c r="I428" i="94"/>
  <c r="K346" i="94"/>
  <c r="K554" i="94" l="1"/>
  <c r="I697" i="94"/>
  <c r="I704" i="94"/>
  <c r="J713" i="94" s="1"/>
  <c r="I681" i="94"/>
  <c r="K681" i="94"/>
  <c r="K697" i="94"/>
  <c r="K704" i="94"/>
  <c r="J712" i="94" l="1"/>
  <c r="L712" i="94"/>
  <c r="L713" i="94"/>
  <c r="I719" i="94"/>
  <c r="I720" i="94" s="1"/>
  <c r="I722" i="94" s="1"/>
  <c r="L725" i="94" l="1"/>
  <c r="K719" i="94"/>
  <c r="K720" i="94" s="1"/>
  <c r="K722" i="94" s="1"/>
  <c r="L724" i="94" l="1"/>
  <c r="L731" i="94"/>
  <c r="L732" i="94" s="1"/>
  <c r="L734" i="94" s="1"/>
  <c r="L344" i="91" l="1"/>
  <c r="L355" i="91" s="1"/>
  <c r="J344" i="91"/>
  <c r="L343" i="91"/>
  <c r="L354" i="91" s="1"/>
  <c r="J343" i="91"/>
  <c r="L342" i="91"/>
  <c r="L358" i="91" s="1"/>
  <c r="L361" i="91" s="1"/>
  <c r="J342" i="91"/>
  <c r="J349" i="91" s="1"/>
  <c r="K334" i="91"/>
  <c r="J334" i="91"/>
  <c r="K333" i="91"/>
  <c r="J333" i="91"/>
  <c r="AF332" i="91"/>
  <c r="A332" i="91"/>
  <c r="K330" i="91"/>
  <c r="I330" i="91"/>
  <c r="D330" i="91"/>
  <c r="K329" i="91"/>
  <c r="I329" i="91"/>
  <c r="D329" i="91"/>
  <c r="K328" i="91"/>
  <c r="I328" i="91"/>
  <c r="D328" i="91"/>
  <c r="K327" i="91"/>
  <c r="J327" i="91"/>
  <c r="K326" i="91"/>
  <c r="J326" i="91"/>
  <c r="AF325" i="91"/>
  <c r="A325" i="91"/>
  <c r="K323" i="91"/>
  <c r="J323" i="91"/>
  <c r="K322" i="91"/>
  <c r="J322" i="91"/>
  <c r="K321" i="91"/>
  <c r="I321" i="91"/>
  <c r="A321" i="91"/>
  <c r="K319" i="91"/>
  <c r="J319" i="91"/>
  <c r="K318" i="91"/>
  <c r="J318" i="91"/>
  <c r="K317" i="91"/>
  <c r="I317" i="91"/>
  <c r="A317" i="91"/>
  <c r="A315" i="91"/>
  <c r="A313" i="91"/>
  <c r="K311" i="91"/>
  <c r="J311" i="91"/>
  <c r="K310" i="91"/>
  <c r="J310" i="91"/>
  <c r="A309" i="91"/>
  <c r="J305" i="91"/>
  <c r="I305" i="91"/>
  <c r="H305" i="91"/>
  <c r="F305" i="91"/>
  <c r="K304" i="91"/>
  <c r="F304" i="91"/>
  <c r="K303" i="91"/>
  <c r="F303" i="91"/>
  <c r="V302" i="91"/>
  <c r="U302" i="91"/>
  <c r="T302" i="91"/>
  <c r="S302" i="91"/>
  <c r="R302" i="91"/>
  <c r="Q302" i="91"/>
  <c r="L302" i="91"/>
  <c r="K302" i="91"/>
  <c r="J302" i="91"/>
  <c r="I302" i="91"/>
  <c r="G302" i="91"/>
  <c r="F302" i="91"/>
  <c r="E302" i="91"/>
  <c r="C302" i="91"/>
  <c r="B302" i="91"/>
  <c r="V301" i="91"/>
  <c r="U301" i="91"/>
  <c r="T301" i="91"/>
  <c r="S301" i="91"/>
  <c r="R301" i="91"/>
  <c r="Q301" i="91"/>
  <c r="L301" i="91"/>
  <c r="K301" i="91"/>
  <c r="J301" i="91"/>
  <c r="I301" i="91"/>
  <c r="G301" i="91"/>
  <c r="F301" i="91"/>
  <c r="E301" i="91"/>
  <c r="C301" i="91"/>
  <c r="B301" i="91"/>
  <c r="V300" i="91"/>
  <c r="U300" i="91"/>
  <c r="T300" i="91"/>
  <c r="S300" i="91"/>
  <c r="R300" i="91"/>
  <c r="Q300" i="91"/>
  <c r="L300" i="91"/>
  <c r="K300" i="91"/>
  <c r="J300" i="91"/>
  <c r="I300" i="91"/>
  <c r="G300" i="91"/>
  <c r="F300" i="91"/>
  <c r="E300" i="91"/>
  <c r="C300" i="91"/>
  <c r="B300" i="91"/>
  <c r="L299" i="91"/>
  <c r="K299" i="91"/>
  <c r="J299" i="91"/>
  <c r="I299" i="91"/>
  <c r="H299" i="91"/>
  <c r="G299" i="91"/>
  <c r="L298" i="91"/>
  <c r="K298" i="91"/>
  <c r="J298" i="91"/>
  <c r="I298" i="91"/>
  <c r="H298" i="91"/>
  <c r="G298" i="91"/>
  <c r="D297" i="91"/>
  <c r="V296" i="91"/>
  <c r="U296" i="91"/>
  <c r="T296" i="91"/>
  <c r="S296" i="91"/>
  <c r="R296" i="91"/>
  <c r="Q296" i="91"/>
  <c r="F296" i="91"/>
  <c r="E296" i="91"/>
  <c r="B296" i="91"/>
  <c r="A295" i="91"/>
  <c r="K293" i="91"/>
  <c r="J293" i="91"/>
  <c r="K292" i="91"/>
  <c r="J292" i="91"/>
  <c r="K291" i="91"/>
  <c r="I291" i="91"/>
  <c r="A291" i="91"/>
  <c r="A289" i="91"/>
  <c r="K287" i="91"/>
  <c r="J287" i="91"/>
  <c r="K286" i="91"/>
  <c r="J286" i="91"/>
  <c r="A285" i="91"/>
  <c r="K281" i="91"/>
  <c r="F281" i="91"/>
  <c r="K280" i="91"/>
  <c r="K279" i="91" s="1"/>
  <c r="I280" i="91"/>
  <c r="I279" i="91" s="1"/>
  <c r="G280" i="91"/>
  <c r="G279" i="91" s="1"/>
  <c r="H279" i="91"/>
  <c r="F278" i="91"/>
  <c r="E278" i="91"/>
  <c r="B278" i="91"/>
  <c r="J275" i="91"/>
  <c r="I275" i="91"/>
  <c r="H275" i="91"/>
  <c r="F275" i="91"/>
  <c r="K274" i="91"/>
  <c r="F274" i="91"/>
  <c r="K273" i="91"/>
  <c r="F273" i="91"/>
  <c r="K272" i="91"/>
  <c r="F272" i="91"/>
  <c r="V271" i="91"/>
  <c r="U271" i="91"/>
  <c r="T271" i="91"/>
  <c r="S271" i="91"/>
  <c r="R271" i="91"/>
  <c r="Q271" i="91"/>
  <c r="L271" i="91"/>
  <c r="K271" i="91"/>
  <c r="J271" i="91"/>
  <c r="I271" i="91"/>
  <c r="G271" i="91"/>
  <c r="F271" i="91"/>
  <c r="E271" i="91"/>
  <c r="C271" i="91"/>
  <c r="B271" i="91"/>
  <c r="K270" i="91"/>
  <c r="I270" i="91"/>
  <c r="H270" i="91"/>
  <c r="G270" i="91"/>
  <c r="K269" i="91"/>
  <c r="I269" i="91"/>
  <c r="H269" i="91"/>
  <c r="G269" i="91"/>
  <c r="L268" i="91"/>
  <c r="K268" i="91"/>
  <c r="J268" i="91"/>
  <c r="I268" i="91"/>
  <c r="H268" i="91"/>
  <c r="G268" i="91"/>
  <c r="D267" i="91"/>
  <c r="V266" i="91"/>
  <c r="U266" i="91"/>
  <c r="T266" i="91"/>
  <c r="S266" i="91"/>
  <c r="R266" i="91"/>
  <c r="Q266" i="91"/>
  <c r="F266" i="91"/>
  <c r="E266" i="91"/>
  <c r="B266" i="91"/>
  <c r="C265" i="91"/>
  <c r="K261" i="91"/>
  <c r="F261" i="91"/>
  <c r="K260" i="91"/>
  <c r="K259" i="91" s="1"/>
  <c r="I260" i="91"/>
  <c r="I259" i="91" s="1"/>
  <c r="G260" i="91"/>
  <c r="G259" i="91" s="1"/>
  <c r="H259" i="91"/>
  <c r="F258" i="91"/>
  <c r="E258" i="91"/>
  <c r="B258" i="91"/>
  <c r="J255" i="91"/>
  <c r="I255" i="91"/>
  <c r="H255" i="91"/>
  <c r="F255" i="91"/>
  <c r="K254" i="91"/>
  <c r="F254" i="91"/>
  <c r="K253" i="91"/>
  <c r="F253" i="91"/>
  <c r="K252" i="91"/>
  <c r="F252" i="91"/>
  <c r="V251" i="91"/>
  <c r="U251" i="91"/>
  <c r="T251" i="91"/>
  <c r="S251" i="91"/>
  <c r="R251" i="91"/>
  <c r="Q251" i="91"/>
  <c r="L251" i="91"/>
  <c r="K251" i="91"/>
  <c r="J251" i="91"/>
  <c r="I251" i="91"/>
  <c r="G251" i="91"/>
  <c r="F251" i="91"/>
  <c r="E251" i="91"/>
  <c r="C251" i="91"/>
  <c r="B251" i="91"/>
  <c r="K250" i="91"/>
  <c r="I250" i="91"/>
  <c r="H250" i="91"/>
  <c r="G250" i="91"/>
  <c r="K249" i="91"/>
  <c r="I249" i="91"/>
  <c r="H249" i="91"/>
  <c r="G249" i="91"/>
  <c r="L248" i="91"/>
  <c r="K248" i="91"/>
  <c r="J248" i="91"/>
  <c r="I248" i="91"/>
  <c r="H248" i="91"/>
  <c r="G248" i="91"/>
  <c r="D247" i="91"/>
  <c r="V246" i="91"/>
  <c r="U246" i="91"/>
  <c r="T246" i="91"/>
  <c r="S246" i="91"/>
  <c r="R246" i="91"/>
  <c r="Q246" i="91"/>
  <c r="J252" i="91" s="1"/>
  <c r="F246" i="91"/>
  <c r="E246" i="91"/>
  <c r="B246" i="91"/>
  <c r="K243" i="91"/>
  <c r="F243" i="91"/>
  <c r="K242" i="91"/>
  <c r="K241" i="91" s="1"/>
  <c r="I242" i="91"/>
  <c r="I241" i="91" s="1"/>
  <c r="G242" i="91"/>
  <c r="G241" i="91" s="1"/>
  <c r="H241" i="91"/>
  <c r="F240" i="91"/>
  <c r="E240" i="91"/>
  <c r="B240" i="91"/>
  <c r="J237" i="91"/>
  <c r="I237" i="91"/>
  <c r="H237" i="91"/>
  <c r="F237" i="91"/>
  <c r="K236" i="91"/>
  <c r="F236" i="91"/>
  <c r="K235" i="91"/>
  <c r="F235" i="91"/>
  <c r="K234" i="91"/>
  <c r="F234" i="91"/>
  <c r="V233" i="91"/>
  <c r="U233" i="91"/>
  <c r="T233" i="91"/>
  <c r="S233" i="91"/>
  <c r="R233" i="91"/>
  <c r="Q233" i="91"/>
  <c r="L233" i="91"/>
  <c r="K233" i="91"/>
  <c r="J233" i="91"/>
  <c r="I233" i="91"/>
  <c r="G233" i="91"/>
  <c r="F233" i="91"/>
  <c r="E233" i="91"/>
  <c r="C233" i="91"/>
  <c r="B233" i="91"/>
  <c r="K232" i="91"/>
  <c r="I232" i="91"/>
  <c r="H232" i="91"/>
  <c r="G232" i="91"/>
  <c r="K231" i="91"/>
  <c r="I231" i="91"/>
  <c r="H231" i="91"/>
  <c r="G231" i="91"/>
  <c r="L230" i="91"/>
  <c r="K230" i="91"/>
  <c r="J230" i="91"/>
  <c r="I230" i="91"/>
  <c r="H230" i="91"/>
  <c r="G230" i="91"/>
  <c r="D229" i="91"/>
  <c r="V228" i="91"/>
  <c r="U228" i="91"/>
  <c r="T228" i="91"/>
  <c r="S228" i="91"/>
  <c r="J235" i="91" s="1"/>
  <c r="R228" i="91"/>
  <c r="Q228" i="91"/>
  <c r="F228" i="91"/>
  <c r="E228" i="91"/>
  <c r="B228" i="91"/>
  <c r="C227" i="91"/>
  <c r="K223" i="91"/>
  <c r="F223" i="91"/>
  <c r="K222" i="91"/>
  <c r="K221" i="91" s="1"/>
  <c r="I222" i="91"/>
  <c r="I221" i="91" s="1"/>
  <c r="G222" i="91"/>
  <c r="G221" i="91" s="1"/>
  <c r="H221" i="91"/>
  <c r="F220" i="91"/>
  <c r="E220" i="91"/>
  <c r="B220" i="91"/>
  <c r="J217" i="91"/>
  <c r="I217" i="91"/>
  <c r="H217" i="91"/>
  <c r="F217" i="91"/>
  <c r="K216" i="91"/>
  <c r="F216" i="91"/>
  <c r="K215" i="91"/>
  <c r="F215" i="91"/>
  <c r="K214" i="91"/>
  <c r="F214" i="91"/>
  <c r="V213" i="91"/>
  <c r="U213" i="91"/>
  <c r="T213" i="91"/>
  <c r="S213" i="91"/>
  <c r="R213" i="91"/>
  <c r="Q213" i="91"/>
  <c r="L213" i="91"/>
  <c r="K213" i="91"/>
  <c r="J213" i="91"/>
  <c r="I213" i="91"/>
  <c r="G213" i="91"/>
  <c r="F213" i="91"/>
  <c r="E213" i="91"/>
  <c r="C213" i="91"/>
  <c r="B213" i="91"/>
  <c r="K212" i="91"/>
  <c r="I212" i="91"/>
  <c r="H212" i="91"/>
  <c r="G212" i="91"/>
  <c r="K211" i="91"/>
  <c r="I211" i="91"/>
  <c r="H211" i="91"/>
  <c r="G211" i="91"/>
  <c r="L210" i="91"/>
  <c r="K210" i="91"/>
  <c r="J210" i="91"/>
  <c r="I210" i="91"/>
  <c r="H210" i="91"/>
  <c r="G210" i="91"/>
  <c r="D209" i="91"/>
  <c r="V208" i="91"/>
  <c r="U208" i="91"/>
  <c r="T208" i="91"/>
  <c r="S208" i="91"/>
  <c r="R208" i="91"/>
  <c r="Q208" i="91"/>
  <c r="F208" i="91"/>
  <c r="E208" i="91"/>
  <c r="B208" i="91"/>
  <c r="K205" i="91"/>
  <c r="F205" i="91"/>
  <c r="K204" i="91"/>
  <c r="K203" i="91" s="1"/>
  <c r="I204" i="91"/>
  <c r="I203" i="91" s="1"/>
  <c r="G204" i="91"/>
  <c r="G203" i="91" s="1"/>
  <c r="H203" i="91"/>
  <c r="F202" i="91"/>
  <c r="E202" i="91"/>
  <c r="B202" i="91"/>
  <c r="J199" i="91"/>
  <c r="I199" i="91"/>
  <c r="H199" i="91"/>
  <c r="F199" i="91"/>
  <c r="K198" i="91"/>
  <c r="F198" i="91"/>
  <c r="K197" i="91"/>
  <c r="F197" i="91"/>
  <c r="K196" i="91"/>
  <c r="F196" i="91"/>
  <c r="V195" i="91"/>
  <c r="U195" i="91"/>
  <c r="T195" i="91"/>
  <c r="S195" i="91"/>
  <c r="R195" i="91"/>
  <c r="Q195" i="91"/>
  <c r="L195" i="91"/>
  <c r="K195" i="91"/>
  <c r="J195" i="91"/>
  <c r="I195" i="91"/>
  <c r="G195" i="91"/>
  <c r="F195" i="91"/>
  <c r="E195" i="91"/>
  <c r="C195" i="91"/>
  <c r="B195" i="91"/>
  <c r="K194" i="91"/>
  <c r="I194" i="91"/>
  <c r="H194" i="91"/>
  <c r="G194" i="91"/>
  <c r="K193" i="91"/>
  <c r="I193" i="91"/>
  <c r="H193" i="91"/>
  <c r="G193" i="91"/>
  <c r="L192" i="91"/>
  <c r="K192" i="91"/>
  <c r="J192" i="91"/>
  <c r="I192" i="91"/>
  <c r="H192" i="91"/>
  <c r="G192" i="91"/>
  <c r="D191" i="91"/>
  <c r="V190" i="91"/>
  <c r="U190" i="91"/>
  <c r="T190" i="91"/>
  <c r="S190" i="91"/>
  <c r="R190" i="91"/>
  <c r="Q190" i="91"/>
  <c r="F190" i="91"/>
  <c r="E190" i="91"/>
  <c r="B190" i="91"/>
  <c r="C189" i="91"/>
  <c r="K185" i="91"/>
  <c r="F185" i="91"/>
  <c r="K184" i="91"/>
  <c r="K183" i="91" s="1"/>
  <c r="I184" i="91"/>
  <c r="I183" i="91" s="1"/>
  <c r="G184" i="91"/>
  <c r="G183" i="91" s="1"/>
  <c r="H183" i="91"/>
  <c r="F182" i="91"/>
  <c r="E182" i="91"/>
  <c r="B182" i="91"/>
  <c r="J179" i="91"/>
  <c r="I179" i="91"/>
  <c r="H179" i="91"/>
  <c r="F179" i="91"/>
  <c r="K178" i="91"/>
  <c r="F178" i="91"/>
  <c r="K177" i="91"/>
  <c r="F177" i="91"/>
  <c r="K176" i="91"/>
  <c r="F176" i="91"/>
  <c r="V175" i="91"/>
  <c r="U175" i="91"/>
  <c r="T175" i="91"/>
  <c r="S175" i="91"/>
  <c r="R175" i="91"/>
  <c r="Q175" i="91"/>
  <c r="L175" i="91"/>
  <c r="K175" i="91"/>
  <c r="J175" i="91"/>
  <c r="I175" i="91"/>
  <c r="G175" i="91"/>
  <c r="F175" i="91"/>
  <c r="E175" i="91"/>
  <c r="C175" i="91"/>
  <c r="B175" i="91"/>
  <c r="V174" i="91"/>
  <c r="U174" i="91"/>
  <c r="T174" i="91"/>
  <c r="S174" i="91"/>
  <c r="R174" i="91"/>
  <c r="Q174" i="91"/>
  <c r="L174" i="91"/>
  <c r="K174" i="91"/>
  <c r="J174" i="91"/>
  <c r="I174" i="91"/>
  <c r="G174" i="91"/>
  <c r="F174" i="91"/>
  <c r="E174" i="91"/>
  <c r="C174" i="91"/>
  <c r="B174" i="91"/>
  <c r="K173" i="91"/>
  <c r="I173" i="91"/>
  <c r="H173" i="91"/>
  <c r="G173" i="91"/>
  <c r="K172" i="91"/>
  <c r="I172" i="91"/>
  <c r="H172" i="91"/>
  <c r="G172" i="91"/>
  <c r="L171" i="91"/>
  <c r="K171" i="91"/>
  <c r="J171" i="91"/>
  <c r="I171" i="91"/>
  <c r="H171" i="91"/>
  <c r="G171" i="91"/>
  <c r="D170" i="91"/>
  <c r="V169" i="91"/>
  <c r="U169" i="91"/>
  <c r="T169" i="91"/>
  <c r="S169" i="91"/>
  <c r="R169" i="91"/>
  <c r="Q169" i="91"/>
  <c r="F169" i="91"/>
  <c r="E169" i="91"/>
  <c r="B169" i="91"/>
  <c r="K166" i="91"/>
  <c r="F166" i="91"/>
  <c r="K165" i="91"/>
  <c r="K164" i="91" s="1"/>
  <c r="I165" i="91"/>
  <c r="I164" i="91" s="1"/>
  <c r="G165" i="91"/>
  <c r="G164" i="91" s="1"/>
  <c r="H164" i="91"/>
  <c r="F163" i="91"/>
  <c r="E163" i="91"/>
  <c r="B163" i="91"/>
  <c r="J160" i="91"/>
  <c r="I160" i="91"/>
  <c r="H160" i="91"/>
  <c r="F160" i="91"/>
  <c r="K159" i="91"/>
  <c r="F159" i="91"/>
  <c r="K158" i="91"/>
  <c r="F158" i="91"/>
  <c r="K157" i="91"/>
  <c r="F157" i="91"/>
  <c r="V156" i="91"/>
  <c r="U156" i="91"/>
  <c r="T156" i="91"/>
  <c r="S156" i="91"/>
  <c r="R156" i="91"/>
  <c r="Q156" i="91"/>
  <c r="L156" i="91"/>
  <c r="K156" i="91"/>
  <c r="J156" i="91"/>
  <c r="I156" i="91"/>
  <c r="G156" i="91"/>
  <c r="F156" i="91"/>
  <c r="E156" i="91"/>
  <c r="C156" i="91"/>
  <c r="B156" i="91"/>
  <c r="K155" i="91"/>
  <c r="I155" i="91"/>
  <c r="H155" i="91"/>
  <c r="G155" i="91"/>
  <c r="K154" i="91"/>
  <c r="I154" i="91"/>
  <c r="H154" i="91"/>
  <c r="G154" i="91"/>
  <c r="L153" i="91"/>
  <c r="K153" i="91"/>
  <c r="J153" i="91"/>
  <c r="I153" i="91"/>
  <c r="H153" i="91"/>
  <c r="G153" i="91"/>
  <c r="D152" i="91"/>
  <c r="V151" i="91"/>
  <c r="U151" i="91"/>
  <c r="T151" i="91"/>
  <c r="S151" i="91"/>
  <c r="R151" i="91"/>
  <c r="Q151" i="91"/>
  <c r="F151" i="91"/>
  <c r="E151" i="91"/>
  <c r="B151" i="91"/>
  <c r="J148" i="91"/>
  <c r="I148" i="91"/>
  <c r="H148" i="91"/>
  <c r="F148" i="91"/>
  <c r="K147" i="91"/>
  <c r="F147" i="91"/>
  <c r="K146" i="91"/>
  <c r="F146" i="91"/>
  <c r="V145" i="91"/>
  <c r="U145" i="91"/>
  <c r="T145" i="91"/>
  <c r="S145" i="91"/>
  <c r="R145" i="91"/>
  <c r="Q145" i="91"/>
  <c r="L145" i="91"/>
  <c r="K145" i="91"/>
  <c r="J145" i="91"/>
  <c r="I145" i="91"/>
  <c r="G145" i="91"/>
  <c r="F145" i="91"/>
  <c r="E145" i="91"/>
  <c r="C145" i="91"/>
  <c r="B145" i="91"/>
  <c r="V144" i="91"/>
  <c r="U144" i="91"/>
  <c r="T144" i="91"/>
  <c r="S144" i="91"/>
  <c r="R144" i="91"/>
  <c r="Q144" i="91"/>
  <c r="L144" i="91"/>
  <c r="K144" i="91"/>
  <c r="J144" i="91"/>
  <c r="I144" i="91"/>
  <c r="G144" i="91"/>
  <c r="F144" i="91"/>
  <c r="E144" i="91"/>
  <c r="C144" i="91"/>
  <c r="B144" i="91"/>
  <c r="L143" i="91"/>
  <c r="K143" i="91"/>
  <c r="J143" i="91"/>
  <c r="I143" i="91"/>
  <c r="H143" i="91"/>
  <c r="G143" i="91"/>
  <c r="L142" i="91"/>
  <c r="K142" i="91"/>
  <c r="J142" i="91"/>
  <c r="I142" i="91"/>
  <c r="H142" i="91"/>
  <c r="G142" i="91"/>
  <c r="D141" i="91"/>
  <c r="V140" i="91"/>
  <c r="U140" i="91"/>
  <c r="T140" i="91"/>
  <c r="S140" i="91"/>
  <c r="R140" i="91"/>
  <c r="Q140" i="91"/>
  <c r="F140" i="91"/>
  <c r="E140" i="91"/>
  <c r="B140" i="91"/>
  <c r="J137" i="91"/>
  <c r="I137" i="91"/>
  <c r="H137" i="91"/>
  <c r="F137" i="91"/>
  <c r="K136" i="91"/>
  <c r="F136" i="91"/>
  <c r="K135" i="91"/>
  <c r="F135" i="91"/>
  <c r="K134" i="91"/>
  <c r="F134" i="91"/>
  <c r="L133" i="91"/>
  <c r="K133" i="91"/>
  <c r="J133" i="91"/>
  <c r="I133" i="91"/>
  <c r="H133" i="91"/>
  <c r="G133" i="91"/>
  <c r="L132" i="91"/>
  <c r="K132" i="91"/>
  <c r="J132" i="91"/>
  <c r="I132" i="91"/>
  <c r="H132" i="91"/>
  <c r="G132" i="91"/>
  <c r="L131" i="91"/>
  <c r="K131" i="91"/>
  <c r="J131" i="91"/>
  <c r="I131" i="91"/>
  <c r="H131" i="91"/>
  <c r="G131" i="91"/>
  <c r="L130" i="91"/>
  <c r="K130" i="91"/>
  <c r="J130" i="91"/>
  <c r="I130" i="91"/>
  <c r="H130" i="91"/>
  <c r="G130" i="91"/>
  <c r="D129" i="91"/>
  <c r="V128" i="91"/>
  <c r="L136" i="91" s="1"/>
  <c r="U128" i="91"/>
  <c r="J136" i="91" s="1"/>
  <c r="T128" i="91"/>
  <c r="L135" i="91" s="1"/>
  <c r="S128" i="91"/>
  <c r="J135" i="91" s="1"/>
  <c r="R128" i="91"/>
  <c r="L134" i="91" s="1"/>
  <c r="Q128" i="91"/>
  <c r="J134" i="91" s="1"/>
  <c r="F128" i="91"/>
  <c r="E128" i="91"/>
  <c r="C128" i="91"/>
  <c r="B128" i="91"/>
  <c r="A127" i="91"/>
  <c r="K125" i="91"/>
  <c r="J125" i="91"/>
  <c r="K124" i="91"/>
  <c r="J124" i="91"/>
  <c r="K123" i="91"/>
  <c r="I123" i="91"/>
  <c r="A123" i="91"/>
  <c r="A121" i="91"/>
  <c r="K119" i="91"/>
  <c r="J119" i="91"/>
  <c r="K118" i="91"/>
  <c r="J118" i="91"/>
  <c r="K117" i="91"/>
  <c r="I117" i="91"/>
  <c r="A117" i="91"/>
  <c r="K115" i="91"/>
  <c r="J115" i="91"/>
  <c r="K114" i="91"/>
  <c r="J114" i="91"/>
  <c r="K113" i="91"/>
  <c r="I113" i="91"/>
  <c r="A113" i="91"/>
  <c r="A111" i="91"/>
  <c r="K109" i="91"/>
  <c r="J109" i="91"/>
  <c r="K108" i="91"/>
  <c r="J108" i="91"/>
  <c r="K107" i="91"/>
  <c r="I107" i="91"/>
  <c r="A107" i="91"/>
  <c r="A105" i="91"/>
  <c r="K103" i="91"/>
  <c r="J103" i="91"/>
  <c r="K102" i="91"/>
  <c r="J102" i="91"/>
  <c r="K101" i="91"/>
  <c r="I101" i="91"/>
  <c r="A101" i="91"/>
  <c r="A99" i="91"/>
  <c r="K97" i="91"/>
  <c r="J97" i="91"/>
  <c r="K96" i="91"/>
  <c r="J96" i="91"/>
  <c r="K95" i="91"/>
  <c r="I95" i="91"/>
  <c r="A95" i="91"/>
  <c r="A93" i="91"/>
  <c r="K91" i="91"/>
  <c r="J91" i="91"/>
  <c r="K90" i="91"/>
  <c r="J90" i="91"/>
  <c r="K89" i="91"/>
  <c r="I89" i="91"/>
  <c r="A89" i="91"/>
  <c r="A87" i="91"/>
  <c r="K85" i="91"/>
  <c r="J85" i="91"/>
  <c r="K84" i="91"/>
  <c r="J84" i="91"/>
  <c r="K83" i="91"/>
  <c r="I83" i="91"/>
  <c r="A83" i="91"/>
  <c r="A81" i="91"/>
  <c r="K79" i="91"/>
  <c r="J79" i="91"/>
  <c r="K78" i="91"/>
  <c r="J78" i="91"/>
  <c r="K77" i="91"/>
  <c r="I77" i="91"/>
  <c r="A77" i="91"/>
  <c r="A75" i="91"/>
  <c r="K73" i="91"/>
  <c r="J73" i="91"/>
  <c r="K72" i="91"/>
  <c r="J72" i="91"/>
  <c r="K71" i="91"/>
  <c r="I71" i="91"/>
  <c r="A71" i="91"/>
  <c r="A69" i="91"/>
  <c r="K67" i="91"/>
  <c r="J67" i="91"/>
  <c r="K66" i="91"/>
  <c r="J66" i="91"/>
  <c r="K65" i="91"/>
  <c r="I65" i="91"/>
  <c r="A65" i="91"/>
  <c r="A63" i="91"/>
  <c r="K61" i="91"/>
  <c r="J61" i="91"/>
  <c r="K60" i="91"/>
  <c r="J60" i="91"/>
  <c r="K59" i="91"/>
  <c r="I59" i="91"/>
  <c r="A59" i="91"/>
  <c r="A57" i="91"/>
  <c r="K55" i="91"/>
  <c r="J55" i="91"/>
  <c r="K54" i="91"/>
  <c r="J54" i="91"/>
  <c r="K53" i="91"/>
  <c r="I53" i="91"/>
  <c r="A53" i="91"/>
  <c r="A51" i="91"/>
  <c r="K49" i="91"/>
  <c r="J49" i="91"/>
  <c r="K48" i="91"/>
  <c r="J48" i="91"/>
  <c r="K47" i="91"/>
  <c r="I47" i="91"/>
  <c r="A47" i="91"/>
  <c r="A45" i="91"/>
  <c r="A43" i="91"/>
  <c r="AE41" i="91"/>
  <c r="H28" i="91"/>
  <c r="J22" i="91"/>
  <c r="J157" i="91" l="1"/>
  <c r="J196" i="91"/>
  <c r="L273" i="91"/>
  <c r="J147" i="91"/>
  <c r="J272" i="91"/>
  <c r="L214" i="91"/>
  <c r="J146" i="91"/>
  <c r="J273" i="91"/>
  <c r="L349" i="91"/>
  <c r="L157" i="91"/>
  <c r="J215" i="91"/>
  <c r="L272" i="91"/>
  <c r="J158" i="91"/>
  <c r="J176" i="91"/>
  <c r="J197" i="91"/>
  <c r="J234" i="91"/>
  <c r="L146" i="91"/>
  <c r="J184" i="91"/>
  <c r="J183" i="91" s="1"/>
  <c r="J172" i="91" s="1"/>
  <c r="J280" i="91"/>
  <c r="J281" i="91" s="1"/>
  <c r="L147" i="91"/>
  <c r="J177" i="91"/>
  <c r="J222" i="91"/>
  <c r="J223" i="91" s="1"/>
  <c r="J303" i="91"/>
  <c r="L176" i="91"/>
  <c r="J253" i="91"/>
  <c r="L177" i="91"/>
  <c r="L303" i="91"/>
  <c r="J214" i="91"/>
  <c r="J304" i="91"/>
  <c r="P138" i="91"/>
  <c r="J165" i="91"/>
  <c r="J164" i="91" s="1"/>
  <c r="J154" i="91" s="1"/>
  <c r="L158" i="91"/>
  <c r="L204" i="91"/>
  <c r="L205" i="91" s="1"/>
  <c r="L197" i="91"/>
  <c r="L196" i="91"/>
  <c r="L215" i="91"/>
  <c r="L242" i="91"/>
  <c r="L243" i="91" s="1"/>
  <c r="L235" i="91"/>
  <c r="L234" i="91"/>
  <c r="L260" i="91"/>
  <c r="L259" i="91" s="1"/>
  <c r="L249" i="91" s="1"/>
  <c r="L253" i="91"/>
  <c r="L252" i="91"/>
  <c r="L304" i="91"/>
  <c r="O138" i="91"/>
  <c r="I138" i="91"/>
  <c r="K138" i="91"/>
  <c r="O149" i="91"/>
  <c r="J204" i="91"/>
  <c r="L222" i="91"/>
  <c r="J242" i="91"/>
  <c r="J260" i="91"/>
  <c r="L280" i="91"/>
  <c r="L165" i="91"/>
  <c r="L184" i="91"/>
  <c r="I306" i="91" l="1"/>
  <c r="P149" i="91"/>
  <c r="I149" i="91"/>
  <c r="O306" i="91"/>
  <c r="I309" i="91" s="1"/>
  <c r="J173" i="91"/>
  <c r="J155" i="91"/>
  <c r="K306" i="91"/>
  <c r="J166" i="91"/>
  <c r="I167" i="91" s="1"/>
  <c r="O167" i="91" s="1"/>
  <c r="L232" i="91"/>
  <c r="L241" i="91"/>
  <c r="L231" i="91" s="1"/>
  <c r="J270" i="91"/>
  <c r="K149" i="91"/>
  <c r="P306" i="91"/>
  <c r="K309" i="91" s="1"/>
  <c r="J279" i="91"/>
  <c r="J269" i="91" s="1"/>
  <c r="L203" i="91"/>
  <c r="L193" i="91" s="1"/>
  <c r="L194" i="91"/>
  <c r="J185" i="91"/>
  <c r="J178" i="91" s="1"/>
  <c r="J212" i="91"/>
  <c r="L261" i="91"/>
  <c r="K262" i="91" s="1"/>
  <c r="P262" i="91" s="1"/>
  <c r="J221" i="91"/>
  <c r="J211" i="91" s="1"/>
  <c r="L250" i="91"/>
  <c r="K244" i="91"/>
  <c r="P244" i="91" s="1"/>
  <c r="L236" i="91"/>
  <c r="L173" i="91"/>
  <c r="L183" i="91"/>
  <c r="L172" i="91" s="1"/>
  <c r="L185" i="91"/>
  <c r="L221" i="91"/>
  <c r="L211" i="91" s="1"/>
  <c r="L212" i="91"/>
  <c r="L223" i="91"/>
  <c r="J205" i="91"/>
  <c r="J203" i="91"/>
  <c r="J193" i="91" s="1"/>
  <c r="J194" i="91"/>
  <c r="L166" i="91"/>
  <c r="L164" i="91"/>
  <c r="L154" i="91" s="1"/>
  <c r="L155" i="91"/>
  <c r="J274" i="91"/>
  <c r="I276" i="91" s="1"/>
  <c r="I282" i="91"/>
  <c r="O282" i="91" s="1"/>
  <c r="J259" i="91"/>
  <c r="J249" i="91" s="1"/>
  <c r="J250" i="91"/>
  <c r="J261" i="91"/>
  <c r="I224" i="91"/>
  <c r="O224" i="91" s="1"/>
  <c r="J216" i="91"/>
  <c r="L281" i="91"/>
  <c r="L279" i="91"/>
  <c r="L269" i="91" s="1"/>
  <c r="L270" i="91"/>
  <c r="J241" i="91"/>
  <c r="J231" i="91" s="1"/>
  <c r="J232" i="91"/>
  <c r="J243" i="91"/>
  <c r="L198" i="91"/>
  <c r="K206" i="91"/>
  <c r="P206" i="91" s="1"/>
  <c r="P200" i="91" l="1"/>
  <c r="J159" i="91"/>
  <c r="O161" i="91" s="1"/>
  <c r="O218" i="91"/>
  <c r="L254" i="91"/>
  <c r="P256" i="91" s="1"/>
  <c r="I186" i="91"/>
  <c r="O186" i="91" s="1"/>
  <c r="O180" i="91"/>
  <c r="I180" i="91"/>
  <c r="K200" i="91"/>
  <c r="K282" i="91"/>
  <c r="P282" i="91" s="1"/>
  <c r="L274" i="91"/>
  <c r="K276" i="91" s="1"/>
  <c r="O276" i="91"/>
  <c r="P238" i="91"/>
  <c r="K238" i="91"/>
  <c r="K224" i="91"/>
  <c r="P224" i="91" s="1"/>
  <c r="L216" i="91"/>
  <c r="P218" i="91" s="1"/>
  <c r="K167" i="91"/>
  <c r="P167" i="91" s="1"/>
  <c r="L159" i="91"/>
  <c r="K161" i="91" s="1"/>
  <c r="J198" i="91"/>
  <c r="I200" i="91" s="1"/>
  <c r="I206" i="91"/>
  <c r="O206" i="91" s="1"/>
  <c r="K186" i="91"/>
  <c r="P186" i="91" s="1"/>
  <c r="L178" i="91"/>
  <c r="P180" i="91" s="1"/>
  <c r="I161" i="91"/>
  <c r="I244" i="91"/>
  <c r="O244" i="91" s="1"/>
  <c r="J236" i="91"/>
  <c r="I238" i="91" s="1"/>
  <c r="J254" i="91"/>
  <c r="O256" i="91" s="1"/>
  <c r="I262" i="91"/>
  <c r="O262" i="91" s="1"/>
  <c r="I218" i="91"/>
  <c r="K256" i="91" l="1"/>
  <c r="P276" i="91"/>
  <c r="P161" i="91"/>
  <c r="K332" i="91" s="1"/>
  <c r="K180" i="91"/>
  <c r="O238" i="91"/>
  <c r="K218" i="91"/>
  <c r="O200" i="91"/>
  <c r="I256" i="91"/>
  <c r="K325" i="91" l="1"/>
  <c r="K285" i="91"/>
  <c r="L340" i="91"/>
  <c r="L341" i="91"/>
  <c r="I332" i="91"/>
  <c r="I285" i="91"/>
  <c r="I325" i="91"/>
  <c r="J341" i="91" l="1"/>
  <c r="J340" i="91"/>
  <c r="L353" i="91"/>
  <c r="K347" i="91"/>
  <c r="K348" i="91" s="1"/>
  <c r="K350" i="91" s="1"/>
  <c r="L352" i="91" l="1"/>
  <c r="L359" i="91"/>
  <c r="L360" i="91" s="1"/>
  <c r="L362" i="91" s="1"/>
  <c r="I347" i="91"/>
  <c r="I348" i="91" s="1"/>
  <c r="I350" i="91" s="1"/>
  <c r="K295" i="89" l="1"/>
  <c r="L301" i="89" s="1"/>
  <c r="L312" i="89" s="1"/>
  <c r="I295" i="89"/>
  <c r="J301" i="89" s="1"/>
  <c r="D295" i="89"/>
  <c r="K294" i="89"/>
  <c r="I294" i="89"/>
  <c r="D294" i="89"/>
  <c r="K293" i="89"/>
  <c r="I293" i="89"/>
  <c r="D293" i="89"/>
  <c r="K292" i="89"/>
  <c r="L300" i="89" s="1"/>
  <c r="I292" i="89"/>
  <c r="J300" i="89" s="1"/>
  <c r="D292" i="89"/>
  <c r="K291" i="89"/>
  <c r="J291" i="89"/>
  <c r="K290" i="89"/>
  <c r="J290" i="89"/>
  <c r="AF289" i="89"/>
  <c r="K287" i="89"/>
  <c r="I287" i="89"/>
  <c r="D287" i="89"/>
  <c r="K286" i="89"/>
  <c r="I286" i="89"/>
  <c r="D286" i="89"/>
  <c r="K285" i="89"/>
  <c r="I285" i="89"/>
  <c r="D285" i="89"/>
  <c r="K284" i="89"/>
  <c r="J284" i="89"/>
  <c r="K283" i="89"/>
  <c r="J283" i="89"/>
  <c r="AF282" i="89"/>
  <c r="A282" i="89"/>
  <c r="K280" i="89"/>
  <c r="J280" i="89"/>
  <c r="K279" i="89"/>
  <c r="J279" i="89"/>
  <c r="K278" i="89"/>
  <c r="I278" i="89"/>
  <c r="A278" i="89"/>
  <c r="A276" i="89"/>
  <c r="K274" i="89"/>
  <c r="J274" i="89"/>
  <c r="K273" i="89"/>
  <c r="J273" i="89"/>
  <c r="A272" i="89"/>
  <c r="J268" i="89"/>
  <c r="I268" i="89"/>
  <c r="H268" i="89"/>
  <c r="F268" i="89"/>
  <c r="K267" i="89"/>
  <c r="F267" i="89"/>
  <c r="K266" i="89"/>
  <c r="F266" i="89"/>
  <c r="V265" i="89"/>
  <c r="U265" i="89"/>
  <c r="T265" i="89"/>
  <c r="S265" i="89"/>
  <c r="R265" i="89"/>
  <c r="Q265" i="89"/>
  <c r="L265" i="89"/>
  <c r="K265" i="89"/>
  <c r="J265" i="89"/>
  <c r="I265" i="89"/>
  <c r="G265" i="89"/>
  <c r="F265" i="89"/>
  <c r="E265" i="89"/>
  <c r="C265" i="89"/>
  <c r="B265" i="89"/>
  <c r="V264" i="89"/>
  <c r="U264" i="89"/>
  <c r="T264" i="89"/>
  <c r="S264" i="89"/>
  <c r="R264" i="89"/>
  <c r="Q264" i="89"/>
  <c r="L264" i="89"/>
  <c r="K264" i="89"/>
  <c r="J264" i="89"/>
  <c r="I264" i="89"/>
  <c r="G264" i="89"/>
  <c r="F264" i="89"/>
  <c r="E264" i="89"/>
  <c r="C264" i="89"/>
  <c r="B264" i="89"/>
  <c r="V263" i="89"/>
  <c r="U263" i="89"/>
  <c r="T263" i="89"/>
  <c r="S263" i="89"/>
  <c r="R263" i="89"/>
  <c r="Q263" i="89"/>
  <c r="L263" i="89"/>
  <c r="K263" i="89"/>
  <c r="J263" i="89"/>
  <c r="I263" i="89"/>
  <c r="G263" i="89"/>
  <c r="F263" i="89"/>
  <c r="E263" i="89"/>
  <c r="C263" i="89"/>
  <c r="B263" i="89"/>
  <c r="L262" i="89"/>
  <c r="K262" i="89"/>
  <c r="J262" i="89"/>
  <c r="I262" i="89"/>
  <c r="H262" i="89"/>
  <c r="G262" i="89"/>
  <c r="L261" i="89"/>
  <c r="K261" i="89"/>
  <c r="J261" i="89"/>
  <c r="I261" i="89"/>
  <c r="H261" i="89"/>
  <c r="G261" i="89"/>
  <c r="D260" i="89"/>
  <c r="V259" i="89"/>
  <c r="U259" i="89"/>
  <c r="T259" i="89"/>
  <c r="S259" i="89"/>
  <c r="R259" i="89"/>
  <c r="Q259" i="89"/>
  <c r="F259" i="89"/>
  <c r="E259" i="89"/>
  <c r="B259" i="89"/>
  <c r="A258" i="89"/>
  <c r="K256" i="89"/>
  <c r="J256" i="89"/>
  <c r="K255" i="89"/>
  <c r="J255" i="89"/>
  <c r="A254" i="89"/>
  <c r="K250" i="89"/>
  <c r="F250" i="89"/>
  <c r="K249" i="89"/>
  <c r="K248" i="89" s="1"/>
  <c r="I249" i="89"/>
  <c r="I248" i="89" s="1"/>
  <c r="G249" i="89"/>
  <c r="G248" i="89" s="1"/>
  <c r="H248" i="89"/>
  <c r="F247" i="89"/>
  <c r="E247" i="89"/>
  <c r="B247" i="89"/>
  <c r="J244" i="89"/>
  <c r="I244" i="89"/>
  <c r="H244" i="89"/>
  <c r="F244" i="89"/>
  <c r="K243" i="89"/>
  <c r="F243" i="89"/>
  <c r="K242" i="89"/>
  <c r="F242" i="89"/>
  <c r="K241" i="89"/>
  <c r="F241" i="89"/>
  <c r="V240" i="89"/>
  <c r="U240" i="89"/>
  <c r="T240" i="89"/>
  <c r="S240" i="89"/>
  <c r="R240" i="89"/>
  <c r="Q240" i="89"/>
  <c r="L240" i="89"/>
  <c r="K240" i="89"/>
  <c r="J240" i="89"/>
  <c r="I240" i="89"/>
  <c r="G240" i="89"/>
  <c r="F240" i="89"/>
  <c r="E240" i="89"/>
  <c r="C240" i="89"/>
  <c r="B240" i="89"/>
  <c r="V239" i="89"/>
  <c r="U239" i="89"/>
  <c r="T239" i="89"/>
  <c r="S239" i="89"/>
  <c r="R239" i="89"/>
  <c r="Q239" i="89"/>
  <c r="L239" i="89"/>
  <c r="K239" i="89"/>
  <c r="J239" i="89"/>
  <c r="I239" i="89"/>
  <c r="G239" i="89"/>
  <c r="F239" i="89"/>
  <c r="E239" i="89"/>
  <c r="C239" i="89"/>
  <c r="B239" i="89"/>
  <c r="L238" i="89"/>
  <c r="K238" i="89"/>
  <c r="J238" i="89"/>
  <c r="I238" i="89"/>
  <c r="H238" i="89"/>
  <c r="G238" i="89"/>
  <c r="K237" i="89"/>
  <c r="I237" i="89"/>
  <c r="H237" i="89"/>
  <c r="G237" i="89"/>
  <c r="K236" i="89"/>
  <c r="I236" i="89"/>
  <c r="H236" i="89"/>
  <c r="G236" i="89"/>
  <c r="L235" i="89"/>
  <c r="K235" i="89"/>
  <c r="J235" i="89"/>
  <c r="I235" i="89"/>
  <c r="H235" i="89"/>
  <c r="G235" i="89"/>
  <c r="D234" i="89"/>
  <c r="V233" i="89"/>
  <c r="U233" i="89"/>
  <c r="T233" i="89"/>
  <c r="S233" i="89"/>
  <c r="R233" i="89"/>
  <c r="Q233" i="89"/>
  <c r="F233" i="89"/>
  <c r="E233" i="89"/>
  <c r="B233" i="89"/>
  <c r="K230" i="89"/>
  <c r="F230" i="89"/>
  <c r="K229" i="89"/>
  <c r="K228" i="89" s="1"/>
  <c r="I229" i="89"/>
  <c r="I228" i="89" s="1"/>
  <c r="G229" i="89"/>
  <c r="G228" i="89" s="1"/>
  <c r="H228" i="89"/>
  <c r="F227" i="89"/>
  <c r="E227" i="89"/>
  <c r="B227" i="89"/>
  <c r="J224" i="89"/>
  <c r="I224" i="89"/>
  <c r="H224" i="89"/>
  <c r="F224" i="89"/>
  <c r="K223" i="89"/>
  <c r="F223" i="89"/>
  <c r="K222" i="89"/>
  <c r="F222" i="89"/>
  <c r="K221" i="89"/>
  <c r="F221" i="89"/>
  <c r="V220" i="89"/>
  <c r="U220" i="89"/>
  <c r="T220" i="89"/>
  <c r="S220" i="89"/>
  <c r="R220" i="89"/>
  <c r="Q220" i="89"/>
  <c r="L220" i="89"/>
  <c r="K220" i="89"/>
  <c r="J220" i="89"/>
  <c r="I220" i="89"/>
  <c r="G220" i="89"/>
  <c r="F220" i="89"/>
  <c r="E220" i="89"/>
  <c r="C220" i="89"/>
  <c r="B220" i="89"/>
  <c r="L219" i="89"/>
  <c r="K219" i="89"/>
  <c r="J219" i="89"/>
  <c r="I219" i="89"/>
  <c r="H219" i="89"/>
  <c r="G219" i="89"/>
  <c r="K218" i="89"/>
  <c r="I218" i="89"/>
  <c r="H218" i="89"/>
  <c r="G218" i="89"/>
  <c r="K217" i="89"/>
  <c r="I217" i="89"/>
  <c r="H217" i="89"/>
  <c r="G217" i="89"/>
  <c r="L216" i="89"/>
  <c r="K216" i="89"/>
  <c r="J216" i="89"/>
  <c r="I216" i="89"/>
  <c r="H216" i="89"/>
  <c r="G216" i="89"/>
  <c r="D215" i="89"/>
  <c r="V214" i="89"/>
  <c r="U214" i="89"/>
  <c r="T214" i="89"/>
  <c r="L222" i="89" s="1"/>
  <c r="S214" i="89"/>
  <c r="J222" i="89" s="1"/>
  <c r="R214" i="89"/>
  <c r="L221" i="89" s="1"/>
  <c r="Q214" i="89"/>
  <c r="J221" i="89" s="1"/>
  <c r="F214" i="89"/>
  <c r="E214" i="89"/>
  <c r="B214" i="89"/>
  <c r="K211" i="89"/>
  <c r="F211" i="89"/>
  <c r="K210" i="89"/>
  <c r="K209" i="89" s="1"/>
  <c r="I210" i="89"/>
  <c r="I209" i="89" s="1"/>
  <c r="G210" i="89"/>
  <c r="G209" i="89" s="1"/>
  <c r="H209" i="89"/>
  <c r="F208" i="89"/>
  <c r="E208" i="89"/>
  <c r="B208" i="89"/>
  <c r="J205" i="89"/>
  <c r="I205" i="89"/>
  <c r="H205" i="89"/>
  <c r="F205" i="89"/>
  <c r="K204" i="89"/>
  <c r="F204" i="89"/>
  <c r="K203" i="89"/>
  <c r="F203" i="89"/>
  <c r="K202" i="89"/>
  <c r="F202" i="89"/>
  <c r="V201" i="89"/>
  <c r="U201" i="89"/>
  <c r="T201" i="89"/>
  <c r="S201" i="89"/>
  <c r="R201" i="89"/>
  <c r="Q201" i="89"/>
  <c r="L201" i="89"/>
  <c r="K201" i="89"/>
  <c r="J201" i="89"/>
  <c r="I201" i="89"/>
  <c r="G201" i="89"/>
  <c r="F201" i="89"/>
  <c r="E201" i="89"/>
  <c r="C201" i="89"/>
  <c r="B201" i="89"/>
  <c r="L200" i="89"/>
  <c r="K200" i="89"/>
  <c r="J200" i="89"/>
  <c r="I200" i="89"/>
  <c r="H200" i="89"/>
  <c r="G200" i="89"/>
  <c r="K199" i="89"/>
  <c r="I199" i="89"/>
  <c r="H199" i="89"/>
  <c r="G199" i="89"/>
  <c r="K198" i="89"/>
  <c r="I198" i="89"/>
  <c r="H198" i="89"/>
  <c r="G198" i="89"/>
  <c r="L197" i="89"/>
  <c r="K197" i="89"/>
  <c r="J197" i="89"/>
  <c r="I197" i="89"/>
  <c r="H197" i="89"/>
  <c r="G197" i="89"/>
  <c r="D196" i="89"/>
  <c r="V195" i="89"/>
  <c r="U195" i="89"/>
  <c r="T195" i="89"/>
  <c r="L203" i="89" s="1"/>
  <c r="S195" i="89"/>
  <c r="J203" i="89" s="1"/>
  <c r="R195" i="89"/>
  <c r="L202" i="89" s="1"/>
  <c r="Q195" i="89"/>
  <c r="J202" i="89" s="1"/>
  <c r="F195" i="89"/>
  <c r="E195" i="89"/>
  <c r="B195" i="89"/>
  <c r="K192" i="89"/>
  <c r="F192" i="89"/>
  <c r="K191" i="89"/>
  <c r="K190" i="89" s="1"/>
  <c r="I191" i="89"/>
  <c r="I190" i="89" s="1"/>
  <c r="G191" i="89"/>
  <c r="G190" i="89" s="1"/>
  <c r="H190" i="89"/>
  <c r="F189" i="89"/>
  <c r="E189" i="89"/>
  <c r="B189" i="89"/>
  <c r="J186" i="89"/>
  <c r="I186" i="89"/>
  <c r="H186" i="89"/>
  <c r="F186" i="89"/>
  <c r="K185" i="89"/>
  <c r="F185" i="89"/>
  <c r="K184" i="89"/>
  <c r="F184" i="89"/>
  <c r="K183" i="89"/>
  <c r="F183" i="89"/>
  <c r="V182" i="89"/>
  <c r="U182" i="89"/>
  <c r="T182" i="89"/>
  <c r="S182" i="89"/>
  <c r="R182" i="89"/>
  <c r="Q182" i="89"/>
  <c r="L182" i="89"/>
  <c r="K182" i="89"/>
  <c r="J182" i="89"/>
  <c r="I182" i="89"/>
  <c r="G182" i="89"/>
  <c r="F182" i="89"/>
  <c r="E182" i="89"/>
  <c r="C182" i="89"/>
  <c r="B182" i="89"/>
  <c r="V181" i="89"/>
  <c r="U181" i="89"/>
  <c r="T181" i="89"/>
  <c r="S181" i="89"/>
  <c r="R181" i="89"/>
  <c r="Q181" i="89"/>
  <c r="L181" i="89"/>
  <c r="K181" i="89"/>
  <c r="J181" i="89"/>
  <c r="I181" i="89"/>
  <c r="G181" i="89"/>
  <c r="F181" i="89"/>
  <c r="E181" i="89"/>
  <c r="C181" i="89"/>
  <c r="B181" i="89"/>
  <c r="V180" i="89"/>
  <c r="U180" i="89"/>
  <c r="T180" i="89"/>
  <c r="S180" i="89"/>
  <c r="R180" i="89"/>
  <c r="Q180" i="89"/>
  <c r="L180" i="89"/>
  <c r="K180" i="89"/>
  <c r="J180" i="89"/>
  <c r="I180" i="89"/>
  <c r="G180" i="89"/>
  <c r="F180" i="89"/>
  <c r="E180" i="89"/>
  <c r="C180" i="89"/>
  <c r="B180" i="89"/>
  <c r="L179" i="89"/>
  <c r="K179" i="89"/>
  <c r="J179" i="89"/>
  <c r="I179" i="89"/>
  <c r="H179" i="89"/>
  <c r="G179" i="89"/>
  <c r="K178" i="89"/>
  <c r="I178" i="89"/>
  <c r="H178" i="89"/>
  <c r="G178" i="89"/>
  <c r="K177" i="89"/>
  <c r="I177" i="89"/>
  <c r="H177" i="89"/>
  <c r="G177" i="89"/>
  <c r="L176" i="89"/>
  <c r="K176" i="89"/>
  <c r="J176" i="89"/>
  <c r="I176" i="89"/>
  <c r="H176" i="89"/>
  <c r="G176" i="89"/>
  <c r="D175" i="89"/>
  <c r="V174" i="89"/>
  <c r="U174" i="89"/>
  <c r="T174" i="89"/>
  <c r="S174" i="89"/>
  <c r="R174" i="89"/>
  <c r="Q174" i="89"/>
  <c r="F174" i="89"/>
  <c r="E174" i="89"/>
  <c r="B174" i="89"/>
  <c r="A173" i="89"/>
  <c r="K171" i="89"/>
  <c r="J171" i="89"/>
  <c r="K170" i="89"/>
  <c r="J170" i="89"/>
  <c r="K169" i="89"/>
  <c r="I169" i="89"/>
  <c r="A169" i="89"/>
  <c r="K167" i="89"/>
  <c r="J167" i="89"/>
  <c r="K166" i="89"/>
  <c r="J166" i="89"/>
  <c r="K165" i="89"/>
  <c r="I165" i="89"/>
  <c r="A165" i="89"/>
  <c r="A163" i="89"/>
  <c r="K161" i="89"/>
  <c r="J161" i="89"/>
  <c r="K160" i="89"/>
  <c r="J160" i="89"/>
  <c r="K159" i="89"/>
  <c r="I159" i="89"/>
  <c r="A159" i="89"/>
  <c r="A157" i="89"/>
  <c r="K155" i="89"/>
  <c r="J155" i="89"/>
  <c r="K154" i="89"/>
  <c r="J154" i="89"/>
  <c r="K153" i="89"/>
  <c r="I153" i="89"/>
  <c r="A153" i="89"/>
  <c r="A151" i="89"/>
  <c r="K149" i="89"/>
  <c r="J149" i="89"/>
  <c r="K148" i="89"/>
  <c r="J148" i="89"/>
  <c r="K147" i="89"/>
  <c r="I147" i="89"/>
  <c r="A147" i="89"/>
  <c r="A145" i="89"/>
  <c r="A143" i="89"/>
  <c r="K141" i="89"/>
  <c r="J141" i="89"/>
  <c r="K140" i="89"/>
  <c r="J140" i="89"/>
  <c r="A139" i="89"/>
  <c r="K137" i="89"/>
  <c r="J137" i="89"/>
  <c r="K136" i="89"/>
  <c r="J136" i="89"/>
  <c r="K135" i="89"/>
  <c r="I135" i="89"/>
  <c r="A135" i="89"/>
  <c r="A133" i="89"/>
  <c r="K131" i="89"/>
  <c r="J131" i="89"/>
  <c r="K130" i="89"/>
  <c r="J130" i="89"/>
  <c r="K129" i="89"/>
  <c r="I129" i="89"/>
  <c r="A129" i="89"/>
  <c r="A127" i="89"/>
  <c r="K125" i="89"/>
  <c r="J125" i="89"/>
  <c r="K124" i="89"/>
  <c r="J124" i="89"/>
  <c r="K123" i="89"/>
  <c r="I123" i="89"/>
  <c r="A123" i="89"/>
  <c r="A121" i="89"/>
  <c r="K119" i="89"/>
  <c r="J119" i="89"/>
  <c r="K118" i="89"/>
  <c r="J118" i="89"/>
  <c r="K117" i="89"/>
  <c r="I117" i="89"/>
  <c r="A117" i="89"/>
  <c r="A115" i="89"/>
  <c r="K113" i="89"/>
  <c r="J113" i="89"/>
  <c r="K112" i="89"/>
  <c r="J112" i="89"/>
  <c r="K111" i="89"/>
  <c r="I111" i="89"/>
  <c r="A111" i="89"/>
  <c r="A109" i="89"/>
  <c r="K107" i="89"/>
  <c r="J107" i="89"/>
  <c r="K106" i="89"/>
  <c r="J106" i="89"/>
  <c r="K105" i="89"/>
  <c r="I105" i="89"/>
  <c r="A105" i="89"/>
  <c r="A103" i="89"/>
  <c r="K99" i="89"/>
  <c r="F99" i="89"/>
  <c r="K98" i="89"/>
  <c r="K97" i="89" s="1"/>
  <c r="I98" i="89"/>
  <c r="I97" i="89" s="1"/>
  <c r="G98" i="89"/>
  <c r="H97" i="89"/>
  <c r="F96" i="89"/>
  <c r="E96" i="89"/>
  <c r="B96" i="89"/>
  <c r="J93" i="89"/>
  <c r="I93" i="89"/>
  <c r="H93" i="89"/>
  <c r="F93" i="89"/>
  <c r="K92" i="89"/>
  <c r="F92" i="89"/>
  <c r="K91" i="89"/>
  <c r="F91" i="89"/>
  <c r="K90" i="89"/>
  <c r="F90" i="89"/>
  <c r="V89" i="89"/>
  <c r="U89" i="89"/>
  <c r="T89" i="89"/>
  <c r="S89" i="89"/>
  <c r="R89" i="89"/>
  <c r="Q89" i="89"/>
  <c r="L89" i="89"/>
  <c r="K89" i="89"/>
  <c r="J89" i="89"/>
  <c r="I89" i="89"/>
  <c r="G89" i="89"/>
  <c r="F89" i="89"/>
  <c r="E89" i="89"/>
  <c r="C89" i="89"/>
  <c r="B89" i="89"/>
  <c r="V88" i="89"/>
  <c r="U88" i="89"/>
  <c r="T88" i="89"/>
  <c r="S88" i="89"/>
  <c r="R88" i="89"/>
  <c r="Q88" i="89"/>
  <c r="L88" i="89"/>
  <c r="K88" i="89"/>
  <c r="J88" i="89"/>
  <c r="I88" i="89"/>
  <c r="G88" i="89"/>
  <c r="F88" i="89"/>
  <c r="E88" i="89"/>
  <c r="C88" i="89"/>
  <c r="B88" i="89"/>
  <c r="K87" i="89"/>
  <c r="I87" i="89"/>
  <c r="H87" i="89"/>
  <c r="G87" i="89"/>
  <c r="K86" i="89"/>
  <c r="I86" i="89"/>
  <c r="H86" i="89"/>
  <c r="G86" i="89"/>
  <c r="L85" i="89"/>
  <c r="K85" i="89"/>
  <c r="J85" i="89"/>
  <c r="I85" i="89"/>
  <c r="H85" i="89"/>
  <c r="G85" i="89"/>
  <c r="D84" i="89"/>
  <c r="V83" i="89"/>
  <c r="U83" i="89"/>
  <c r="T83" i="89"/>
  <c r="S83" i="89"/>
  <c r="R83" i="89"/>
  <c r="Q83" i="89"/>
  <c r="F83" i="89"/>
  <c r="E83" i="89"/>
  <c r="B83" i="89"/>
  <c r="J80" i="89"/>
  <c r="I80" i="89"/>
  <c r="H80" i="89"/>
  <c r="F80" i="89"/>
  <c r="K79" i="89"/>
  <c r="F79" i="89"/>
  <c r="K78" i="89"/>
  <c r="F78" i="89"/>
  <c r="K77" i="89"/>
  <c r="F77" i="89"/>
  <c r="L76" i="89"/>
  <c r="K76" i="89"/>
  <c r="J76" i="89"/>
  <c r="I76" i="89"/>
  <c r="H76" i="89"/>
  <c r="G76" i="89"/>
  <c r="L75" i="89"/>
  <c r="K75" i="89"/>
  <c r="J75" i="89"/>
  <c r="I75" i="89"/>
  <c r="H75" i="89"/>
  <c r="G75" i="89"/>
  <c r="L74" i="89"/>
  <c r="K74" i="89"/>
  <c r="J74" i="89"/>
  <c r="I74" i="89"/>
  <c r="H74" i="89"/>
  <c r="G74" i="89"/>
  <c r="L73" i="89"/>
  <c r="K73" i="89"/>
  <c r="J73" i="89"/>
  <c r="I73" i="89"/>
  <c r="H73" i="89"/>
  <c r="G73" i="89"/>
  <c r="D72" i="89"/>
  <c r="V71" i="89"/>
  <c r="L79" i="89" s="1"/>
  <c r="U71" i="89"/>
  <c r="J79" i="89" s="1"/>
  <c r="T71" i="89"/>
  <c r="L78" i="89" s="1"/>
  <c r="S71" i="89"/>
  <c r="J78" i="89" s="1"/>
  <c r="R71" i="89"/>
  <c r="L77" i="89" s="1"/>
  <c r="Q71" i="89"/>
  <c r="J77" i="89" s="1"/>
  <c r="F71" i="89"/>
  <c r="E71" i="89"/>
  <c r="C71" i="89"/>
  <c r="B71" i="89"/>
  <c r="A70" i="89"/>
  <c r="K68" i="89"/>
  <c r="J68" i="89"/>
  <c r="K67" i="89"/>
  <c r="J67" i="89"/>
  <c r="K66" i="89"/>
  <c r="I66" i="89"/>
  <c r="A66" i="89"/>
  <c r="K64" i="89"/>
  <c r="J64" i="89"/>
  <c r="K63" i="89"/>
  <c r="J63" i="89"/>
  <c r="K62" i="89"/>
  <c r="I62" i="89"/>
  <c r="A62" i="89"/>
  <c r="A60" i="89"/>
  <c r="K58" i="89"/>
  <c r="J58" i="89"/>
  <c r="K57" i="89"/>
  <c r="J57" i="89"/>
  <c r="K56" i="89"/>
  <c r="I56" i="89"/>
  <c r="A56" i="89"/>
  <c r="A54" i="89"/>
  <c r="K52" i="89"/>
  <c r="J52" i="89"/>
  <c r="K51" i="89"/>
  <c r="J51" i="89"/>
  <c r="K50" i="89"/>
  <c r="I50" i="89"/>
  <c r="A50" i="89"/>
  <c r="A48" i="89"/>
  <c r="A46" i="89"/>
  <c r="AE44" i="89"/>
  <c r="A44" i="89"/>
  <c r="H28" i="89"/>
  <c r="J242" i="89" l="1"/>
  <c r="J229" i="89"/>
  <c r="J218" i="89" s="1"/>
  <c r="J90" i="89"/>
  <c r="L299" i="89"/>
  <c r="L306" i="89" s="1"/>
  <c r="L90" i="89"/>
  <c r="J91" i="89"/>
  <c r="L191" i="89"/>
  <c r="L192" i="89" s="1"/>
  <c r="L241" i="89"/>
  <c r="J184" i="89"/>
  <c r="J241" i="89"/>
  <c r="L267" i="89"/>
  <c r="L184" i="89"/>
  <c r="J266" i="89"/>
  <c r="P81" i="89"/>
  <c r="J98" i="89"/>
  <c r="J99" i="89" s="1"/>
  <c r="J210" i="89"/>
  <c r="J209" i="89" s="1"/>
  <c r="J198" i="89" s="1"/>
  <c r="L266" i="89"/>
  <c r="L311" i="89"/>
  <c r="K81" i="89"/>
  <c r="L91" i="89"/>
  <c r="J183" i="89"/>
  <c r="L249" i="89"/>
  <c r="L248" i="89" s="1"/>
  <c r="L236" i="89" s="1"/>
  <c r="L242" i="89"/>
  <c r="J299" i="89"/>
  <c r="J306" i="89" s="1"/>
  <c r="L183" i="89"/>
  <c r="J267" i="89"/>
  <c r="I81" i="89"/>
  <c r="L190" i="89"/>
  <c r="L177" i="89" s="1"/>
  <c r="O81" i="89"/>
  <c r="J191" i="89"/>
  <c r="L229" i="89"/>
  <c r="J249" i="89"/>
  <c r="L98" i="89"/>
  <c r="L210" i="89"/>
  <c r="G97" i="89"/>
  <c r="J228" i="89" l="1"/>
  <c r="J217" i="89" s="1"/>
  <c r="J230" i="89"/>
  <c r="L315" i="89"/>
  <c r="L318" i="89" s="1"/>
  <c r="L178" i="89"/>
  <c r="J97" i="89"/>
  <c r="J86" i="89" s="1"/>
  <c r="K269" i="89"/>
  <c r="L250" i="89"/>
  <c r="K251" i="89" s="1"/>
  <c r="P251" i="89" s="1"/>
  <c r="P269" i="89"/>
  <c r="K272" i="89" s="1"/>
  <c r="O269" i="89"/>
  <c r="I272" i="89" s="1"/>
  <c r="J87" i="89"/>
  <c r="I269" i="89"/>
  <c r="L237" i="89"/>
  <c r="J211" i="89"/>
  <c r="J204" i="89" s="1"/>
  <c r="J199" i="89"/>
  <c r="L199" i="89"/>
  <c r="L209" i="89"/>
  <c r="L198" i="89" s="1"/>
  <c r="L211" i="89"/>
  <c r="L87" i="89"/>
  <c r="L97" i="89"/>
  <c r="L86" i="89" s="1"/>
  <c r="L99" i="89"/>
  <c r="J190" i="89"/>
  <c r="J177" i="89" s="1"/>
  <c r="J178" i="89"/>
  <c r="J192" i="89"/>
  <c r="I231" i="89"/>
  <c r="O231" i="89" s="1"/>
  <c r="J223" i="89"/>
  <c r="I225" i="89" s="1"/>
  <c r="L228" i="89"/>
  <c r="L217" i="89" s="1"/>
  <c r="L218" i="89"/>
  <c r="L230" i="89"/>
  <c r="K193" i="89"/>
  <c r="P193" i="89" s="1"/>
  <c r="L185" i="89"/>
  <c r="I100" i="89"/>
  <c r="O100" i="89" s="1"/>
  <c r="J92" i="89"/>
  <c r="I94" i="89" s="1"/>
  <c r="J248" i="89"/>
  <c r="J236" i="89" s="1"/>
  <c r="J237" i="89"/>
  <c r="J250" i="89"/>
  <c r="L243" i="89" l="1"/>
  <c r="K245" i="89" s="1"/>
  <c r="O225" i="89"/>
  <c r="I206" i="89"/>
  <c r="O206" i="89"/>
  <c r="I212" i="89"/>
  <c r="O212" i="89" s="1"/>
  <c r="O94" i="89"/>
  <c r="I139" i="89" s="1"/>
  <c r="K187" i="89"/>
  <c r="P187" i="89"/>
  <c r="I193" i="89"/>
  <c r="O193" i="89" s="1"/>
  <c r="J185" i="89"/>
  <c r="O187" i="89" s="1"/>
  <c r="I251" i="89"/>
  <c r="O251" i="89" s="1"/>
  <c r="J243" i="89"/>
  <c r="I245" i="89" s="1"/>
  <c r="K231" i="89"/>
  <c r="P231" i="89" s="1"/>
  <c r="L223" i="89"/>
  <c r="K225" i="89" s="1"/>
  <c r="K212" i="89"/>
  <c r="P212" i="89" s="1"/>
  <c r="L204" i="89"/>
  <c r="K206" i="89" s="1"/>
  <c r="K100" i="89"/>
  <c r="P100" i="89" s="1"/>
  <c r="L92" i="89"/>
  <c r="K94" i="89" s="1"/>
  <c r="P245" i="89"/>
  <c r="I187" i="89" l="1"/>
  <c r="O245" i="89"/>
  <c r="I254" i="89" s="1"/>
  <c r="P206" i="89"/>
  <c r="P225" i="89"/>
  <c r="P94" i="89"/>
  <c r="I282" i="89" l="1"/>
  <c r="I289" i="89"/>
  <c r="J298" i="89" s="1"/>
  <c r="I304" i="89" s="1"/>
  <c r="I305" i="89" s="1"/>
  <c r="I307" i="89" s="1"/>
  <c r="K289" i="89"/>
  <c r="L297" i="89" s="1"/>
  <c r="K254" i="89"/>
  <c r="K139" i="89"/>
  <c r="K282" i="89"/>
  <c r="J297" i="89" l="1"/>
  <c r="L298" i="89"/>
  <c r="L310" i="89" s="1"/>
  <c r="K304" i="89" l="1"/>
  <c r="K305" i="89" s="1"/>
  <c r="K307" i="89" s="1"/>
  <c r="L309" i="89"/>
  <c r="L316" i="89"/>
  <c r="L317" i="89" s="1"/>
  <c r="L319" i="89" s="1"/>
  <c r="D379" i="87" l="1"/>
  <c r="K378" i="87"/>
  <c r="I378" i="87"/>
  <c r="D378" i="87"/>
  <c r="K377" i="87"/>
  <c r="L387" i="87" s="1"/>
  <c r="L395" i="87" s="1"/>
  <c r="I377" i="87"/>
  <c r="J387" i="87" s="1"/>
  <c r="D377" i="87"/>
  <c r="D376" i="87"/>
  <c r="K375" i="87"/>
  <c r="J375" i="87"/>
  <c r="K374" i="87"/>
  <c r="J374" i="87"/>
  <c r="AF373" i="87"/>
  <c r="K371" i="87"/>
  <c r="J371" i="87"/>
  <c r="K370" i="87"/>
  <c r="J370" i="87"/>
  <c r="AF369" i="87"/>
  <c r="A369" i="87"/>
  <c r="K367" i="87"/>
  <c r="J367" i="87"/>
  <c r="K366" i="87"/>
  <c r="J366" i="87"/>
  <c r="A365" i="87"/>
  <c r="V360" i="87"/>
  <c r="U360" i="87"/>
  <c r="T360" i="87"/>
  <c r="S360" i="87"/>
  <c r="R360" i="87"/>
  <c r="Q360" i="87"/>
  <c r="B360" i="87"/>
  <c r="V356" i="87"/>
  <c r="U356" i="87"/>
  <c r="T356" i="87"/>
  <c r="S356" i="87"/>
  <c r="R356" i="87"/>
  <c r="Q356" i="87"/>
  <c r="B356" i="87"/>
  <c r="V352" i="87"/>
  <c r="U352" i="87"/>
  <c r="T352" i="87"/>
  <c r="S352" i="87"/>
  <c r="R352" i="87"/>
  <c r="Q352" i="87"/>
  <c r="B352" i="87"/>
  <c r="V348" i="87"/>
  <c r="U348" i="87"/>
  <c r="T348" i="87"/>
  <c r="S348" i="87"/>
  <c r="R348" i="87"/>
  <c r="Q348" i="87"/>
  <c r="B348" i="87"/>
  <c r="A347" i="87"/>
  <c r="K344" i="87"/>
  <c r="J344" i="87"/>
  <c r="K343" i="87"/>
  <c r="J343" i="87"/>
  <c r="K342" i="87"/>
  <c r="I342" i="87"/>
  <c r="A342" i="87"/>
  <c r="A340" i="87"/>
  <c r="K338" i="87"/>
  <c r="J338" i="87"/>
  <c r="K337" i="87"/>
  <c r="J337" i="87"/>
  <c r="K336" i="87"/>
  <c r="I336" i="87"/>
  <c r="A336" i="87"/>
  <c r="A334" i="87"/>
  <c r="K332" i="87"/>
  <c r="J332" i="87"/>
  <c r="K331" i="87"/>
  <c r="J331" i="87"/>
  <c r="K330" i="87"/>
  <c r="I330" i="87"/>
  <c r="A330" i="87"/>
  <c r="A328" i="87"/>
  <c r="K326" i="87"/>
  <c r="J326" i="87"/>
  <c r="K325" i="87"/>
  <c r="J325" i="87"/>
  <c r="K324" i="87"/>
  <c r="I324" i="87"/>
  <c r="A324" i="87"/>
  <c r="A322" i="87"/>
  <c r="K320" i="87"/>
  <c r="J320" i="87"/>
  <c r="K319" i="87"/>
  <c r="J319" i="87"/>
  <c r="K318" i="87"/>
  <c r="I318" i="87"/>
  <c r="A318" i="87"/>
  <c r="A316" i="87"/>
  <c r="K314" i="87"/>
  <c r="J314" i="87"/>
  <c r="K313" i="87"/>
  <c r="J313" i="87"/>
  <c r="K312" i="87"/>
  <c r="I312" i="87"/>
  <c r="A312" i="87"/>
  <c r="A310" i="87"/>
  <c r="K308" i="87"/>
  <c r="J308" i="87"/>
  <c r="K307" i="87"/>
  <c r="J307" i="87"/>
  <c r="K306" i="87"/>
  <c r="I306" i="87"/>
  <c r="A306" i="87"/>
  <c r="A304" i="87"/>
  <c r="K302" i="87"/>
  <c r="J302" i="87"/>
  <c r="K301" i="87"/>
  <c r="J301" i="87"/>
  <c r="K300" i="87"/>
  <c r="I300" i="87"/>
  <c r="A300" i="87"/>
  <c r="A298" i="87"/>
  <c r="K296" i="87"/>
  <c r="J296" i="87"/>
  <c r="K295" i="87"/>
  <c r="J295" i="87"/>
  <c r="K294" i="87"/>
  <c r="I294" i="87"/>
  <c r="A294" i="87"/>
  <c r="A292" i="87"/>
  <c r="K290" i="87"/>
  <c r="J290" i="87"/>
  <c r="K289" i="87"/>
  <c r="J289" i="87"/>
  <c r="K288" i="87"/>
  <c r="I288" i="87"/>
  <c r="A288" i="87"/>
  <c r="A286" i="87"/>
  <c r="K284" i="87"/>
  <c r="J284" i="87"/>
  <c r="K283" i="87"/>
  <c r="J283" i="87"/>
  <c r="K282" i="87"/>
  <c r="I282" i="87"/>
  <c r="A282" i="87"/>
  <c r="A280" i="87"/>
  <c r="K278" i="87"/>
  <c r="J278" i="87"/>
  <c r="K277" i="87"/>
  <c r="J277" i="87"/>
  <c r="K276" i="87"/>
  <c r="I276" i="87"/>
  <c r="A276" i="87"/>
  <c r="A274" i="87"/>
  <c r="K272" i="87"/>
  <c r="J272" i="87"/>
  <c r="K271" i="87"/>
  <c r="J271" i="87"/>
  <c r="K270" i="87"/>
  <c r="I270" i="87"/>
  <c r="A270" i="87"/>
  <c r="A268" i="87"/>
  <c r="K266" i="87"/>
  <c r="J266" i="87"/>
  <c r="K265" i="87"/>
  <c r="J265" i="87"/>
  <c r="K264" i="87"/>
  <c r="I264" i="87"/>
  <c r="A264" i="87"/>
  <c r="A262" i="87"/>
  <c r="K260" i="87"/>
  <c r="J260" i="87"/>
  <c r="K259" i="87"/>
  <c r="J259" i="87"/>
  <c r="K258" i="87"/>
  <c r="I258" i="87"/>
  <c r="A258" i="87"/>
  <c r="A256" i="87"/>
  <c r="K254" i="87"/>
  <c r="J254" i="87"/>
  <c r="K253" i="87"/>
  <c r="J253" i="87"/>
  <c r="K252" i="87"/>
  <c r="I252" i="87"/>
  <c r="A252" i="87"/>
  <c r="A250" i="87"/>
  <c r="K248" i="87"/>
  <c r="J248" i="87"/>
  <c r="K247" i="87"/>
  <c r="J247" i="87"/>
  <c r="K246" i="87"/>
  <c r="I246" i="87"/>
  <c r="A246" i="87"/>
  <c r="A244" i="87"/>
  <c r="K242" i="87"/>
  <c r="J242" i="87"/>
  <c r="K241" i="87"/>
  <c r="J241" i="87"/>
  <c r="K240" i="87"/>
  <c r="I240" i="87"/>
  <c r="A240" i="87"/>
  <c r="A238" i="87"/>
  <c r="K236" i="87"/>
  <c r="J236" i="87"/>
  <c r="K235" i="87"/>
  <c r="J235" i="87"/>
  <c r="K234" i="87"/>
  <c r="I234" i="87"/>
  <c r="A234" i="87"/>
  <c r="A232" i="87"/>
  <c r="K230" i="87"/>
  <c r="J230" i="87"/>
  <c r="K229" i="87"/>
  <c r="J229" i="87"/>
  <c r="K228" i="87"/>
  <c r="I228" i="87"/>
  <c r="A228" i="87"/>
  <c r="A226" i="87"/>
  <c r="K224" i="87"/>
  <c r="J224" i="87"/>
  <c r="K223" i="87"/>
  <c r="J223" i="87"/>
  <c r="K222" i="87"/>
  <c r="I222" i="87"/>
  <c r="A222" i="87"/>
  <c r="A220" i="87"/>
  <c r="K218" i="87"/>
  <c r="J218" i="87"/>
  <c r="K217" i="87"/>
  <c r="J217" i="87"/>
  <c r="K216" i="87"/>
  <c r="I216" i="87"/>
  <c r="A216" i="87"/>
  <c r="A214" i="87"/>
  <c r="K212" i="87"/>
  <c r="J212" i="87"/>
  <c r="K211" i="87"/>
  <c r="J211" i="87"/>
  <c r="K210" i="87"/>
  <c r="I210" i="87"/>
  <c r="A210" i="87"/>
  <c r="A208" i="87"/>
  <c r="K206" i="87"/>
  <c r="J206" i="87"/>
  <c r="K205" i="87"/>
  <c r="J205" i="87"/>
  <c r="K204" i="87"/>
  <c r="I204" i="87"/>
  <c r="A204" i="87"/>
  <c r="A202" i="87"/>
  <c r="K200" i="87"/>
  <c r="J200" i="87"/>
  <c r="K199" i="87"/>
  <c r="J199" i="87"/>
  <c r="K198" i="87"/>
  <c r="I198" i="87"/>
  <c r="A198" i="87"/>
  <c r="A196" i="87"/>
  <c r="K194" i="87"/>
  <c r="J194" i="87"/>
  <c r="K193" i="87"/>
  <c r="J193" i="87"/>
  <c r="K192" i="87"/>
  <c r="I192" i="87"/>
  <c r="A192" i="87"/>
  <c r="A190" i="87"/>
  <c r="K188" i="87"/>
  <c r="J188" i="87"/>
  <c r="K187" i="87"/>
  <c r="J187" i="87"/>
  <c r="K186" i="87"/>
  <c r="I186" i="87"/>
  <c r="A186" i="87"/>
  <c r="A184" i="87"/>
  <c r="K182" i="87"/>
  <c r="J182" i="87"/>
  <c r="K181" i="87"/>
  <c r="J181" i="87"/>
  <c r="K180" i="87"/>
  <c r="I180" i="87"/>
  <c r="A180" i="87"/>
  <c r="A178" i="87"/>
  <c r="K176" i="87"/>
  <c r="J176" i="87"/>
  <c r="K175" i="87"/>
  <c r="J175" i="87"/>
  <c r="K174" i="87"/>
  <c r="I174" i="87"/>
  <c r="A174" i="87"/>
  <c r="A172" i="87"/>
  <c r="K170" i="87"/>
  <c r="J170" i="87"/>
  <c r="K169" i="87"/>
  <c r="J169" i="87"/>
  <c r="K168" i="87"/>
  <c r="I168" i="87"/>
  <c r="A168" i="87"/>
  <c r="A166" i="87"/>
  <c r="K164" i="87"/>
  <c r="J164" i="87"/>
  <c r="K163" i="87"/>
  <c r="J163" i="87"/>
  <c r="K162" i="87"/>
  <c r="I162" i="87"/>
  <c r="A162" i="87"/>
  <c r="A160" i="87"/>
  <c r="K158" i="87"/>
  <c r="J158" i="87"/>
  <c r="K157" i="87"/>
  <c r="J157" i="87"/>
  <c r="K156" i="87"/>
  <c r="I156" i="87"/>
  <c r="A156" i="87"/>
  <c r="A154" i="87"/>
  <c r="K152" i="87"/>
  <c r="J152" i="87"/>
  <c r="K151" i="87"/>
  <c r="J151" i="87"/>
  <c r="K150" i="87"/>
  <c r="I150" i="87"/>
  <c r="A150" i="87"/>
  <c r="A148" i="87"/>
  <c r="K146" i="87"/>
  <c r="J146" i="87"/>
  <c r="K145" i="87"/>
  <c r="J145" i="87"/>
  <c r="K144" i="87"/>
  <c r="I144" i="87"/>
  <c r="A144" i="87"/>
  <c r="A142" i="87"/>
  <c r="K140" i="87"/>
  <c r="J140" i="87"/>
  <c r="K139" i="87"/>
  <c r="J139" i="87"/>
  <c r="K138" i="87"/>
  <c r="I138" i="87"/>
  <c r="A138" i="87"/>
  <c r="A136" i="87"/>
  <c r="K134" i="87"/>
  <c r="J134" i="87"/>
  <c r="K133" i="87"/>
  <c r="J133" i="87"/>
  <c r="K132" i="87"/>
  <c r="I132" i="87"/>
  <c r="A132" i="87"/>
  <c r="A130" i="87"/>
  <c r="K128" i="87"/>
  <c r="J128" i="87"/>
  <c r="K127" i="87"/>
  <c r="J127" i="87"/>
  <c r="K126" i="87"/>
  <c r="I126" i="87"/>
  <c r="A126" i="87"/>
  <c r="A124" i="87"/>
  <c r="K122" i="87"/>
  <c r="J122" i="87"/>
  <c r="K121" i="87"/>
  <c r="J121" i="87"/>
  <c r="K120" i="87"/>
  <c r="I120" i="87"/>
  <c r="A120" i="87"/>
  <c r="A118" i="87"/>
  <c r="K116" i="87"/>
  <c r="J116" i="87"/>
  <c r="K115" i="87"/>
  <c r="J115" i="87"/>
  <c r="K114" i="87"/>
  <c r="I114" i="87"/>
  <c r="A114" i="87"/>
  <c r="A112" i="87"/>
  <c r="K110" i="87"/>
  <c r="J110" i="87"/>
  <c r="K109" i="87"/>
  <c r="J109" i="87"/>
  <c r="K108" i="87"/>
  <c r="I108" i="87"/>
  <c r="A108" i="87"/>
  <c r="A106" i="87"/>
  <c r="K104" i="87"/>
  <c r="J104" i="87"/>
  <c r="K103" i="87"/>
  <c r="J103" i="87"/>
  <c r="K102" i="87"/>
  <c r="I102" i="87"/>
  <c r="A102" i="87"/>
  <c r="A100" i="87"/>
  <c r="K98" i="87"/>
  <c r="J98" i="87"/>
  <c r="K97" i="87"/>
  <c r="J97" i="87"/>
  <c r="K96" i="87"/>
  <c r="I96" i="87"/>
  <c r="A96" i="87"/>
  <c r="A94" i="87"/>
  <c r="K92" i="87"/>
  <c r="J92" i="87"/>
  <c r="K91" i="87"/>
  <c r="J91" i="87"/>
  <c r="K90" i="87"/>
  <c r="I90" i="87"/>
  <c r="A90" i="87"/>
  <c r="A88" i="87"/>
  <c r="K86" i="87"/>
  <c r="J86" i="87"/>
  <c r="K85" i="87"/>
  <c r="J85" i="87"/>
  <c r="K84" i="87"/>
  <c r="I84" i="87"/>
  <c r="A84" i="87"/>
  <c r="A82" i="87"/>
  <c r="K80" i="87"/>
  <c r="J80" i="87"/>
  <c r="K79" i="87"/>
  <c r="J79" i="87"/>
  <c r="K78" i="87"/>
  <c r="I78" i="87"/>
  <c r="A78" i="87"/>
  <c r="A76" i="87"/>
  <c r="K74" i="87"/>
  <c r="J74" i="87"/>
  <c r="K73" i="87"/>
  <c r="J73" i="87"/>
  <c r="K72" i="87"/>
  <c r="I72" i="87"/>
  <c r="A72" i="87"/>
  <c r="A70" i="87"/>
  <c r="K68" i="87"/>
  <c r="J68" i="87"/>
  <c r="K67" i="87"/>
  <c r="J67" i="87"/>
  <c r="K66" i="87"/>
  <c r="I66" i="87"/>
  <c r="A66" i="87"/>
  <c r="A64" i="87"/>
  <c r="K62" i="87"/>
  <c r="J62" i="87"/>
  <c r="K61" i="87"/>
  <c r="J61" i="87"/>
  <c r="K60" i="87"/>
  <c r="I60" i="87"/>
  <c r="A60" i="87"/>
  <c r="A58" i="87"/>
  <c r="K56" i="87"/>
  <c r="J56" i="87"/>
  <c r="K55" i="87"/>
  <c r="J55" i="87"/>
  <c r="K54" i="87"/>
  <c r="I54" i="87"/>
  <c r="A54" i="87"/>
  <c r="A52" i="87"/>
  <c r="K50" i="87"/>
  <c r="J50" i="87"/>
  <c r="K49" i="87"/>
  <c r="J49" i="87"/>
  <c r="K48" i="87"/>
  <c r="I48" i="87"/>
  <c r="A48" i="87"/>
  <c r="A46" i="87"/>
  <c r="AE44" i="87"/>
  <c r="A44" i="87"/>
  <c r="H28" i="87"/>
  <c r="J386" i="87" l="1"/>
  <c r="J389" i="87" s="1"/>
  <c r="L386" i="87"/>
  <c r="L389" i="87" s="1"/>
  <c r="L390" i="87" s="1"/>
  <c r="M200" i="73"/>
  <c r="K200" i="73"/>
  <c r="D200" i="73"/>
  <c r="K199" i="73"/>
  <c r="I199" i="73"/>
  <c r="D199" i="73"/>
  <c r="K198" i="73"/>
  <c r="I198" i="73"/>
  <c r="J208" i="73" s="1"/>
  <c r="D198" i="73"/>
  <c r="K197" i="73"/>
  <c r="L208" i="73" s="1"/>
  <c r="I197" i="73"/>
  <c r="D197" i="73"/>
  <c r="K196" i="73"/>
  <c r="J196" i="73"/>
  <c r="K195" i="73"/>
  <c r="J195" i="73"/>
  <c r="AF194" i="73"/>
  <c r="K191" i="73"/>
  <c r="J191" i="73"/>
  <c r="K190" i="73"/>
  <c r="J190" i="73"/>
  <c r="A189" i="73"/>
  <c r="K187" i="73"/>
  <c r="J187" i="73"/>
  <c r="K186" i="73"/>
  <c r="J186" i="73"/>
  <c r="K184" i="73"/>
  <c r="J184" i="73"/>
  <c r="K183" i="73"/>
  <c r="J183" i="73"/>
  <c r="A182" i="73"/>
  <c r="P179" i="73"/>
  <c r="K179" i="73"/>
  <c r="V178" i="73"/>
  <c r="U178" i="73"/>
  <c r="T178" i="73"/>
  <c r="S178" i="73"/>
  <c r="R178" i="73"/>
  <c r="Q178" i="73"/>
  <c r="K178" i="73"/>
  <c r="J178" i="73" s="1"/>
  <c r="I178" i="73"/>
  <c r="H178" i="73"/>
  <c r="G178" i="73"/>
  <c r="F178" i="73"/>
  <c r="E178" i="73"/>
  <c r="C178" i="73"/>
  <c r="K175" i="73"/>
  <c r="F175" i="73"/>
  <c r="K174" i="73"/>
  <c r="K173" i="73" s="1"/>
  <c r="I174" i="73"/>
  <c r="I173" i="73" s="1"/>
  <c r="G174" i="73"/>
  <c r="G173" i="73" s="1"/>
  <c r="H173" i="73"/>
  <c r="F172" i="73"/>
  <c r="E172" i="73"/>
  <c r="J169" i="73"/>
  <c r="I169" i="73"/>
  <c r="H169" i="73"/>
  <c r="F169" i="73"/>
  <c r="K168" i="73"/>
  <c r="F168" i="73"/>
  <c r="K167" i="73"/>
  <c r="F167" i="73"/>
  <c r="K166" i="73"/>
  <c r="F166" i="73"/>
  <c r="L165" i="73"/>
  <c r="K165" i="73"/>
  <c r="J165" i="73"/>
  <c r="I165" i="73"/>
  <c r="H165" i="73"/>
  <c r="G165" i="73"/>
  <c r="K164" i="73"/>
  <c r="I164" i="73"/>
  <c r="H164" i="73"/>
  <c r="G164" i="73"/>
  <c r="K163" i="73"/>
  <c r="I163" i="73"/>
  <c r="H163" i="73"/>
  <c r="G163" i="73"/>
  <c r="L162" i="73"/>
  <c r="K162" i="73"/>
  <c r="J162" i="73"/>
  <c r="I162" i="73"/>
  <c r="H162" i="73"/>
  <c r="G162" i="73"/>
  <c r="V161" i="73"/>
  <c r="U161" i="73"/>
  <c r="T161" i="73"/>
  <c r="L167" i="73" s="1"/>
  <c r="S161" i="73"/>
  <c r="J167" i="73" s="1"/>
  <c r="R161" i="73"/>
  <c r="L166" i="73" s="1"/>
  <c r="Q161" i="73"/>
  <c r="J166" i="73" s="1"/>
  <c r="F161" i="73"/>
  <c r="E161" i="73"/>
  <c r="A160" i="73"/>
  <c r="K158" i="73"/>
  <c r="J158" i="73"/>
  <c r="K157" i="73"/>
  <c r="J157" i="73"/>
  <c r="K155" i="73"/>
  <c r="J155" i="73"/>
  <c r="K154" i="73"/>
  <c r="J154" i="73"/>
  <c r="A153" i="73"/>
  <c r="P150" i="73"/>
  <c r="K150" i="73"/>
  <c r="V149" i="73"/>
  <c r="U149" i="73"/>
  <c r="T149" i="73"/>
  <c r="S149" i="73"/>
  <c r="R149" i="73"/>
  <c r="Q149" i="73"/>
  <c r="K149" i="73"/>
  <c r="J149" i="73" s="1"/>
  <c r="I150" i="73" s="1"/>
  <c r="I149" i="73"/>
  <c r="H149" i="73"/>
  <c r="G149" i="73"/>
  <c r="F149" i="73"/>
  <c r="E149" i="73"/>
  <c r="C149" i="73"/>
  <c r="K146" i="73"/>
  <c r="F146" i="73"/>
  <c r="K145" i="73"/>
  <c r="K144" i="73" s="1"/>
  <c r="I145" i="73"/>
  <c r="I144" i="73" s="1"/>
  <c r="G145" i="73"/>
  <c r="G144" i="73" s="1"/>
  <c r="H144" i="73"/>
  <c r="F143" i="73"/>
  <c r="E143" i="73"/>
  <c r="J140" i="73"/>
  <c r="I140" i="73"/>
  <c r="H140" i="73"/>
  <c r="F140" i="73"/>
  <c r="K139" i="73"/>
  <c r="F139" i="73"/>
  <c r="K138" i="73"/>
  <c r="F138" i="73"/>
  <c r="K137" i="73"/>
  <c r="F137" i="73"/>
  <c r="L136" i="73"/>
  <c r="K136" i="73"/>
  <c r="J136" i="73"/>
  <c r="I136" i="73"/>
  <c r="H136" i="73"/>
  <c r="G136" i="73"/>
  <c r="K135" i="73"/>
  <c r="I135" i="73"/>
  <c r="H135" i="73"/>
  <c r="G135" i="73"/>
  <c r="K134" i="73"/>
  <c r="I134" i="73"/>
  <c r="H134" i="73"/>
  <c r="G134" i="73"/>
  <c r="L133" i="73"/>
  <c r="K133" i="73"/>
  <c r="J133" i="73"/>
  <c r="I133" i="73"/>
  <c r="H133" i="73"/>
  <c r="G133" i="73"/>
  <c r="V132" i="73"/>
  <c r="U132" i="73"/>
  <c r="T132" i="73"/>
  <c r="L138" i="73" s="1"/>
  <c r="S132" i="73"/>
  <c r="J138" i="73" s="1"/>
  <c r="R132" i="73"/>
  <c r="L137" i="73" s="1"/>
  <c r="Q132" i="73"/>
  <c r="J137" i="73" s="1"/>
  <c r="F132" i="73"/>
  <c r="E132" i="73"/>
  <c r="A131" i="73"/>
  <c r="K129" i="73"/>
  <c r="J129" i="73"/>
  <c r="K128" i="73"/>
  <c r="J128" i="73"/>
  <c r="K126" i="73"/>
  <c r="J126" i="73"/>
  <c r="K125" i="73"/>
  <c r="J125" i="73"/>
  <c r="A124" i="73"/>
  <c r="P121" i="73"/>
  <c r="K121" i="73"/>
  <c r="V120" i="73"/>
  <c r="U120" i="73"/>
  <c r="T120" i="73"/>
  <c r="S120" i="73"/>
  <c r="R120" i="73"/>
  <c r="Q120" i="73"/>
  <c r="K120" i="73"/>
  <c r="J120" i="73" s="1"/>
  <c r="O121" i="73" s="1"/>
  <c r="I120" i="73"/>
  <c r="H120" i="73"/>
  <c r="G120" i="73"/>
  <c r="F120" i="73"/>
  <c r="E120" i="73"/>
  <c r="C120" i="73"/>
  <c r="K117" i="73"/>
  <c r="F117" i="73"/>
  <c r="K116" i="73"/>
  <c r="K115" i="73" s="1"/>
  <c r="I116" i="73"/>
  <c r="I115" i="73" s="1"/>
  <c r="G116" i="73"/>
  <c r="G115" i="73" s="1"/>
  <c r="H115" i="73"/>
  <c r="F114" i="73"/>
  <c r="E114" i="73"/>
  <c r="J111" i="73"/>
  <c r="I111" i="73"/>
  <c r="H111" i="73"/>
  <c r="F111" i="73"/>
  <c r="K110" i="73"/>
  <c r="F110" i="73"/>
  <c r="K109" i="73"/>
  <c r="F109" i="73"/>
  <c r="K108" i="73"/>
  <c r="F108" i="73"/>
  <c r="L107" i="73"/>
  <c r="K107" i="73"/>
  <c r="J107" i="73"/>
  <c r="I107" i="73"/>
  <c r="H107" i="73"/>
  <c r="G107" i="73"/>
  <c r="K106" i="73"/>
  <c r="I106" i="73"/>
  <c r="H106" i="73"/>
  <c r="G106" i="73"/>
  <c r="K105" i="73"/>
  <c r="I105" i="73"/>
  <c r="H105" i="73"/>
  <c r="G105" i="73"/>
  <c r="L104" i="73"/>
  <c r="K104" i="73"/>
  <c r="J104" i="73"/>
  <c r="I104" i="73"/>
  <c r="H104" i="73"/>
  <c r="G104" i="73"/>
  <c r="V103" i="73"/>
  <c r="U103" i="73"/>
  <c r="T103" i="73"/>
  <c r="L109" i="73" s="1"/>
  <c r="S103" i="73"/>
  <c r="J109" i="73" s="1"/>
  <c r="R103" i="73"/>
  <c r="L108" i="73" s="1"/>
  <c r="Q103" i="73"/>
  <c r="J108" i="73" s="1"/>
  <c r="F103" i="73"/>
  <c r="E103" i="73"/>
  <c r="A102" i="73"/>
  <c r="K100" i="73"/>
  <c r="J100" i="73"/>
  <c r="K99" i="73"/>
  <c r="J99" i="73"/>
  <c r="K97" i="73"/>
  <c r="J97" i="73"/>
  <c r="K96" i="73"/>
  <c r="J96" i="73"/>
  <c r="A95" i="73"/>
  <c r="P92" i="73"/>
  <c r="K92" i="73"/>
  <c r="V91" i="73"/>
  <c r="U91" i="73"/>
  <c r="T91" i="73"/>
  <c r="S91" i="73"/>
  <c r="R91" i="73"/>
  <c r="Q91" i="73"/>
  <c r="K91" i="73"/>
  <c r="J91" i="73" s="1"/>
  <c r="I91" i="73"/>
  <c r="H91" i="73"/>
  <c r="G91" i="73"/>
  <c r="F91" i="73"/>
  <c r="E91" i="73"/>
  <c r="C91" i="73"/>
  <c r="K88" i="73"/>
  <c r="F88" i="73"/>
  <c r="K87" i="73"/>
  <c r="K86" i="73" s="1"/>
  <c r="I87" i="73"/>
  <c r="I86" i="73" s="1"/>
  <c r="G87" i="73"/>
  <c r="G86" i="73" s="1"/>
  <c r="H86" i="73"/>
  <c r="F85" i="73"/>
  <c r="E85" i="73"/>
  <c r="J82" i="73"/>
  <c r="I82" i="73"/>
  <c r="H82" i="73"/>
  <c r="F82" i="73"/>
  <c r="K81" i="73"/>
  <c r="F81" i="73"/>
  <c r="K80" i="73"/>
  <c r="F80" i="73"/>
  <c r="K79" i="73"/>
  <c r="F79" i="73"/>
  <c r="L78" i="73"/>
  <c r="K78" i="73"/>
  <c r="J78" i="73"/>
  <c r="I78" i="73"/>
  <c r="H78" i="73"/>
  <c r="G78" i="73"/>
  <c r="K77" i="73"/>
  <c r="I77" i="73"/>
  <c r="H77" i="73"/>
  <c r="G77" i="73"/>
  <c r="K76" i="73"/>
  <c r="I76" i="73"/>
  <c r="H76" i="73"/>
  <c r="G76" i="73"/>
  <c r="L75" i="73"/>
  <c r="K75" i="73"/>
  <c r="J75" i="73"/>
  <c r="I75" i="73"/>
  <c r="H75" i="73"/>
  <c r="G75" i="73"/>
  <c r="V74" i="73"/>
  <c r="U74" i="73"/>
  <c r="T74" i="73"/>
  <c r="L80" i="73" s="1"/>
  <c r="S74" i="73"/>
  <c r="J80" i="73" s="1"/>
  <c r="R74" i="73"/>
  <c r="L79" i="73" s="1"/>
  <c r="Q74" i="73"/>
  <c r="J79" i="73" s="1"/>
  <c r="F74" i="73"/>
  <c r="E74" i="73"/>
  <c r="A73" i="73"/>
  <c r="A71" i="73"/>
  <c r="J22" i="82"/>
  <c r="J207" i="73" l="1"/>
  <c r="J210" i="73" s="1"/>
  <c r="I14" i="98" s="1"/>
  <c r="L207" i="73"/>
  <c r="L210" i="73" s="1"/>
  <c r="L218" i="73" s="1"/>
  <c r="K14" i="98" s="1"/>
  <c r="L394" i="87"/>
  <c r="L403" i="87" s="1"/>
  <c r="I15" i="98"/>
  <c r="I16" i="98" s="1"/>
  <c r="J390" i="87"/>
  <c r="L397" i="87"/>
  <c r="J15" i="98"/>
  <c r="V60" i="99"/>
  <c r="L216" i="73"/>
  <c r="L215" i="73"/>
  <c r="L224" i="73" s="1"/>
  <c r="J145" i="73"/>
  <c r="J146" i="73" s="1"/>
  <c r="L116" i="73"/>
  <c r="L115" i="73" s="1"/>
  <c r="L105" i="73" s="1"/>
  <c r="J174" i="73"/>
  <c r="J164" i="73" s="1"/>
  <c r="L87" i="73"/>
  <c r="L77" i="73" s="1"/>
  <c r="J116" i="73"/>
  <c r="J115" i="73" s="1"/>
  <c r="J105" i="73" s="1"/>
  <c r="K369" i="87"/>
  <c r="O92" i="73"/>
  <c r="I200" i="73"/>
  <c r="I92" i="73"/>
  <c r="I179" i="73"/>
  <c r="O179" i="73"/>
  <c r="L174" i="73"/>
  <c r="I121" i="73"/>
  <c r="L145" i="73"/>
  <c r="O150" i="73"/>
  <c r="J87" i="73"/>
  <c r="J14" i="98" l="1"/>
  <c r="J16" i="98" s="1"/>
  <c r="J22" i="98" s="1"/>
  <c r="J21" i="98" s="1"/>
  <c r="M21" i="98" s="1"/>
  <c r="I22" i="98"/>
  <c r="I21" i="98" s="1"/>
  <c r="L21" i="98" s="1"/>
  <c r="I410" i="87"/>
  <c r="G50" i="99"/>
  <c r="K15" i="98"/>
  <c r="K16" i="98" s="1"/>
  <c r="L399" i="87"/>
  <c r="L402" i="87" s="1"/>
  <c r="L398" i="87"/>
  <c r="L404" i="87" s="1"/>
  <c r="J135" i="73"/>
  <c r="J173" i="73"/>
  <c r="J163" i="73" s="1"/>
  <c r="J175" i="73"/>
  <c r="L117" i="73"/>
  <c r="L110" i="73" s="1"/>
  <c r="K112" i="73" s="1"/>
  <c r="J106" i="73"/>
  <c r="J144" i="73"/>
  <c r="J134" i="73" s="1"/>
  <c r="L86" i="73"/>
  <c r="L76" i="73" s="1"/>
  <c r="L88" i="73"/>
  <c r="K89" i="73" s="1"/>
  <c r="P89" i="73" s="1"/>
  <c r="L106" i="73"/>
  <c r="J117" i="73"/>
  <c r="J110" i="73" s="1"/>
  <c r="I369" i="87"/>
  <c r="J86" i="73"/>
  <c r="J76" i="73" s="1"/>
  <c r="J77" i="73"/>
  <c r="J88" i="73"/>
  <c r="L146" i="73"/>
  <c r="L144" i="73"/>
  <c r="L134" i="73" s="1"/>
  <c r="L135" i="73"/>
  <c r="L173" i="73"/>
  <c r="L163" i="73" s="1"/>
  <c r="L164" i="73"/>
  <c r="L175" i="73"/>
  <c r="I176" i="73"/>
  <c r="O176" i="73" s="1"/>
  <c r="J168" i="73"/>
  <c r="O170" i="73" s="1"/>
  <c r="I147" i="73"/>
  <c r="O147" i="73" s="1"/>
  <c r="J139" i="73"/>
  <c r="L81" i="73" l="1"/>
  <c r="P83" i="73" s="1"/>
  <c r="K95" i="73" s="1"/>
  <c r="K118" i="73"/>
  <c r="P118" i="73" s="1"/>
  <c r="C50" i="99"/>
  <c r="E50" i="99"/>
  <c r="U50" i="99" s="1"/>
  <c r="I141" i="73"/>
  <c r="K22" i="98"/>
  <c r="K21" i="98" s="1"/>
  <c r="N21" i="98" s="1"/>
  <c r="H50" i="99"/>
  <c r="K410" i="87"/>
  <c r="I118" i="73"/>
  <c r="O118" i="73" s="1"/>
  <c r="I182" i="73"/>
  <c r="O141" i="73"/>
  <c r="I153" i="73" s="1"/>
  <c r="O112" i="73"/>
  <c r="I112" i="73"/>
  <c r="I170" i="73"/>
  <c r="P112" i="73"/>
  <c r="L168" i="73"/>
  <c r="P170" i="73" s="1"/>
  <c r="K176" i="73"/>
  <c r="P176" i="73" s="1"/>
  <c r="I89" i="73"/>
  <c r="O89" i="73" s="1"/>
  <c r="J81" i="73"/>
  <c r="I83" i="73" s="1"/>
  <c r="K147" i="73"/>
  <c r="P147" i="73" s="1"/>
  <c r="L139" i="73"/>
  <c r="K141" i="73" s="1"/>
  <c r="K124" i="73" l="1"/>
  <c r="K83" i="73"/>
  <c r="F50" i="99"/>
  <c r="D50" i="99"/>
  <c r="H51" i="99"/>
  <c r="V51" i="99" s="1"/>
  <c r="V50" i="99"/>
  <c r="I124" i="73"/>
  <c r="K170" i="73"/>
  <c r="O83" i="73"/>
  <c r="I189" i="73" s="1"/>
  <c r="P141" i="73"/>
  <c r="K153" i="73" s="1"/>
  <c r="I194" i="73"/>
  <c r="J205" i="73" s="1"/>
  <c r="K182" i="73"/>
  <c r="I95" i="73" l="1"/>
  <c r="F51" i="99"/>
  <c r="D51" i="99"/>
  <c r="H52" i="99"/>
  <c r="V52" i="99" s="1"/>
  <c r="J211" i="73"/>
  <c r="J206" i="73"/>
  <c r="F14" i="98" s="1"/>
  <c r="K194" i="73"/>
  <c r="L205" i="73" s="1"/>
  <c r="L211" i="73" s="1"/>
  <c r="K189" i="73"/>
  <c r="F16" i="98" l="1"/>
  <c r="L14" i="98"/>
  <c r="L16" i="98" s="1"/>
  <c r="F52" i="99"/>
  <c r="D52" i="99"/>
  <c r="L213" i="73"/>
  <c r="L206" i="73"/>
  <c r="H28" i="82"/>
  <c r="AD17" i="82"/>
  <c r="L214" i="73" l="1"/>
  <c r="H14" i="98" s="1"/>
  <c r="G14" i="98"/>
  <c r="I408" i="87"/>
  <c r="I409" i="87" s="1"/>
  <c r="G44" i="99"/>
  <c r="L22" i="98"/>
  <c r="G46" i="99"/>
  <c r="F22" i="98"/>
  <c r="F17" i="98" s="1"/>
  <c r="L17" i="98" s="1"/>
  <c r="K88" i="82"/>
  <c r="K72" i="82"/>
  <c r="I72" i="82"/>
  <c r="D72" i="82"/>
  <c r="K71" i="82"/>
  <c r="I71" i="82"/>
  <c r="D71" i="82"/>
  <c r="K70" i="82"/>
  <c r="L77" i="82" s="1"/>
  <c r="I70" i="82"/>
  <c r="J77" i="82" s="1"/>
  <c r="D70" i="82"/>
  <c r="K69" i="82"/>
  <c r="J69" i="82"/>
  <c r="K68" i="82"/>
  <c r="J68" i="82"/>
  <c r="AF67" i="82"/>
  <c r="K65" i="82"/>
  <c r="J65" i="82"/>
  <c r="K64" i="82"/>
  <c r="J64" i="82"/>
  <c r="A63" i="82"/>
  <c r="K58" i="82"/>
  <c r="F58" i="82"/>
  <c r="K57" i="82"/>
  <c r="K56" i="82" s="1"/>
  <c r="I57" i="82"/>
  <c r="I56" i="82" s="1"/>
  <c r="G57" i="82"/>
  <c r="G56" i="82" s="1"/>
  <c r="H56" i="82"/>
  <c r="J53" i="82"/>
  <c r="I53" i="82"/>
  <c r="H53" i="82"/>
  <c r="F53" i="82"/>
  <c r="K52" i="82"/>
  <c r="F52" i="82"/>
  <c r="K51" i="82"/>
  <c r="F51" i="82"/>
  <c r="K50" i="82"/>
  <c r="F50" i="82"/>
  <c r="V49" i="82"/>
  <c r="U49" i="82"/>
  <c r="T49" i="82"/>
  <c r="S49" i="82"/>
  <c r="R49" i="82"/>
  <c r="Q49" i="82"/>
  <c r="L49" i="82"/>
  <c r="K49" i="82"/>
  <c r="J49" i="82"/>
  <c r="I49" i="82"/>
  <c r="G49" i="82"/>
  <c r="F49" i="82"/>
  <c r="E49" i="82"/>
  <c r="C49" i="82"/>
  <c r="B49" i="82"/>
  <c r="V48" i="82"/>
  <c r="U48" i="82"/>
  <c r="T48" i="82"/>
  <c r="S48" i="82"/>
  <c r="R48" i="82"/>
  <c r="Q48" i="82"/>
  <c r="L48" i="82"/>
  <c r="K48" i="82"/>
  <c r="J48" i="82"/>
  <c r="I48" i="82"/>
  <c r="G48" i="82"/>
  <c r="F48" i="82"/>
  <c r="E48" i="82"/>
  <c r="C48" i="82"/>
  <c r="B48" i="82"/>
  <c r="V47" i="82"/>
  <c r="U47" i="82"/>
  <c r="T47" i="82"/>
  <c r="S47" i="82"/>
  <c r="R47" i="82"/>
  <c r="Q47" i="82"/>
  <c r="L47" i="82"/>
  <c r="K47" i="82"/>
  <c r="J47" i="82"/>
  <c r="I47" i="82"/>
  <c r="G47" i="82"/>
  <c r="F47" i="82"/>
  <c r="E47" i="82"/>
  <c r="C47" i="82"/>
  <c r="B47" i="82"/>
  <c r="L46" i="82"/>
  <c r="K46" i="82"/>
  <c r="J46" i="82"/>
  <c r="I46" i="82"/>
  <c r="H46" i="82"/>
  <c r="G46" i="82"/>
  <c r="K45" i="82"/>
  <c r="I45" i="82"/>
  <c r="H45" i="82"/>
  <c r="G45" i="82"/>
  <c r="K44" i="82"/>
  <c r="I44" i="82"/>
  <c r="H44" i="82"/>
  <c r="G44" i="82"/>
  <c r="L43" i="82"/>
  <c r="K43" i="82"/>
  <c r="J43" i="82"/>
  <c r="I43" i="82"/>
  <c r="H43" i="82"/>
  <c r="G43" i="82"/>
  <c r="V42" i="82"/>
  <c r="U42" i="82"/>
  <c r="T42" i="82"/>
  <c r="S42" i="82"/>
  <c r="R42" i="82"/>
  <c r="Q42" i="82"/>
  <c r="F42" i="82"/>
  <c r="E42" i="82"/>
  <c r="C42" i="82"/>
  <c r="B42" i="82"/>
  <c r="A41" i="82"/>
  <c r="L220" i="73" l="1"/>
  <c r="L223" i="73" s="1"/>
  <c r="L219" i="73"/>
  <c r="L225" i="73" s="1"/>
  <c r="E46" i="99"/>
  <c r="C46" i="99"/>
  <c r="C44" i="99" s="1"/>
  <c r="G16" i="98"/>
  <c r="G22" i="98" s="1"/>
  <c r="G17" i="98" s="1"/>
  <c r="M17" i="98" s="1"/>
  <c r="M14" i="98"/>
  <c r="M16" i="98" s="1"/>
  <c r="M22" i="98" s="1"/>
  <c r="H16" i="98"/>
  <c r="N14" i="98"/>
  <c r="N16" i="98" s="1"/>
  <c r="J57" i="82"/>
  <c r="J58" i="82" s="1"/>
  <c r="K87" i="82"/>
  <c r="J50" i="82"/>
  <c r="L50" i="82"/>
  <c r="J76" i="82"/>
  <c r="I82" i="82" s="1"/>
  <c r="L51" i="82"/>
  <c r="L76" i="82"/>
  <c r="K90" i="82" s="1"/>
  <c r="K93" i="82" s="1"/>
  <c r="J51" i="82"/>
  <c r="L57" i="82"/>
  <c r="K408" i="87" l="1"/>
  <c r="K409" i="87" s="1"/>
  <c r="N22" i="98"/>
  <c r="H22" i="98"/>
  <c r="H17" i="98" s="1"/>
  <c r="N17" i="98" s="1"/>
  <c r="H46" i="99"/>
  <c r="F46" i="99" s="1"/>
  <c r="F44" i="99" s="1"/>
  <c r="E44" i="99"/>
  <c r="U44" i="99" s="1"/>
  <c r="U46" i="99"/>
  <c r="J56" i="82"/>
  <c r="J44" i="82" s="1"/>
  <c r="J45" i="82"/>
  <c r="K82" i="82"/>
  <c r="L45" i="82"/>
  <c r="L58" i="82"/>
  <c r="L56" i="82"/>
  <c r="L44" i="82" s="1"/>
  <c r="I59" i="82"/>
  <c r="O59" i="82" s="1"/>
  <c r="J52" i="82"/>
  <c r="H56" i="99" l="1"/>
  <c r="H47" i="99"/>
  <c r="H48" i="99" s="1"/>
  <c r="D46" i="99"/>
  <c r="D44" i="99" s="1"/>
  <c r="H44" i="99"/>
  <c r="V44" i="99" s="1"/>
  <c r="V46" i="99"/>
  <c r="I54" i="82"/>
  <c r="I61" i="82" s="1"/>
  <c r="O54" i="82"/>
  <c r="I67" i="82" s="1"/>
  <c r="J74" i="82" s="1"/>
  <c r="J75" i="82" s="1"/>
  <c r="K59" i="82"/>
  <c r="P59" i="82" s="1"/>
  <c r="L52" i="82"/>
  <c r="P54" i="82" s="1"/>
  <c r="F48" i="99" l="1"/>
  <c r="H58" i="99"/>
  <c r="D48" i="99"/>
  <c r="V48" i="99"/>
  <c r="D47" i="99"/>
  <c r="F47" i="99"/>
  <c r="H57" i="99"/>
  <c r="V47" i="99"/>
  <c r="D56" i="99"/>
  <c r="H62" i="99"/>
  <c r="F56" i="99"/>
  <c r="V56" i="99"/>
  <c r="N39" i="99"/>
  <c r="I63" i="82"/>
  <c r="K54" i="82"/>
  <c r="K61" i="82" s="1"/>
  <c r="I80" i="82"/>
  <c r="I81" i="82" s="1"/>
  <c r="I83" i="82" s="1"/>
  <c r="K63" i="82"/>
  <c r="K67" i="82"/>
  <c r="L74" i="82" s="1"/>
  <c r="L75" i="82" s="1"/>
  <c r="F57" i="99" l="1"/>
  <c r="D57" i="99"/>
  <c r="V57" i="99"/>
  <c r="F62" i="99"/>
  <c r="H65" i="99"/>
  <c r="D62" i="99"/>
  <c r="H63" i="99"/>
  <c r="H64" i="99" s="1"/>
  <c r="V62" i="99"/>
  <c r="D58" i="99"/>
  <c r="F58" i="99"/>
  <c r="V58" i="99"/>
  <c r="K86" i="82"/>
  <c r="K80" i="82"/>
  <c r="K81" i="82" s="1"/>
  <c r="K83" i="82" s="1"/>
  <c r="H67" i="99" l="1"/>
  <c r="F64" i="99"/>
  <c r="V64" i="99"/>
  <c r="D65" i="99"/>
  <c r="D68" i="99" s="1"/>
  <c r="V65" i="99"/>
  <c r="F65" i="99"/>
  <c r="H68" i="99"/>
  <c r="H66" i="99"/>
  <c r="F63" i="99"/>
  <c r="D63" i="99"/>
  <c r="D66" i="99" s="1"/>
  <c r="D69" i="99" s="1"/>
  <c r="V63" i="99"/>
  <c r="L85" i="82"/>
  <c r="K91" i="82"/>
  <c r="K92" i="82" s="1"/>
  <c r="K94" i="82" s="1"/>
  <c r="F68" i="99" l="1"/>
  <c r="V68" i="99"/>
  <c r="D64" i="99"/>
  <c r="D67" i="99" s="1"/>
  <c r="D70" i="99" s="1"/>
  <c r="V66" i="99"/>
  <c r="F66" i="99"/>
  <c r="H69" i="99"/>
  <c r="V67" i="99"/>
  <c r="F67" i="99"/>
  <c r="H70" i="99"/>
  <c r="F69" i="99" l="1"/>
  <c r="V69" i="99"/>
  <c r="V70" i="99"/>
  <c r="F70" i="99"/>
</calcChain>
</file>

<file path=xl/sharedStrings.xml><?xml version="1.0" encoding="utf-8"?>
<sst xmlns="http://schemas.openxmlformats.org/spreadsheetml/2006/main" count="2121" uniqueCount="404">
  <si>
    <t>№ п/п</t>
  </si>
  <si>
    <t xml:space="preserve">№ раздела </t>
  </si>
  <si>
    <t>Наименование объектов строительства и работ</t>
  </si>
  <si>
    <t>СМР</t>
  </si>
  <si>
    <t>Материалы</t>
  </si>
  <si>
    <t>Всего</t>
  </si>
  <si>
    <t>Производитель работ</t>
  </si>
  <si>
    <t>Стоимость                                                    в базовых                                                                   ценах</t>
  </si>
  <si>
    <t>Стоимость в текущих ценах К=1,0</t>
  </si>
  <si>
    <t>Стоимость                                                    в базовых ценах</t>
  </si>
  <si>
    <t>Стоимость                                                   в текущих ценах К=1,0</t>
  </si>
  <si>
    <t>Стоимость                                                    в базовых                                                                        ценах</t>
  </si>
  <si>
    <t>1</t>
  </si>
  <si>
    <t>ПНР</t>
  </si>
  <si>
    <t xml:space="preserve">Прочие затраты </t>
  </si>
  <si>
    <t>Утверждена постановлением Госкомстата России</t>
  </si>
  <si>
    <t>от 11.11.99. № 100</t>
  </si>
  <si>
    <t>Код</t>
  </si>
  <si>
    <t>Форма по ОКУД</t>
  </si>
  <si>
    <t>0322005</t>
  </si>
  <si>
    <t/>
  </si>
  <si>
    <t>по ОКПО</t>
  </si>
  <si>
    <t>организация, адрес, телефон, факс</t>
  </si>
  <si>
    <t>Стройка</t>
  </si>
  <si>
    <t>наименование, адрес</t>
  </si>
  <si>
    <t>Объект</t>
  </si>
  <si>
    <t>наименование</t>
  </si>
  <si>
    <t xml:space="preserve">Вид деятельности по ОКДП  </t>
  </si>
  <si>
    <t xml:space="preserve">Договор подряда  </t>
  </si>
  <si>
    <t>номер</t>
  </si>
  <si>
    <t>дата</t>
  </si>
  <si>
    <t>Номер документа</t>
  </si>
  <si>
    <t>Дата составления</t>
  </si>
  <si>
    <t>Отчетный период</t>
  </si>
  <si>
    <t>с</t>
  </si>
  <si>
    <t>по</t>
  </si>
  <si>
    <t>AKT</t>
  </si>
  <si>
    <t>О ПРИЕМКЕ ВЫПОЛНЕННЫХ РАБОТ</t>
  </si>
  <si>
    <t>Номер</t>
  </si>
  <si>
    <t>Шифр расценки и коды ресурсов</t>
  </si>
  <si>
    <t>Наименование работ и затрат</t>
  </si>
  <si>
    <t>п/п</t>
  </si>
  <si>
    <t>поз. по сме-те</t>
  </si>
  <si>
    <t>ЗП</t>
  </si>
  <si>
    <t>ЭМ</t>
  </si>
  <si>
    <t>в т.ч. ЗПМ</t>
  </si>
  <si>
    <t>МР</t>
  </si>
  <si>
    <t>НР от ЗП</t>
  </si>
  <si>
    <t>%</t>
  </si>
  <si>
    <t>СП от ЗП</t>
  </si>
  <si>
    <t>НР и СП от ЗПМ</t>
  </si>
  <si>
    <t>ЗТР</t>
  </si>
  <si>
    <t>чел-ч</t>
  </si>
  <si>
    <t>)*(1.67-1)</t>
  </si>
  <si>
    <t xml:space="preserve">   Итого по ТСН-2001.16</t>
  </si>
  <si>
    <t xml:space="preserve">   Итого возвратных сумм</t>
  </si>
  <si>
    <t>03997784</t>
  </si>
  <si>
    <t>Итого по разделу</t>
  </si>
  <si>
    <t>в т.ч. ЗП и ЗПМ</t>
  </si>
  <si>
    <t>в т. ч. Материалы</t>
  </si>
  <si>
    <t>Прочие</t>
  </si>
  <si>
    <t>Юго-Западный участок ТПК, ст."Проспект Вернадского" - ст."Можайская". 6 этап: "Участок линии от ст."Проспект Вернадского" до ст.Аминьевское шоссе"</t>
  </si>
  <si>
    <t>Оборудование</t>
  </si>
  <si>
    <t>№ чертежа</t>
  </si>
  <si>
    <t>Рег. № сметы</t>
  </si>
  <si>
    <r>
      <t xml:space="preserve">Прочие (К=1,15 к ЗП и ЗПМ - </t>
    </r>
    <r>
      <rPr>
        <b/>
        <i/>
        <sz val="12"/>
        <rFont val="Arial"/>
        <family val="2"/>
        <charset val="204"/>
      </rPr>
      <t>Распоряжение №761-РП от 23.12.15</t>
    </r>
    <r>
      <rPr>
        <b/>
        <sz val="12"/>
        <rFont val="Arial"/>
        <family val="2"/>
        <charset val="204"/>
      </rPr>
      <t>)</t>
    </r>
  </si>
  <si>
    <t>Сметная (договорная) стоимость в соответствии с договором подряда (субподряда)</t>
  </si>
  <si>
    <t xml:space="preserve"> тыс.руб</t>
  </si>
  <si>
    <t>Кол-во
единиц</t>
  </si>
  <si>
    <t>Цена на
ед. изм.,
руб.</t>
  </si>
  <si>
    <t>СМР с ВЗИС</t>
  </si>
  <si>
    <t>ЗП+ЗПМ с К=0,15 (Увеличение на оплату труда с учетом Распоряжения №761-РП от 23.12.2015)</t>
  </si>
  <si>
    <t>ИТОГО с ВЗИС и К=1,15</t>
  </si>
  <si>
    <t>(доверенность № 1-9.0-4402 от 26.10.2020г.)</t>
  </si>
  <si>
    <t>Итого по акту:</t>
  </si>
  <si>
    <t>Ед. изм.</t>
  </si>
  <si>
    <t>Попра-
вочные
коэффи-
циенты</t>
  </si>
  <si>
    <t>Коэффи-
циенты
зимних
удорожа-
ний</t>
  </si>
  <si>
    <t>Всего
затрат в
базисном
уровне цен,
руб.</t>
  </si>
  <si>
    <t>Коэффи-
циенты
(индек-
сы) пере-
счета,
нормы
НР и СП</t>
  </si>
  <si>
    <t>ВСЕГО
затрат в
текущем
уровне цен,
руб.</t>
  </si>
  <si>
    <t>Всего по позиции:</t>
  </si>
  <si>
    <t>Доплата к эксплуатации строительных машин</t>
  </si>
  <si>
    <t>03324364</t>
  </si>
  <si>
    <t>А.В. Исаев</t>
  </si>
  <si>
    <t>Инвестор-Застройщик</t>
  </si>
  <si>
    <t>ГУП "Московский метрополитен", 129110, г.Москва, Проспект Мира, д.41</t>
  </si>
  <si>
    <t>Заказчик Генподрядчик</t>
  </si>
  <si>
    <t>АО "Мосинжпроект", 101990, г. Москва, Сверчков пер., д.4/1, +7(495) 625-25-44</t>
  </si>
  <si>
    <t>Юго-Западный участок БКЛ ст. "Проспект Вернадского" - ст. "Кунцевская"</t>
  </si>
  <si>
    <t>6 этап. Ст. "Аминьевское шоссе"</t>
  </si>
  <si>
    <t>9555м</t>
  </si>
  <si>
    <t>Составлен(а) по ТСН-2001 с учетом Дополнения №: 58</t>
  </si>
  <si>
    <t>№ и период сборника коэффициентов (индексов) пересчета: ТСН-2001 МГЭ строительство №169 октябрь 2020 года</t>
  </si>
  <si>
    <t>48837-ТПК_5-0699-Р-ССР2- изм.1.1 12-4017-Л-Р-11.4.3.1-ОВ1.1-СМ1К</t>
  </si>
  <si>
    <t>Станционный комплекс "Аминьевское шоссе". Вестибюль №2, камера съездов, ТПП. Внутренние инженерные системы. Отопление, вентиляция, кондиционирование, дымоудаление. Вентиляция. 6 этап.</t>
  </si>
  <si>
    <r>
      <t>3.29-1940-1</t>
    </r>
    <r>
      <rPr>
        <i/>
        <sz val="10"/>
        <rFont val="Arial"/>
        <family val="2"/>
        <charset val="204"/>
      </rPr>
      <t xml:space="preserve">
Поправка: ТСН-2001.3-29. О.П. п.4.1  </t>
    </r>
  </si>
  <si>
    <t>Установка каркасно-панельных кондиционеров</t>
  </si>
  <si>
    <t>41/1</t>
  </si>
  <si>
    <r>
      <t>Приточная каркасно-панельная установка Вероса-300-039-05-61-У3</t>
    </r>
    <r>
      <rPr>
        <i/>
        <sz val="10"/>
        <color rgb="FF7030A0"/>
        <rFont val="Arial"/>
        <family val="2"/>
        <charset val="204"/>
      </rPr>
      <t xml:space="preserve">
Базисная стоимость: 137 717,41 = [607 755,58 /  4,6] +  3% Трансп +  1,2% Заг.скл</t>
    </r>
  </si>
  <si>
    <t>Прайсы!!!!!</t>
  </si>
  <si>
    <t>80/1</t>
  </si>
  <si>
    <r>
      <t>Приточная каркасно-панельная установка Вероса-300-019-05-61-У3</t>
    </r>
    <r>
      <rPr>
        <i/>
        <sz val="10"/>
        <color rgb="FF7030A0"/>
        <rFont val="Arial"/>
        <family val="2"/>
        <charset val="204"/>
      </rPr>
      <t xml:space="preserve">
Базисная стоимость: 105 230,91 = [464 390,61 /  4,6] +  3% Трансп +  1,2% Заг.скл</t>
    </r>
  </si>
  <si>
    <t>162/1</t>
  </si>
  <si>
    <r>
      <t>Приточная каркасно-панельная установка Вероса-300-078-05-00-У3</t>
    </r>
    <r>
      <rPr>
        <i/>
        <sz val="10"/>
        <color rgb="FF7030A0"/>
        <rFont val="Arial"/>
        <family val="2"/>
        <charset val="204"/>
      </rPr>
      <t xml:space="preserve">
Базисная стоимость: 66 150,67 = [291 927,04 /  4,6] +  3% Трансп +  1,2% Заг.скл</t>
    </r>
  </si>
  <si>
    <r>
      <t>3.29-1940-1</t>
    </r>
    <r>
      <rPr>
        <i/>
        <sz val="10"/>
        <rFont val="Arial"/>
        <family val="2"/>
        <charset val="204"/>
      </rPr>
      <t xml:space="preserve">
Поправка: ТСН-2001.3-29. О.П. п.4.1 </t>
    </r>
  </si>
  <si>
    <t>307/1</t>
  </si>
  <si>
    <r>
      <t>Приточная каркасно-панельная установка Вероса-300-058-05-00-У3</t>
    </r>
    <r>
      <rPr>
        <i/>
        <sz val="10"/>
        <color rgb="FF7030A0"/>
        <rFont val="Arial"/>
        <family val="2"/>
        <charset val="204"/>
      </rPr>
      <t xml:space="preserve">
Базисная стоимость: 55 745,61 = [246 008,82 /  4,6] +  3% Трансп +  1,2% Заг.скл</t>
    </r>
  </si>
  <si>
    <t>Обслуживающие процессы 12 %</t>
  </si>
  <si>
    <t>ВЗИС (5,61% от СМР и обслуж. процессов)</t>
  </si>
  <si>
    <t>ИТОГО с К=0,95</t>
  </si>
  <si>
    <t>в т.ч. Материалы с К=1</t>
  </si>
  <si>
    <t>Прочие с К=1</t>
  </si>
  <si>
    <t>ЗП и ЗПМ</t>
  </si>
  <si>
    <t>ВЗИС (5,61% от СМР и обс. процессов)</t>
  </si>
  <si>
    <t>И.о. директора Дирекции строящегося метрополитена</t>
  </si>
  <si>
    <t>ГУП "Московский метрополитен"</t>
  </si>
  <si>
    <t>А.А. Платонов</t>
  </si>
  <si>
    <t>Заказчик-генподрядчик</t>
  </si>
  <si>
    <t>Директор</t>
  </si>
  <si>
    <t xml:space="preserve">дирекции метро-9 АО "Мосинжпроект"  </t>
  </si>
  <si>
    <t>6</t>
  </si>
  <si>
    <t>Составлен(а) в уровне текущих (прогнозных) цен Коэффициенты ТСН МГЭ №163 апрель 2020 года</t>
  </si>
  <si>
    <t>Единица измерения</t>
  </si>
  <si>
    <t>Попра-
вочные
коэфф.</t>
  </si>
  <si>
    <t>Коэфф.
зимних
удоро-
жаний</t>
  </si>
  <si>
    <t>ВСЕГО в
базисном
уровне цен,
руб.</t>
  </si>
  <si>
    <t>Коэфф.
пере-
счета и
нормы
НР и СП</t>
  </si>
  <si>
    <t>Всего в
текущем
уровне цен,
руб.</t>
  </si>
  <si>
    <t>Доплата к эксплуатации строительных машин (от ЗПМ)</t>
  </si>
  <si>
    <t>Всего с доплатой</t>
  </si>
  <si>
    <t>Инвестор-застройщик</t>
  </si>
  <si>
    <t>(доверенность № НЮ-09/922 от 11.10.2019г.)</t>
  </si>
  <si>
    <t>Станционный комплекс "Аминьевское шоссе". Вестибюль №2. Камера съездов. ТПП. Архитектурные решения слуебных и технических помещений. Уровни кассового зала и машинного зала эскалаторов</t>
  </si>
  <si>
    <t>Работы выполнены в марте 2020 г.</t>
  </si>
  <si>
    <t>Установка стальных конструкций, остающихся в теле бетона, 0,744т+8,123т+0,542т=9,409т</t>
  </si>
  <si>
    <t>Трубы стальные электросварные прямошовные, ГОСТ 10705-80, ГОСТ 10704-91, наружный диаметр 89 мм, толщина стенки 4 мм</t>
  </si>
  <si>
    <t>17.96</t>
  </si>
  <si>
    <t>48701-ТПК_5-0647-Р-ССР2-доп.1/12-4017-Л-Р-11.4.1.2.1-АР1-СМ1-Доп.1</t>
  </si>
  <si>
    <t>Трубы стальные электросварные прямошовные, ГОСТ 10705-80, ГОСТ 10704-91, наружный диаметр 57 мм, толщина стенки 3 мм</t>
  </si>
  <si>
    <t>Трубы стальные электросварные прямошовные, ГОСТ 10705-80, ГОСТ 10704-91, наружный диаметр 108 мм, толщина стенки 4 мм</t>
  </si>
  <si>
    <r>
      <t>3.11-36-1</t>
    </r>
    <r>
      <rPr>
        <i/>
        <sz val="10"/>
        <rFont val="Arial"/>
        <family val="2"/>
        <charset val="204"/>
      </rPr>
      <t xml:space="preserve">
Поправка: ТСН-2001.3-29. О.П. п.4.1</t>
    </r>
  </si>
  <si>
    <t>Устройство полов из керамических крупноразмерных плиток типа керамогранит на клее из сухих смесей толщиной слоя 4 мм с затиркой швов</t>
  </si>
  <si>
    <t>Смеси сухие для заполнения швов между плитками, цветные</t>
  </si>
  <si>
    <t>Смеси сухие клеевые, высокоадгезионные, высокоэластичные, для внутренних и наружных работ, для укладки напольной, настенной и потолочной плитки из керамики, мозаики, натурального камня и керамогранита</t>
  </si>
  <si>
    <t>Плитки керамические, типа керамогранит, неполированные, размер 30х30 см, толщина 8 мм, цвет: зеленый, вишневый, голубой, черный</t>
  </si>
  <si>
    <r>
      <t>3.15-165-1</t>
    </r>
    <r>
      <rPr>
        <i/>
        <sz val="10"/>
        <rFont val="Arial"/>
        <family val="2"/>
        <charset val="204"/>
      </rPr>
      <t xml:space="preserve">
Поправка: ТСН-2001.3-29. О.П. п.4.1</t>
    </r>
  </si>
  <si>
    <t>Обработка поверхностей стен грунтовкой глубокого проникновения внутри помещения</t>
  </si>
  <si>
    <t>Грунтовка акриловая концентрированная универсальная с высокой клеевой и проникающей способностью</t>
  </si>
  <si>
    <t>2</t>
  </si>
  <si>
    <t>3</t>
  </si>
  <si>
    <t>4</t>
  </si>
  <si>
    <t>5</t>
  </si>
  <si>
    <t>7</t>
  </si>
  <si>
    <t>8</t>
  </si>
  <si>
    <t>9</t>
  </si>
  <si>
    <t>10</t>
  </si>
  <si>
    <t>ЗП машинистов</t>
  </si>
  <si>
    <t>Основная ЗП рабочих</t>
  </si>
  <si>
    <t>Станционный комплекс "Аминьевское шоссе"</t>
  </si>
  <si>
    <t>(48701 доп.1) 12-4017-Л-Р-11.4.1.2.1-АР1-СМ1-Доп1  Ст.комплекс Аминьевское шоссе. Вестибюль №2, камера съездов, ТПП. АР. Уровень кассового зала и машинного зала эскалаторов.</t>
  </si>
  <si>
    <t>11</t>
  </si>
  <si>
    <t>14</t>
  </si>
  <si>
    <t>15</t>
  </si>
  <si>
    <t>13</t>
  </si>
  <si>
    <t>Станционный комплекс "Аминьевское шоссе".Платформенная часть.Архитектурные решения служебных и технических помещений. Уровень платформы.</t>
  </si>
  <si>
    <t>48837-ТПК_5-0699-Р-ССР2- изм.1.1</t>
  </si>
  <si>
    <t>ООО Строй-Монтаж2002</t>
  </si>
  <si>
    <t>Составлен(а) по ТСН-2001 с учетом Дополнения №: 59</t>
  </si>
  <si>
    <t xml:space="preserve">Итого по акту: </t>
  </si>
  <si>
    <t>Кроме того: Увеличение на оплату труда по Распоряжению № 761-РП от 23.12.2015г.</t>
  </si>
  <si>
    <t xml:space="preserve">12-4017-Л-Р-11.4.3.1-ОВ1.1-СМ1к доп2 МИП  </t>
  </si>
  <si>
    <t>Станционный комплекс "Аминьевское шоссе". Вестибюль №2, камера сьездов, ТПП. Внутренние инженерные системы. Отопление, вентиляция, кондиционирование, дымоудаление. Вентиляция</t>
  </si>
  <si>
    <t>Монтаж оборудования в разделе 17.55 от 28.02.2021</t>
  </si>
  <si>
    <t>Оборудования в разделе 17.55доп2 от 28.02.2021</t>
  </si>
  <si>
    <t>№ и период сборника коэффициентов (индексов) пересчета: Коэффициенты к ТСН-2001 МГЭ №166 июль 2020 года</t>
  </si>
  <si>
    <t xml:space="preserve">48837-ТПК_5-0699-Р-ССР2 изм. 1.1. доп 2 МИП   12-4017-Л-Р-11.4.3.1-ОВ1.1-СМ1к доп2 МИП  </t>
  </si>
  <si>
    <r>
      <t>ОБОРУДОВАНИЕ:
Установка приточная, каркасно-панельная специального назначения сторона обслуживания –справа, габаритные размеры 1000х800х3530 мм, блоков/моноблоков 7/7 комплектно: 1. Блок воздухоприемный (один горизонтальный клапан), горизонтальный внешний клапан сверху, с приводом ( LF230-S*), с гибкой вставкой 895х355 мм,  2. Фильтр панельный, класс G3, 3. Воздухонагреватель электрический , мощностью Qт=23 кВт температура нагрева от +10?С до +16?С, 4. Камера промежуточная, исполнение: базовое, 5. Вентилятор L=4390 м3/ч Р=410Па, с электродвигателем мощностью N=1,5кВт, 6. Шумоглушитель, 1000х800 мм, 7. Камера промежуточная, исполнение: поворот вверх, гибкая вставка 320х895 мм, электропитание 380В/3Ф/50Гц</t>
    </r>
    <r>
      <rPr>
        <i/>
        <sz val="10"/>
        <color rgb="FF821E82"/>
        <rFont val="Arial"/>
        <family val="2"/>
        <charset val="204"/>
      </rPr>
      <t xml:space="preserve">
Базисная стоимость: 70 375,74 = [317 108,07 /  4,56] +  1,2% Заг.скл</t>
    </r>
  </si>
  <si>
    <r>
      <t>ОБОРУДОВАНИЕ:
Установка приточная, каркасно-панельная специального назначения сторона обслуживания –слева, габаритные размеры 1000х800х2970 мм, блоков/моноблоков 7/6, комплектно: 1. Моноблок, 1000х800 мм, 1.1. Передняя панель с клапаном, вертикальный внешний клапан, с приводом (NF230A-S2*), с гибкой вставкой 895х695 мм, 1.2 Фильтр панельный, класс G3,  2. Воздухонагреватель электрический , мощностью Qт=23кВт, температура нагрева от +10?С до +16?С, 3. Камера промежуточная, исполнение: базовое, 4. Вентилятор L=4700м3/ч Р=490Па, с электродвигателем мощностью N=2,2 кВт, 5. Шумоглушитель,  1000х800 мм, 6. Камера промежуточная, исполнение: поворот вверх, гибкая вставка  320х895, электропитание 380В/3Ф/50Гц</t>
    </r>
    <r>
      <rPr>
        <i/>
        <sz val="10"/>
        <color rgb="FF821E82"/>
        <rFont val="Arial"/>
        <family val="2"/>
        <charset val="204"/>
      </rPr>
      <t xml:space="preserve">
Базисная стоимость: 64 960,45 = [292 707,17 /  4,56] +  1,2% Заг.скл</t>
    </r>
  </si>
  <si>
    <r>
      <t>ОБОРУДОВАНИЕ:
Установка вытяжная каркасно-панельная специального назначения сторона обслуживания – справа, габаритные размеры 1050х700х3800 мм, блоков/моноблоков 13/13, комплектно: 1. Камера промежуточная, исполнение: поворот сверху с гибкой вставкой 320х595, 2. Шумоглушитель, bхh=700х450 мм, 3. Блок перехода на резервный вентилятор, исполнение: тройник с клапаном отвод вверх с приводом (LМ230А-S*), 4. Камера промежуточная, исполнение: базовое, 5. Вентилятор L=1090 м3/ч Рсети=200Па, с электродвигателем мощностью N=0,18кВт, 6. Камера промежуточная, исполнение: базовое 2 c клапаном с приводом (LМ230А-S*), 7. Блок перехода на резервный вентилятор, исполнение: тройник, подвод сверху, 8. Блок воздухоприемный (один горизонтальный клапан), горизонтальный внешний клапан сверху, с приводом ( LF230-S*), гибкая вставка 595х345 мм, 9. Блок перехода на резервный вентилятор, исполнение: поворот с клапаном подвод снизу, с приводом (LМ230А-S*), 10. Камера промежуточная, исполнение: базовое, 11. Вентилятор L=1090 м3/ч Рсети=200Па, с электродвигателем мощностью N=0,18кВт, 12. Камера промежуточная, исполнение: базовое 2 c клапаном с приводом (LМ230А-S*), 13. Блок перехода на резервный вентилятор, исполнение: разворот вниз, электропитание 380В/3Ф/50Гц</t>
    </r>
    <r>
      <rPr>
        <i/>
        <sz val="10"/>
        <color rgb="FF821E82"/>
        <rFont val="Arial"/>
        <family val="2"/>
        <charset val="204"/>
      </rPr>
      <t xml:space="preserve">
Базисная стоимость: 91 901,71 = [414 102,57 /  4,56] +  1,2% Заг.скл</t>
    </r>
  </si>
  <si>
    <r>
      <t>Вентилятор радиальный, типоразмер 080,  режим работы-ДУ400, исполнение общепромышленное, номинальная мощность Nном=4,0 кВт, число полюсов 6, без частотного регулирования скорости,  климатическое исполнение У2,  конструктивное исполнение 1, положение корпуса Л0, без ТШК</t>
    </r>
    <r>
      <rPr>
        <i/>
        <sz val="10"/>
        <rFont val="Arial"/>
        <family val="2"/>
        <charset val="204"/>
      </rPr>
      <t xml:space="preserve">
Базисная стоимость: 16 188,50 = [88 560,62 /  5,58] +  2% Заг.скл</t>
    </r>
  </si>
  <si>
    <r>
      <t>3.6-1-1</t>
    </r>
    <r>
      <rPr>
        <i/>
        <sz val="10"/>
        <rFont val="Arial"/>
        <family val="2"/>
        <charset val="204"/>
      </rPr>
      <t xml:space="preserve">
Поправка: ТСН-2001.3-29. О.П. п.4.1</t>
    </r>
  </si>
  <si>
    <t>Устройство бетонной подготовки</t>
  </si>
  <si>
    <t>Смеси бетонные, БСГ, тяжелого бетона на гравийном щебне, фракция 5-20, класс прочности В12,5 (М150); П3, F50, W2</t>
  </si>
  <si>
    <r>
      <t>3.6-1-1/1</t>
    </r>
    <r>
      <rPr>
        <i/>
        <sz val="10"/>
        <rFont val="Arial"/>
        <family val="2"/>
        <charset val="204"/>
      </rPr>
      <t xml:space="preserve">
Поправка: ТСН-2001.3-29. О.П. п.4.1</t>
    </r>
  </si>
  <si>
    <r>
      <t>3.11-4-1</t>
    </r>
    <r>
      <rPr>
        <i/>
        <sz val="10"/>
        <rFont val="Arial"/>
        <family val="2"/>
        <charset val="204"/>
      </rPr>
      <t xml:space="preserve">
Поправка: ТСН-2001.3-29. О.П. п.4.1</t>
    </r>
  </si>
  <si>
    <t>Устройство первого слоя оклеечной гидроизоляции рулонными материалами на битумной мастике</t>
  </si>
  <si>
    <r>
      <t>3.11-4-1/1</t>
    </r>
    <r>
      <rPr>
        <i/>
        <sz val="10"/>
        <rFont val="Arial"/>
        <family val="2"/>
        <charset val="204"/>
      </rPr>
      <t xml:space="preserve">
Поправка: ТСН-2001.3-29. О.П. п.4.1</t>
    </r>
  </si>
  <si>
    <r>
      <t>3.11-4-2</t>
    </r>
    <r>
      <rPr>
        <i/>
        <sz val="10"/>
        <rFont val="Arial"/>
        <family val="2"/>
        <charset val="204"/>
      </rPr>
      <t xml:space="preserve">
Поправка: ТСН-2001.3-29. О.П. п.4.1</t>
    </r>
  </si>
  <si>
    <t>Добавляется на каждый последующий слой к позиции 3.11-4-1</t>
  </si>
  <si>
    <r>
      <t>3.11-4-2/1</t>
    </r>
    <r>
      <rPr>
        <i/>
        <sz val="10"/>
        <rFont val="Arial"/>
        <family val="2"/>
        <charset val="204"/>
      </rPr>
      <t xml:space="preserve">
Поправка: ТСН-2001.3-29. О.П. п.4.1</t>
    </r>
  </si>
  <si>
    <r>
      <t>3.11-10-1</t>
    </r>
    <r>
      <rPr>
        <i/>
        <sz val="10"/>
        <rFont val="Arial"/>
        <family val="2"/>
        <charset val="204"/>
      </rPr>
      <t xml:space="preserve">
Поправка: ТСН-2001.3-29. О.П. п.4.1</t>
    </r>
  </si>
  <si>
    <t>Устройство стяжек цементных толщиной 20 мм</t>
  </si>
  <si>
    <t>Растворы цементные, марка 150</t>
  </si>
  <si>
    <r>
      <t>3.11-10-1/1</t>
    </r>
    <r>
      <rPr>
        <i/>
        <sz val="10"/>
        <rFont val="Arial"/>
        <family val="2"/>
        <charset val="204"/>
      </rPr>
      <t xml:space="preserve">
Поправка: ТСН-2001.3-29. О.П. п.4.1</t>
    </r>
  </si>
  <si>
    <r>
      <t>3.11-10-2</t>
    </r>
    <r>
      <rPr>
        <i/>
        <sz val="10"/>
        <rFont val="Arial"/>
        <family val="2"/>
        <charset val="204"/>
      </rPr>
      <t xml:space="preserve">
Поправка: ТСН-2001.3-29. О.П. п.4.1</t>
    </r>
  </si>
  <si>
    <t>Добавляется или исключается на каждые 5 мм изменения толщины стяжки к позиции 3.11-10-1</t>
  </si>
  <si>
    <r>
      <t>3.11-10-2/1</t>
    </r>
    <r>
      <rPr>
        <i/>
        <sz val="10"/>
        <rFont val="Arial"/>
        <family val="2"/>
        <charset val="204"/>
      </rPr>
      <t xml:space="preserve">
Поправка: ТСН-2001.3-29. О.П. п.4.1</t>
    </r>
  </si>
  <si>
    <r>
      <t>3.6-6-10</t>
    </r>
    <r>
      <rPr>
        <i/>
        <sz val="10"/>
        <rFont val="Arial"/>
        <family val="2"/>
        <charset val="204"/>
      </rPr>
      <t xml:space="preserve">
Поправка: ТСН-2001.3-29. О.П. п.4.1</t>
    </r>
  </si>
  <si>
    <t>Армирование подстилающих слоев и набетонок</t>
  </si>
  <si>
    <t>Каркасы и сетки арматурные плоские, собранные и сваренные (связанные) в арматурные изделия, класс ВР-I, диаметр 5 мм</t>
  </si>
  <si>
    <r>
      <t>3.6-6-10/1</t>
    </r>
    <r>
      <rPr>
        <i/>
        <sz val="10"/>
        <rFont val="Arial"/>
        <family val="2"/>
        <charset val="204"/>
      </rPr>
      <t xml:space="preserve">
Поправка: ТСН-2001.3-29. О.П. п.4.1</t>
    </r>
  </si>
  <si>
    <r>
      <t>3.11-36-1/1</t>
    </r>
    <r>
      <rPr>
        <i/>
        <sz val="10"/>
        <rFont val="Arial"/>
        <family val="2"/>
        <charset val="204"/>
      </rPr>
      <t xml:space="preserve">
Поправка: ТСН-2001.3-29. О.П. п.4.1</t>
    </r>
  </si>
  <si>
    <r>
      <t>3.15-165-1/1</t>
    </r>
    <r>
      <rPr>
        <i/>
        <sz val="10"/>
        <rFont val="Arial"/>
        <family val="2"/>
        <charset val="204"/>
      </rPr>
      <t xml:space="preserve">
Поправка: ТСН-2001.3-29. О.П. п.4.1</t>
    </r>
  </si>
  <si>
    <t xml:space="preserve">Составлен(а) по ТСН-2001 с учетом Дополнения №: </t>
  </si>
  <si>
    <t>Установка противопожарных металлических однопольных дверных блоков</t>
  </si>
  <si>
    <t>Установка дверного доводчика к металлическим дверям</t>
  </si>
  <si>
    <t>Доводчик дверной типа «НОРА-M» №4S, масса двери до 120 кг</t>
  </si>
  <si>
    <t>12</t>
  </si>
  <si>
    <t>№ и период сборника коэффициентов (индексов) пересчета: Коэффициенты к ТСН-2001 МГЭ №162 март 2020 года</t>
  </si>
  <si>
    <t>)*(1.67-1)*6</t>
  </si>
  <si>
    <t>Материал рулонный кровельный и гидроизоляционный наплавляемый битумно-полимерный, водостойкий, типа "Техноэласт ЭПП"</t>
  </si>
  <si>
    <t>48482-ТПК_5-0569-Р-ССР2 12-4017-Л-Р-11.3.1.2.2-АР2-СМ1 (ЮЗ-6-2-3)</t>
  </si>
  <si>
    <t>Устройство армокирпичных перегородок</t>
  </si>
  <si>
    <r>
      <t>3.7-58-2</t>
    </r>
    <r>
      <rPr>
        <i/>
        <sz val="10"/>
        <rFont val="Arial"/>
        <family val="2"/>
        <charset val="204"/>
      </rPr>
      <t xml:space="preserve">
Поправка: ТСН-2001.3-29. О.П. п.4.1</t>
    </r>
  </si>
  <si>
    <t>Устройство герметизации горизонтальных стыков стеновых панелей минераловатными пакетами</t>
  </si>
  <si>
    <t>Клей мастика (резиновый), КН-2</t>
  </si>
  <si>
    <t>Плиты минераловатные теплоизоляционные на битумном связующем, полужесткие</t>
  </si>
  <si>
    <r>
      <t>3.7-58-2/1</t>
    </r>
    <r>
      <rPr>
        <i/>
        <sz val="10"/>
        <rFont val="Arial"/>
        <family val="2"/>
        <charset val="204"/>
      </rPr>
      <t xml:space="preserve">
Поправка: ТСН-2001.3-29. О.П. п.4.1</t>
    </r>
  </si>
  <si>
    <r>
      <t>3.9-74-1</t>
    </r>
    <r>
      <rPr>
        <i/>
        <sz val="10"/>
        <rFont val="Arial"/>
        <family val="2"/>
        <charset val="204"/>
      </rPr>
      <t xml:space="preserve">
Поправка: ТСН-2001.3-29. О.П. п.4.1</t>
    </r>
  </si>
  <si>
    <t>Блоки дверные металлические противопожарные, дымогазонепроницаемые, теплоизолированные плитами на основе базальтового волокна, окрашенные порошковыми красками, марка ДПМД-01/60, однопольные, 900х2100 мм, масса 96 кг, с замком-защелкой, без доводчика</t>
  </si>
  <si>
    <t>Блоки дверные металлические для ниш инженерных коммуникаций, марка ДМО-2, размеры 805х2000 мм</t>
  </si>
  <si>
    <t>Блоки дверные металлические противопожарные, дымогазонепроницаемые, теплоизолированные плитами на основе базальтового волокна, окрашенные порошковыми красками, марка ДПМД-01/60, однопольные, 1000х2100 мм, масса 105 кг, с замком-защелкой, без доводчика</t>
  </si>
  <si>
    <r>
      <t>3.9-74-1/1</t>
    </r>
    <r>
      <rPr>
        <i/>
        <sz val="10"/>
        <rFont val="Arial"/>
        <family val="2"/>
        <charset val="204"/>
      </rPr>
      <t xml:space="preserve">
Поправка: ТСН-2001.3-29. О.П. п.4.1</t>
    </r>
  </si>
  <si>
    <r>
      <t>3.9-74-2</t>
    </r>
    <r>
      <rPr>
        <i/>
        <sz val="10"/>
        <rFont val="Arial"/>
        <family val="2"/>
        <charset val="204"/>
      </rPr>
      <t xml:space="preserve">
Поправка: ТСН-2001.3-29. О.П. п.4.1</t>
    </r>
  </si>
  <si>
    <t>Установка противопожарных металлических двупольных дверных блоков</t>
  </si>
  <si>
    <t>Блоки дверные металлические противопожарные, дымогазонепроницаемые, теплоизолированные плитами на основе базальтового волокна, окрашенные порошковыми красками, марка ДПМД-02/60, двупольные, размеры 1300х2100 мм, масса 138 кг, с замком-защелкой, без доводчика</t>
  </si>
  <si>
    <r>
      <t>3.9-74-2/1</t>
    </r>
    <r>
      <rPr>
        <i/>
        <sz val="10"/>
        <rFont val="Arial"/>
        <family val="2"/>
        <charset val="204"/>
      </rPr>
      <t xml:space="preserve">
Поправка: ТСН-2001.3-29. О.П. п.4.1</t>
    </r>
  </si>
  <si>
    <r>
      <t>3.10-79-1</t>
    </r>
    <r>
      <rPr>
        <i/>
        <sz val="10"/>
        <rFont val="Arial"/>
        <family val="2"/>
        <charset val="204"/>
      </rPr>
      <t xml:space="preserve">
Поправка: ТСН-2001.3-29. О.П. п.4.1</t>
    </r>
  </si>
  <si>
    <t>Установка врезных дверных замков с ручками в готовые гнезда</t>
  </si>
  <si>
    <t>Замок врезной ЗВ4-14</t>
  </si>
  <si>
    <r>
      <t>3.10-79-1/1</t>
    </r>
    <r>
      <rPr>
        <i/>
        <sz val="10"/>
        <rFont val="Arial"/>
        <family val="2"/>
        <charset val="204"/>
      </rPr>
      <t xml:space="preserve">
Поправка: ТСН-2001.3-29. О.П. п.4.1</t>
    </r>
  </si>
  <si>
    <r>
      <t>3.10-82-1</t>
    </r>
    <r>
      <rPr>
        <i/>
        <sz val="10"/>
        <rFont val="Arial"/>
        <family val="2"/>
        <charset val="204"/>
      </rPr>
      <t xml:space="preserve">
Поправка: ТСН-2001.3-29. О.П. п.4.1</t>
    </r>
  </si>
  <si>
    <t>Доводчик дверной типа «НОРА-M» №5S, масса двери до 150 кг</t>
  </si>
  <si>
    <r>
      <t>3.10-82-1/1</t>
    </r>
    <r>
      <rPr>
        <i/>
        <sz val="10"/>
        <rFont val="Arial"/>
        <family val="2"/>
        <charset val="204"/>
      </rPr>
      <t xml:space="preserve">
Поправка: ТСН-2001.3-29. О.П. п.4.1</t>
    </r>
  </si>
  <si>
    <r>
      <t>3.7-23-10</t>
    </r>
    <r>
      <rPr>
        <i/>
        <sz val="10"/>
        <rFont val="Arial"/>
        <family val="2"/>
        <charset val="204"/>
      </rPr>
      <t xml:space="preserve">
Поправка: ТСН-2001.3-29. О.П. п.4.1</t>
    </r>
  </si>
  <si>
    <t>Укладка перемычек массой до 0,3 т</t>
  </si>
  <si>
    <t>Перемычки железобетонные брусковые, марка 1ПБ, 2ПБ, 3ПБ, 5ПБ</t>
  </si>
  <si>
    <t>10.8</t>
  </si>
  <si>
    <t>Устройство армокирпичных перегородок (армирование, входящее в расц.=4,117т)</t>
  </si>
  <si>
    <r>
      <t>3.8-3-1</t>
    </r>
    <r>
      <rPr>
        <i/>
        <sz val="10"/>
        <rFont val="Arial"/>
        <family val="2"/>
        <charset val="204"/>
      </rPr>
      <t xml:space="preserve">
Поправка: ТСН-2001.3-29. О.П. п.4.1</t>
    </r>
  </si>
  <si>
    <t>Кладка стен наружных простых при высоте этажа до 4 м</t>
  </si>
  <si>
    <t>Кирпич керамический обыкновенный, размер 250х120х65 мм, марка 150</t>
  </si>
  <si>
    <t>Растворы цементно-известковые, марка 100</t>
  </si>
  <si>
    <r>
      <t>3.8-8-1</t>
    </r>
    <r>
      <rPr>
        <i/>
        <sz val="10"/>
        <rFont val="Arial"/>
        <family val="2"/>
        <charset val="204"/>
      </rPr>
      <t xml:space="preserve">
Поправка: ТСН-2001.3-29. О.П. п.4.1</t>
    </r>
  </si>
  <si>
    <t>Армирование кладки стен и других конструкций (Общий вес ст.оц.сетки5Вр-1 50х50=5,996т. Вес сетки, учтенный в п.83=4,117т. Итого вес сетки 5,996т - 4,117т=1,879т)</t>
  </si>
  <si>
    <r>
      <t>3.8-8-1/1</t>
    </r>
    <r>
      <rPr>
        <i/>
        <sz val="10"/>
        <rFont val="Arial"/>
        <family val="2"/>
        <charset val="204"/>
      </rPr>
      <t xml:space="preserve">
Поправка: ТСН-2001.3-29. О.П. п.4.1</t>
    </r>
  </si>
  <si>
    <t>Обработка поверхностей стен грунтовкой глубокого проникновения внутри помещения (кирпичных перегородок)</t>
  </si>
  <si>
    <t>Грунтовка полиуретановая для бетона М100-М300 и других минеральных поверхностей (прим. "Элакор-ПУ Грунт-2К/50)</t>
  </si>
  <si>
    <t>Перемычки железобетонные брусковые, марка 1ПБ, 2ПБ, 3ПБ, 5ПБ    (2ПБ10-1п = 0,017м3*12шт=0,204м3)</t>
  </si>
  <si>
    <t>Перемычки железобетонные брусковые, марка 1ПБ, 2ПБ, 3ПБ, 5ПБ   (2ПБ13-1п = 0,022м3*75шт=1,65м3)</t>
  </si>
  <si>
    <t>Перемычки железобетонные брусковые, марка 1ПБ, 2ПБ, 3ПБ, 5ПБ    (2ПБ17-2п = 0,028м3*18шт=0,504м3)</t>
  </si>
  <si>
    <t>Стоимость материалов (всего)</t>
  </si>
  <si>
    <t>48701-ТПК_5-0647-Р-ССР2 12-4017-Л-Р-11.4.1.2.1-АР1-СМ1 (ЮЗ-6-2-3)
 Станционный комплекс "Аминьевское шоссе". Вестибюль №2, камера съездов, ТПП. Архитектурные решения служебных и технических помещений. Уровни кассового зала и машинного зала эскалаторов.</t>
  </si>
  <si>
    <r>
      <t>3.11-10-11</t>
    </r>
    <r>
      <rPr>
        <i/>
        <sz val="10"/>
        <rFont val="Arial"/>
        <family val="2"/>
        <charset val="204"/>
      </rPr>
      <t xml:space="preserve">
Поправка: ТСН-2001.3-29. О.П. п.4.1</t>
    </r>
  </si>
  <si>
    <t>Устройство самовыравнивающихся стяжек из специализированных сухих смесей толщиной 5 мм</t>
  </si>
  <si>
    <t>Грунтовка водно-дисперсионная глубокопроникающая, универсальная, марка "Церезит СТ 17"</t>
  </si>
  <si>
    <r>
      <t>3.11-10-11/1</t>
    </r>
    <r>
      <rPr>
        <i/>
        <sz val="10"/>
        <rFont val="Arial"/>
        <family val="2"/>
        <charset val="204"/>
      </rPr>
      <t xml:space="preserve">
Поправка: ТСН-2001.3-29. О.П. п.4.1</t>
    </r>
  </si>
  <si>
    <r>
      <t>3.11-10-12</t>
    </r>
    <r>
      <rPr>
        <i/>
        <sz val="10"/>
        <rFont val="Arial"/>
        <family val="2"/>
        <charset val="204"/>
      </rPr>
      <t xml:space="preserve">
Поправка: ТСН-2001.3-29. О.П. п.4.1</t>
    </r>
  </si>
  <si>
    <r>
      <t>3.11-10-12/1</t>
    </r>
    <r>
      <rPr>
        <i/>
        <sz val="10"/>
        <rFont val="Arial"/>
        <family val="2"/>
        <charset val="204"/>
      </rPr>
      <t xml:space="preserve">
Поправка: ТСН-2001.3-29. О.П. п.4.1</t>
    </r>
  </si>
  <si>
    <t>)*(1.67-1)*10</t>
  </si>
  <si>
    <t>10.14</t>
  </si>
  <si>
    <t>№ и период сборника коэффициентов (индексов) пересчета: Коэффициенты к ТСН-2001 МГЭ №161 февраль 2020 года</t>
  </si>
  <si>
    <t>49109-ТПК_5-0867-Р-ССР2-изм.1.1 12-4017-Л-Р-11.4.1.2.2-АР1-СМ1К
Станционный комплекс "Аминьевское шоссе" с пристанционными сооружениями. Вестибюль №2. Конструкции фахверка.</t>
  </si>
  <si>
    <t>Смеси бетонные, БСГ, тяжелого бетона на гранитном щебне, класс прочности В3,5 (М50); фракция 5-20</t>
  </si>
  <si>
    <t>)*6</t>
  </si>
  <si>
    <t>Плиты керамические, типа керамогранит, неполированные, размер 600х600х10 мм, артикул цвета ST 043; 072; 093</t>
  </si>
  <si>
    <t>Смеси сухие цементные типа Церезит, с минеральными заполнителями и полимерными модификаторами, самовыравнивающиеся, для подготовки поверхности пола под укладку покрытий, толщина слоя от 3 до 60 мм, марка 150</t>
  </si>
  <si>
    <t>Добавляется или исключается на каждый 1 мм изменения толщины стяжки к позиции 3.11-10-11</t>
  </si>
  <si>
    <t>)*10</t>
  </si>
  <si>
    <r>
      <t>3.6-6-7</t>
    </r>
    <r>
      <rPr>
        <i/>
        <sz val="10"/>
        <rFont val="Arial"/>
        <family val="2"/>
        <charset val="204"/>
      </rPr>
      <t xml:space="preserve">
Поправка: ТСН-2001.3-29. О.П. п.4.1</t>
    </r>
  </si>
  <si>
    <t>Установка закладных деталей весом до 4 кг</t>
  </si>
  <si>
    <t>Трубы стальные электросварные прямошовные, ГОСТ 10705-80, ГОСТ 10704-91, наружный диаметр 102 мм, толщина стенки 3 мм</t>
  </si>
  <si>
    <r>
      <t>3.6-6-7/1</t>
    </r>
    <r>
      <rPr>
        <i/>
        <sz val="10"/>
        <rFont val="Arial"/>
        <family val="2"/>
        <charset val="204"/>
      </rPr>
      <t xml:space="preserve">
Поправка: ТСН-2001.3-29. О.П. п.4.1</t>
    </r>
  </si>
  <si>
    <r>
      <t>3.6-100-2</t>
    </r>
    <r>
      <rPr>
        <i/>
        <sz val="10"/>
        <rFont val="Arial"/>
        <family val="2"/>
        <charset val="204"/>
      </rPr>
      <t xml:space="preserve">
Поправка: ТСН-2001.3-29. О.П. п.4.1</t>
    </r>
  </si>
  <si>
    <t>Устройство швов деформационных типа АКВАСТОП, марка ДШВ 35/5 в бетонных и железобетонных конструкциях</t>
  </si>
  <si>
    <t>Конструкции швов деформационных тип "Аквастоп", марка "ДШВ", с резиновым компенсатором и направляющими из алюминиевых профилей</t>
  </si>
  <si>
    <r>
      <t>3.6-100-2/1</t>
    </r>
    <r>
      <rPr>
        <i/>
        <sz val="10"/>
        <rFont val="Arial"/>
        <family val="2"/>
        <charset val="204"/>
      </rPr>
      <t xml:space="preserve">
Поправка: ТСН-2001.3-29. О.П. п.4.1</t>
    </r>
  </si>
  <si>
    <t>Унифицированная форма № КС-2</t>
  </si>
  <si>
    <t>04741510</t>
  </si>
  <si>
    <t>Инвестор-Застройщик:</t>
  </si>
  <si>
    <t>ГУП "Московский метрополитен" 129110, г.Москва, проспект Мира, д. 41 стр.2</t>
  </si>
  <si>
    <t>Заказчик-Генподрядчик:</t>
  </si>
  <si>
    <t>АО "Мосинжпроект" 101000, г.Москва, Сверчков пер., д.4/1</t>
  </si>
  <si>
    <t>Подрядчик</t>
  </si>
  <si>
    <t>ООО "МИП-Строй №1", 101000, г. Москва, Девяткин пер., д.5, стр.3., комн.204</t>
  </si>
  <si>
    <t xml:space="preserve">Вид операции  </t>
  </si>
  <si>
    <r>
      <t xml:space="preserve">Заказчик - Генподрядчик: </t>
    </r>
    <r>
      <rPr>
        <sz val="16"/>
        <rFont val="Times New Roman"/>
        <family val="1"/>
        <charset val="204"/>
      </rPr>
      <t>АО "Мосинжпроект"</t>
    </r>
  </si>
  <si>
    <r>
      <rPr>
        <b/>
        <sz val="16"/>
        <rFont val="Times New Roman"/>
        <family val="1"/>
        <charset val="204"/>
      </rPr>
      <t>Подрядчик:</t>
    </r>
    <r>
      <rPr>
        <sz val="16"/>
        <rFont val="Times New Roman"/>
        <family val="1"/>
        <charset val="204"/>
      </rPr>
      <t xml:space="preserve"> ООО "МИП-Строй №1"</t>
    </r>
  </si>
  <si>
    <r>
      <t xml:space="preserve">Субподрядчик: </t>
    </r>
    <r>
      <rPr>
        <sz val="16"/>
        <rFont val="Times New Roman"/>
        <family val="1"/>
        <charset val="204"/>
      </rPr>
      <t>ООО "СТРОЙ-МОНТАЖ 2002"</t>
    </r>
  </si>
  <si>
    <r>
      <rPr>
        <b/>
        <sz val="16"/>
        <rFont val="Times New Roman"/>
        <family val="1"/>
        <charset val="204"/>
      </rPr>
      <t xml:space="preserve">Объект: </t>
    </r>
    <r>
      <rPr>
        <sz val="16"/>
        <rFont val="Times New Roman"/>
        <family val="1"/>
        <charset val="204"/>
      </rPr>
      <t>Юго-западный участок третьего пересадочного контура, ст. метро "Проспект вернадского" - ст. метро "Можайская" (ст. Аминьевское шоссе, Мичуренский проспект)</t>
    </r>
  </si>
  <si>
    <r>
      <t xml:space="preserve">Контракт: </t>
    </r>
    <r>
      <rPr>
        <sz val="16"/>
        <rFont val="Times New Roman"/>
        <family val="1"/>
        <charset val="204"/>
      </rPr>
      <t>№779-1119-ЗП-МИП1/Н 12.12.2019</t>
    </r>
  </si>
  <si>
    <t>Стоимость давальческих материалов</t>
  </si>
  <si>
    <t>Стоимость давальческих оборудования</t>
  </si>
  <si>
    <t>Стоимость в текущих ценах                                                                                                                                                                                          к1=0,925</t>
  </si>
  <si>
    <t xml:space="preserve">Субподрядчик: </t>
  </si>
  <si>
    <t xml:space="preserve">  Генеральный директор ООО "Строй-Монтаж 2002"     </t>
  </si>
  <si>
    <t>/Д.В. Алексеев/</t>
  </si>
  <si>
    <t xml:space="preserve">Подрядчик: </t>
  </si>
  <si>
    <t xml:space="preserve"> Генеральный директор ООО "МИП-Строй №1"</t>
  </si>
  <si>
    <t>/К.В. Маслаков/</t>
  </si>
  <si>
    <t>РЕЕСТР №9</t>
  </si>
  <si>
    <t>Унифицированная форма № КС-3</t>
  </si>
  <si>
    <t>Утверждена Постановлением Госкомстата РФ</t>
  </si>
  <si>
    <t>от 11.11.99 №100</t>
  </si>
  <si>
    <t>Инвестор-Застройщик: ГУП "Московский метрополитен" 129110, г.Москва, проспект Мира, д. 41 стр.2</t>
  </si>
  <si>
    <t xml:space="preserve"> 03997784</t>
  </si>
  <si>
    <t>Заказчик-Генподрядчик: АО "Мосинжпроект" 101000, г.Москва, Сверчков пер., д.4/1</t>
  </si>
  <si>
    <t>29478604</t>
  </si>
  <si>
    <t>Подрядчик: ООО "МИП-Строй №1", 101000, г. Москва, Девяткин пер., д.5, стр.3., комн.204</t>
  </si>
  <si>
    <t>01140469</t>
  </si>
  <si>
    <t xml:space="preserve">Субподрядчик: ООО "СТРОЙ-МОНТАЖ 2002", 125362, г. Москва, улица Свободы, дом 17,Э Подвал П I ком. 1, оф. 2 </t>
  </si>
  <si>
    <t>Стройка: Юго-Западный участок ТПК, ст."Проспект Вернадского" - ст."Можайская". 6 этап: "Участок линии от ст."Проспект Вернадского" до ст.Аминьевское шоссе"</t>
  </si>
  <si>
    <t>Главстройгрупп (к0,7)</t>
  </si>
  <si>
    <t>Объект: Юго-Западный участок ТПК, ст."Проспект Вернадского" - ст."Можайская". 6 этап: "Участок линии от ст."Проспект Вернадского" до ст.Аминьевское шоссе"</t>
  </si>
  <si>
    <t>779-1119-ЗП-МИП1/Н</t>
  </si>
  <si>
    <t>СПРАВКА
О  СТОИМОСТИ ВЫПОЛНЕННЫХ РАБОТ И ЗАТРАТ</t>
  </si>
  <si>
    <t xml:space="preserve">ВЫВЕРЕННАЯ ПРАВИЛЬНАЯ </t>
  </si>
  <si>
    <t>\</t>
  </si>
  <si>
    <t xml:space="preserve"> №№
п/п</t>
  </si>
  <si>
    <t>Наименование пусковых комплексов, объектов, видов работ, оборудования, затрат</t>
  </si>
  <si>
    <t xml:space="preserve">    СТОИМОСТЬ  ВЫПОЛНЕННЫХ  РАБОТ  И  ЗАТРАТ</t>
  </si>
  <si>
    <t>С начала проведения работ</t>
  </si>
  <si>
    <t>С начала года</t>
  </si>
  <si>
    <t>В том числе: отчетный месяц</t>
  </si>
  <si>
    <t>В базовых ценах</t>
  </si>
  <si>
    <t>В текущ. ценах</t>
  </si>
  <si>
    <t xml:space="preserve">В текущ. ценах </t>
  </si>
  <si>
    <t>Декабрь 2020 №6</t>
  </si>
  <si>
    <t>декабрь 2020 №7</t>
  </si>
  <si>
    <t>Всего работ и затрат , включаемых в стоимость работ</t>
  </si>
  <si>
    <t xml:space="preserve"> в том числе:</t>
  </si>
  <si>
    <t>НДС - 20%</t>
  </si>
  <si>
    <t>Итого СМР с НДС 20%</t>
  </si>
  <si>
    <t>Итого прочие с НДС 20%</t>
  </si>
  <si>
    <t>Итого оборудование с НДС 20%</t>
  </si>
  <si>
    <r>
      <t xml:space="preserve">Всего работ и затрат облагаемых налогом </t>
    </r>
    <r>
      <rPr>
        <b/>
        <i/>
        <sz val="10"/>
        <color indexed="10"/>
        <rFont val="Times New Roman"/>
        <family val="1"/>
        <charset val="204"/>
      </rPr>
      <t xml:space="preserve"> </t>
    </r>
  </si>
  <si>
    <r>
      <t>Итого НДС</t>
    </r>
    <r>
      <rPr>
        <b/>
        <i/>
        <sz val="10"/>
        <color indexed="10"/>
        <rFont val="Times New Roman"/>
        <family val="1"/>
        <charset val="204"/>
      </rPr>
      <t xml:space="preserve"> </t>
    </r>
  </si>
  <si>
    <r>
      <t xml:space="preserve">ВСЕГО с НДС </t>
    </r>
    <r>
      <rPr>
        <b/>
        <i/>
        <sz val="10"/>
        <color indexed="10"/>
        <rFont val="Times New Roman"/>
        <family val="1"/>
        <charset val="204"/>
      </rPr>
      <t xml:space="preserve"> </t>
    </r>
  </si>
  <si>
    <t>Материал Подрядчика</t>
  </si>
  <si>
    <t>16</t>
  </si>
  <si>
    <t>Оборудование Подрядчика</t>
  </si>
  <si>
    <t>Удержания:</t>
  </si>
  <si>
    <t>Гарантийное удержание 2%</t>
  </si>
  <si>
    <t>Итого гарангтийное удержание 2% с НДС 20%</t>
  </si>
  <si>
    <t xml:space="preserve">Всего удержания </t>
  </si>
  <si>
    <t>-</t>
  </si>
  <si>
    <t>Итого НДС</t>
  </si>
  <si>
    <t>ВСЕГО удержаний с НДС 20%</t>
  </si>
  <si>
    <t xml:space="preserve">Всего к оплате </t>
  </si>
  <si>
    <t xml:space="preserve">Итого НДС </t>
  </si>
  <si>
    <t xml:space="preserve">ВСЕГО К ОПЛАТЕ с НДС </t>
  </si>
  <si>
    <t xml:space="preserve">Генеральный директор                                          ООО "МИП-Строй №1"      </t>
  </si>
  <si>
    <t>________________________________________________________________________</t>
  </si>
  <si>
    <t>К.В. Маслаков</t>
  </si>
  <si>
    <t>М.П.</t>
  </si>
  <si>
    <t>Субподрядчик</t>
  </si>
  <si>
    <t>Генеральный директор ООО "Строй-Монтаж 2002"</t>
  </si>
  <si>
    <t>Д.В. Алексеев</t>
  </si>
  <si>
    <t xml:space="preserve">ООО "СТРОЙ-МОНТАЖ 2002", 125362, г. Москва, улица Свободы, дом 17,Э Подвал П I ком. 1, оф. 2 </t>
  </si>
  <si>
    <t>12-4017-Л-Р-8.3.1-ВК-СМ1 Инженерные системы. Тонельный водопровод и водоотвод</t>
  </si>
  <si>
    <t>Раздел 1/17.55</t>
  </si>
  <si>
    <t>Раздел 2/17.55доп.2</t>
  </si>
  <si>
    <t>Итого по акту с К=0,925 с К-1,15 к ЗП и ЗПМ</t>
  </si>
  <si>
    <t>Итого по Акту с К=0,925+К=1,15 без стоимости материалов Подрядчика</t>
  </si>
  <si>
    <t>в том числе:    СМР</t>
  </si>
  <si>
    <t xml:space="preserve">                         прочие затраты</t>
  </si>
  <si>
    <t xml:space="preserve">                         ПНР</t>
  </si>
  <si>
    <t xml:space="preserve">                         оборудование </t>
  </si>
  <si>
    <t xml:space="preserve">Давальческое оборудование </t>
  </si>
  <si>
    <t>Давальческий материал</t>
  </si>
  <si>
    <t xml:space="preserve">ЗП+ЗПМ с К=0,15 </t>
  </si>
  <si>
    <t>ИТОГО с К=1,15</t>
  </si>
  <si>
    <t>ИТОГО с к=0,925</t>
  </si>
  <si>
    <t xml:space="preserve">Итого по Акту №6 с  К=1,15 </t>
  </si>
  <si>
    <t>В том числе                   СМР</t>
  </si>
  <si>
    <t xml:space="preserve">                                           прочие</t>
  </si>
  <si>
    <t xml:space="preserve">                                           ПНР</t>
  </si>
  <si>
    <t xml:space="preserve">                           оборудование</t>
  </si>
  <si>
    <t>Принял: Генеральный директор  ООО "МИП-Строй №1"</t>
  </si>
  <si>
    <t>Сдал: Генеральный директор ООО "СТРОЙ-МОНТАЖ 2002"</t>
  </si>
  <si>
    <t>Д.В.Алексеев</t>
  </si>
  <si>
    <t>1/17.55</t>
  </si>
  <si>
    <t>2/17.55доп2</t>
  </si>
  <si>
    <t xml:space="preserve"> 12-4017-Л-Р-11.4.3.1-ОВ1.1-СМ1К</t>
  </si>
  <si>
    <t xml:space="preserve">48837-ТПК_5-0699-Р-ССР2 изм. 1.1. доп 2 МИП   </t>
  </si>
  <si>
    <t>Январь 2021</t>
  </si>
  <si>
    <t xml:space="preserve"> актов выполненных работ за Февраль 2021г.  </t>
  </si>
  <si>
    <t>о стоимости выполненных работ и затрат в базовых и текущих ценах за Февраль 2021 г.</t>
  </si>
  <si>
    <t>Вероса-300-039-05-61-У3</t>
  </si>
  <si>
    <t>№4599 от 07.12.20 (6389286)</t>
  </si>
  <si>
    <t>№4599 от 07.12.20 (6389297)</t>
  </si>
  <si>
    <t>Вероса-300-078-05-00-У3</t>
  </si>
  <si>
    <t>№4592 от 07.12.20 (6389307)</t>
  </si>
  <si>
    <t>Вероса-300-058-05-00-У3</t>
  </si>
  <si>
    <t>№4609 от 07.12.20 (6389302)</t>
  </si>
  <si>
    <t>Кондиционер ВЕРОСА-300-039-05-61-У3 по бланк-заказ 191001286в-ОПР</t>
  </si>
  <si>
    <t xml:space="preserve">Кондиционер ВЕРОСА-300-039-05-61-У3 по бланк-заказ 191001292б-ОПР </t>
  </si>
  <si>
    <t>Кондиционер ВЕРОСА-300-078-05-00-У3 по бланк-заказ 191001298а-ОПР</t>
  </si>
  <si>
    <t>Кондиционер ВЕРОСА-300-058-05-00-У3 по  бланк-заказ 191001296-ОПР</t>
  </si>
  <si>
    <t>шт.</t>
  </si>
  <si>
    <t>МКЭ-33-1256/20-16 от 16.10.2020</t>
  </si>
  <si>
    <t>ИТОГО</t>
  </si>
  <si>
    <t>Всего по Акту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</si>
</sst>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3" formatCode="_-* #,##0.00_-;\-* #,##0.00_-;_-* &quot;-&quot;??_-;_-@_-"/>
    <numFmt numFmtId="164" formatCode="_-* #,##0.00\ _₽_-;\-* #,##0.00\ _₽_-;_-* &quot;-&quot;??\ _₽_-;_-@_-"/>
    <numFmt numFmtId="165" formatCode="_-* #,##0.00_р_._-;\-* #,##0.00_р_._-;_-* &quot;-&quot;??_р_._-;_-@_-"/>
    <numFmt numFmtId="166" formatCode="* #,##0.00;* \-#,##0.00;* &quot;-&quot;??;@"/>
    <numFmt numFmtId="167" formatCode="#,##0.00_ ;[Red]\-#,##0.00\ "/>
    <numFmt numFmtId="168" formatCode="#,##0.00####;[Red]\-\ #,##0.00####"/>
    <numFmt numFmtId="169" formatCode="#,##0.00;[Red]\-\ #,##0.00"/>
    <numFmt numFmtId="170" formatCode="#,##0.00_ ;\-#,##0.00\ "/>
    <numFmt numFmtId="171" formatCode="_-* #,##0_р_._-;\-* #,##0_р_._-;_-* &quot;-&quot;??_р_._-;_-@_-"/>
    <numFmt numFmtId="172" formatCode="#,##0_ ;\-#,##0\ "/>
    <numFmt numFmtId="173" formatCode="_-* #,##0\ _₽_-;\-* #,##0\ _₽_-;_-* &quot;-&quot;??\ _₽_-;_-@_-"/>
  </numFmts>
  <fonts count="96" x14ac:knownFonts="1">
    <font>
      <sz val="8"/>
      <color indexed="64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64"/>
      <name val="Arial"/>
      <family val="2"/>
      <charset val="204"/>
    </font>
    <font>
      <sz val="10"/>
      <name val="Arial Cyr"/>
      <charset val="204"/>
    </font>
    <font>
      <sz val="9"/>
      <color indexed="64"/>
      <name val="Arial"/>
      <family val="2"/>
      <charset val="204"/>
    </font>
    <font>
      <sz val="8"/>
      <color indexed="64"/>
      <name val="Courier New"/>
      <family val="3"/>
      <charset val="204"/>
    </font>
    <font>
      <sz val="8"/>
      <name val="Courier New"/>
      <family val="3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4"/>
      <name val="Arial"/>
      <family val="2"/>
      <charset val="204"/>
    </font>
    <font>
      <b/>
      <sz val="16"/>
      <name val="Arial"/>
      <family val="2"/>
      <charset val="204"/>
    </font>
    <font>
      <sz val="16"/>
      <name val="Arial"/>
      <family val="2"/>
      <charset val="204"/>
    </font>
    <font>
      <sz val="20"/>
      <name val="Arial"/>
      <family val="2"/>
      <charset val="204"/>
    </font>
    <font>
      <sz val="18"/>
      <name val="Arial"/>
      <family val="2"/>
      <charset val="204"/>
    </font>
    <font>
      <sz val="14"/>
      <name val="Arial"/>
      <family val="2"/>
      <charset val="204"/>
    </font>
    <font>
      <sz val="11"/>
      <name val="Arial"/>
      <family val="2"/>
      <charset val="204"/>
    </font>
    <font>
      <b/>
      <sz val="18"/>
      <name val="Arial"/>
      <family val="2"/>
      <charset val="204"/>
    </font>
    <font>
      <sz val="9"/>
      <name val="Arial"/>
      <family val="2"/>
      <charset val="204"/>
    </font>
    <font>
      <b/>
      <sz val="11"/>
      <name val="Arial"/>
      <family val="2"/>
      <charset val="204"/>
    </font>
    <font>
      <b/>
      <sz val="13"/>
      <name val="Arial"/>
      <family val="2"/>
      <charset val="204"/>
    </font>
    <font>
      <i/>
      <sz val="10"/>
      <name val="Arial"/>
      <family val="2"/>
      <charset val="204"/>
    </font>
    <font>
      <i/>
      <sz val="11"/>
      <name val="Arial"/>
      <family val="2"/>
      <charset val="204"/>
    </font>
    <font>
      <sz val="12"/>
      <name val="Arial"/>
      <family val="2"/>
      <charset val="204"/>
    </font>
    <font>
      <b/>
      <sz val="12"/>
      <name val="Arial"/>
      <family val="2"/>
      <charset val="204"/>
    </font>
    <font>
      <sz val="10"/>
      <name val="Arial"/>
      <family val="2"/>
      <charset val="204"/>
    </font>
    <font>
      <b/>
      <sz val="14"/>
      <color rgb="FFFF0000"/>
      <name val="Arial"/>
      <family val="2"/>
      <charset val="204"/>
    </font>
    <font>
      <b/>
      <sz val="15"/>
      <name val="Arial"/>
      <family val="2"/>
      <charset val="204"/>
    </font>
    <font>
      <b/>
      <i/>
      <sz val="12"/>
      <name val="Arial"/>
      <family val="2"/>
      <charset val="204"/>
    </font>
    <font>
      <sz val="10"/>
      <color rgb="FFFF0000"/>
      <name val="Arial"/>
      <family val="2"/>
      <charset val="204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color indexed="8"/>
      <name val="Calibri"/>
      <family val="2"/>
      <charset val="204"/>
    </font>
    <font>
      <sz val="11"/>
      <color rgb="FFFF0000"/>
      <name val="Arial"/>
      <family val="2"/>
      <charset val="204"/>
    </font>
    <font>
      <sz val="11"/>
      <color rgb="FF7030A0"/>
      <name val="Arial"/>
      <family val="2"/>
      <charset val="204"/>
    </font>
    <font>
      <i/>
      <sz val="10"/>
      <color rgb="FF7030A0"/>
      <name val="Arial"/>
      <family val="2"/>
      <charset val="204"/>
    </font>
    <font>
      <i/>
      <sz val="11"/>
      <color rgb="FF7030A0"/>
      <name val="Arial"/>
      <family val="2"/>
      <charset val="204"/>
    </font>
    <font>
      <sz val="10"/>
      <color rgb="FF7030A0"/>
      <name val="Arial"/>
      <family val="2"/>
      <charset val="204"/>
    </font>
    <font>
      <b/>
      <sz val="11"/>
      <color rgb="FF7030A0"/>
      <name val="Arial"/>
      <family val="2"/>
      <charset val="204"/>
    </font>
    <font>
      <sz val="11"/>
      <color indexed="64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i/>
      <sz val="11"/>
      <name val="Arial"/>
      <family val="2"/>
      <charset val="204"/>
    </font>
    <font>
      <b/>
      <sz val="12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0"/>
      <name val="Arial"/>
      <family val="2"/>
      <charset val="204"/>
    </font>
    <font>
      <b/>
      <u/>
      <sz val="11"/>
      <name val="Arial"/>
      <family val="2"/>
      <charset val="204"/>
    </font>
    <font>
      <sz val="11"/>
      <color rgb="FF821E82"/>
      <name val="Arial"/>
      <family val="2"/>
      <charset val="204"/>
    </font>
    <font>
      <i/>
      <sz val="11"/>
      <color rgb="FF821E82"/>
      <name val="Arial"/>
      <family val="2"/>
      <charset val="204"/>
    </font>
    <font>
      <sz val="10"/>
      <color rgb="FF821E82"/>
      <name val="Arial"/>
      <family val="2"/>
      <charset val="204"/>
    </font>
    <font>
      <b/>
      <sz val="11"/>
      <color rgb="FF821E82"/>
      <name val="Arial"/>
      <family val="2"/>
      <charset val="204"/>
    </font>
    <font>
      <i/>
      <sz val="10"/>
      <color rgb="FF821E82"/>
      <name val="Arial"/>
      <family val="2"/>
      <charset val="204"/>
    </font>
    <font>
      <b/>
      <sz val="16"/>
      <name val="Times New Roman"/>
      <family val="1"/>
      <charset val="204"/>
    </font>
    <font>
      <sz val="16"/>
      <name val="Times New Roman"/>
      <family val="1"/>
      <charset val="204"/>
    </font>
    <font>
      <sz val="20"/>
      <name val="Times New Roman"/>
      <family val="1"/>
      <charset val="204"/>
    </font>
    <font>
      <b/>
      <sz val="22"/>
      <name val="Times New Roman"/>
      <family val="1"/>
      <charset val="204"/>
    </font>
    <font>
      <b/>
      <sz val="20"/>
      <name val="Times New Roman"/>
      <family val="1"/>
      <charset val="204"/>
    </font>
    <font>
      <b/>
      <sz val="18"/>
      <name val="Times New Roman"/>
      <family val="1"/>
      <charset val="204"/>
    </font>
    <font>
      <sz val="18"/>
      <color theme="1"/>
      <name val="Times New Roman"/>
      <family val="1"/>
      <charset val="204"/>
    </font>
    <font>
      <b/>
      <u/>
      <sz val="18"/>
      <name val="Times New Roman"/>
      <family val="1"/>
      <charset val="204"/>
    </font>
    <font>
      <sz val="18"/>
      <name val="Times New Roman"/>
      <family val="1"/>
      <charset val="204"/>
    </font>
    <font>
      <sz val="10"/>
      <name val="Times New Roman"/>
      <family val="1"/>
      <charset val="204"/>
    </font>
    <font>
      <sz val="12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3"/>
      <name val="Times New Roman"/>
      <family val="1"/>
      <charset val="204"/>
    </font>
    <font>
      <sz val="13"/>
      <name val="Times New Roman"/>
      <family val="1"/>
      <charset val="204"/>
    </font>
    <font>
      <sz val="14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sz val="10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indexed="64"/>
      <name val="Times New Roman"/>
      <family val="1"/>
      <charset val="204"/>
    </font>
    <font>
      <sz val="9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8"/>
      <color indexed="64"/>
      <name val="Times New Roman"/>
      <family val="1"/>
      <charset val="204"/>
    </font>
    <font>
      <b/>
      <sz val="10"/>
      <color rgb="FF0070C0"/>
      <name val="Arial"/>
      <family val="2"/>
      <charset val="204"/>
    </font>
    <font>
      <b/>
      <sz val="11"/>
      <color rgb="FF0070C0"/>
      <name val="Arial"/>
      <family val="2"/>
      <charset val="204"/>
    </font>
    <font>
      <i/>
      <sz val="12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8"/>
      <color rgb="FFFF0000"/>
      <name val="Arial"/>
      <family val="2"/>
      <charset val="204"/>
    </font>
    <font>
      <sz val="8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85">
    <xf numFmtId="0" fontId="0" fillId="0" borderId="0" applyNumberFormat="0"/>
    <xf numFmtId="0" fontId="12" fillId="0" borderId="0" applyNumberFormat="0"/>
    <xf numFmtId="0" fontId="12" fillId="0" borderId="0" applyNumberFormat="0"/>
    <xf numFmtId="0" fontId="13" fillId="0" borderId="0"/>
    <xf numFmtId="0" fontId="10" fillId="0" borderId="0"/>
    <xf numFmtId="0" fontId="10" fillId="0" borderId="0"/>
    <xf numFmtId="0" fontId="10" fillId="0" borderId="0"/>
    <xf numFmtId="0" fontId="10" fillId="0" borderId="0" applyNumberFormat="0"/>
    <xf numFmtId="0" fontId="10" fillId="0" borderId="0" applyNumberFormat="0"/>
    <xf numFmtId="0" fontId="10" fillId="0" borderId="0" applyNumberFormat="0"/>
    <xf numFmtId="0" fontId="14" fillId="0" borderId="0"/>
    <xf numFmtId="0" fontId="10" fillId="0" borderId="0"/>
    <xf numFmtId="0" fontId="10" fillId="0" borderId="0" applyNumberFormat="0"/>
    <xf numFmtId="0" fontId="10" fillId="0" borderId="0" applyNumberFormat="0"/>
    <xf numFmtId="0" fontId="12" fillId="0" borderId="0" applyNumberFormat="0"/>
    <xf numFmtId="0" fontId="12" fillId="0" borderId="0" applyNumberFormat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17" fillId="0" borderId="0"/>
    <xf numFmtId="0" fontId="15" fillId="0" borderId="0"/>
    <xf numFmtId="0" fontId="15" fillId="0" borderId="0"/>
    <xf numFmtId="0" fontId="15" fillId="0" borderId="0"/>
    <xf numFmtId="0" fontId="9" fillId="0" borderId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6" fontId="18" fillId="0" borderId="0" applyFont="0" applyFill="0" applyBorder="0" applyAlignment="0" applyProtection="0"/>
    <xf numFmtId="0" fontId="10" fillId="0" borderId="0" applyNumberFormat="0"/>
    <xf numFmtId="0" fontId="12" fillId="0" borderId="0" applyNumberFormat="0"/>
    <xf numFmtId="0" fontId="10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15" fillId="0" borderId="0"/>
    <xf numFmtId="0" fontId="11" fillId="0" borderId="0"/>
    <xf numFmtId="165" fontId="15" fillId="0" borderId="0" applyFont="0" applyFill="0" applyBorder="0" applyAlignment="0" applyProtection="0"/>
    <xf numFmtId="0" fontId="7" fillId="0" borderId="0"/>
    <xf numFmtId="166" fontId="18" fillId="0" borderId="0" applyFont="0" applyFill="0" applyBorder="0" applyAlignment="0" applyProtection="0"/>
    <xf numFmtId="0" fontId="15" fillId="0" borderId="0"/>
    <xf numFmtId="0" fontId="15" fillId="0" borderId="0"/>
    <xf numFmtId="165" fontId="6" fillId="0" borderId="0" applyFont="0" applyFill="0" applyBorder="0" applyAlignment="0" applyProtection="0"/>
    <xf numFmtId="0" fontId="34" fillId="0" borderId="0"/>
    <xf numFmtId="0" fontId="5" fillId="0" borderId="0"/>
    <xf numFmtId="43" fontId="10" fillId="0" borderId="0" applyFont="0" applyFill="0" applyBorder="0" applyAlignment="0" applyProtection="0"/>
    <xf numFmtId="0" fontId="11" fillId="0" borderId="0"/>
    <xf numFmtId="164" fontId="39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1" fillId="0" borderId="0"/>
    <xf numFmtId="0" fontId="40" fillId="0" borderId="0"/>
    <xf numFmtId="0" fontId="4" fillId="0" borderId="0"/>
    <xf numFmtId="165" fontId="4" fillId="0" borderId="0" applyFont="0" applyFill="0" applyBorder="0" applyAlignment="0" applyProtection="0"/>
    <xf numFmtId="0" fontId="14" fillId="0" borderId="0"/>
    <xf numFmtId="0" fontId="15" fillId="0" borderId="0"/>
    <xf numFmtId="165" fontId="4" fillId="0" borderId="0" applyFont="0" applyFill="0" applyBorder="0" applyAlignment="0" applyProtection="0"/>
    <xf numFmtId="0" fontId="41" fillId="0" borderId="0"/>
    <xf numFmtId="0" fontId="3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5" fillId="0" borderId="0"/>
    <xf numFmtId="0" fontId="54" fillId="0" borderId="0"/>
    <xf numFmtId="165" fontId="3" fillId="0" borderId="0" applyFont="0" applyFill="0" applyBorder="0" applyAlignment="0" applyProtection="0"/>
    <xf numFmtId="0" fontId="15" fillId="0" borderId="0"/>
    <xf numFmtId="0" fontId="15" fillId="0" borderId="0"/>
    <xf numFmtId="0" fontId="11" fillId="0" borderId="0"/>
    <xf numFmtId="0" fontId="39" fillId="0" borderId="0"/>
    <xf numFmtId="0" fontId="1" fillId="0" borderId="0"/>
    <xf numFmtId="0" fontId="15" fillId="0" borderId="0"/>
    <xf numFmtId="0" fontId="15" fillId="0" borderId="0"/>
    <xf numFmtId="0" fontId="11" fillId="0" borderId="0"/>
    <xf numFmtId="0" fontId="13" fillId="0" borderId="0" applyNumberFormat="0"/>
    <xf numFmtId="0" fontId="15" fillId="0" borderId="0" applyNumberFormat="0" applyFont="0" applyFill="0" applyBorder="0" applyAlignment="0" applyProtection="0">
      <alignment vertical="top"/>
    </xf>
    <xf numFmtId="0" fontId="15" fillId="0" borderId="0"/>
    <xf numFmtId="0" fontId="15" fillId="0" borderId="0"/>
    <xf numFmtId="164" fontId="1" fillId="0" borderId="0" applyFont="0" applyFill="0" applyBorder="0" applyAlignment="0" applyProtection="0"/>
    <xf numFmtId="0" fontId="11" fillId="0" borderId="0"/>
    <xf numFmtId="0" fontId="15" fillId="0" borderId="0"/>
  </cellStyleXfs>
  <cellXfs count="739">
    <xf numFmtId="0" fontId="0" fillId="0" borderId="0" xfId="0"/>
    <xf numFmtId="0" fontId="19" fillId="3" borderId="1" xfId="28" applyFont="1" applyFill="1" applyBorder="1" applyAlignment="1">
      <alignment horizontal="center" vertical="center"/>
    </xf>
    <xf numFmtId="49" fontId="35" fillId="3" borderId="1" xfId="28" applyNumberFormat="1" applyFont="1" applyFill="1" applyBorder="1" applyAlignment="1">
      <alignment horizontal="center" vertical="center" wrapText="1"/>
    </xf>
    <xf numFmtId="0" fontId="36" fillId="3" borderId="1" xfId="33" applyNumberFormat="1" applyFont="1" applyFill="1" applyBorder="1" applyAlignment="1">
      <alignment horizontal="left" vertical="center" wrapText="1"/>
    </xf>
    <xf numFmtId="3" fontId="32" fillId="0" borderId="1" xfId="28" applyNumberFormat="1" applyFont="1" applyBorder="1" applyAlignment="1">
      <alignment horizontal="center" vertical="center" wrapText="1"/>
    </xf>
    <xf numFmtId="0" fontId="32" fillId="3" borderId="1" xfId="28" applyFont="1" applyFill="1" applyBorder="1" applyAlignment="1">
      <alignment horizontal="center" vertical="center"/>
    </xf>
    <xf numFmtId="49" fontId="33" fillId="3" borderId="1" xfId="28" applyNumberFormat="1" applyFont="1" applyFill="1" applyBorder="1" applyAlignment="1">
      <alignment horizontal="center" vertical="center" wrapText="1"/>
    </xf>
    <xf numFmtId="49" fontId="19" fillId="3" borderId="1" xfId="28" applyNumberFormat="1" applyFont="1" applyFill="1" applyBorder="1" applyAlignment="1">
      <alignment horizontal="left" vertical="center" wrapText="1"/>
    </xf>
    <xf numFmtId="3" fontId="33" fillId="3" borderId="1" xfId="28" applyNumberFormat="1" applyFont="1" applyFill="1" applyBorder="1" applyAlignment="1">
      <alignment horizontal="center" vertical="center"/>
    </xf>
    <xf numFmtId="0" fontId="23" fillId="2" borderId="0" xfId="4" applyFont="1" applyFill="1" applyAlignment="1">
      <alignment vertical="center"/>
    </xf>
    <xf numFmtId="0" fontId="23" fillId="0" borderId="0" xfId="4" applyFont="1" applyAlignment="1">
      <alignment vertical="center"/>
    </xf>
    <xf numFmtId="0" fontId="23" fillId="2" borderId="0" xfId="28" applyFont="1" applyFill="1" applyAlignment="1">
      <alignment vertical="center"/>
    </xf>
    <xf numFmtId="0" fontId="33" fillId="0" borderId="7" xfId="28" applyFont="1" applyBorder="1" applyAlignment="1">
      <alignment horizontal="center" vertical="center" wrapText="1"/>
    </xf>
    <xf numFmtId="0" fontId="33" fillId="0" borderId="7" xfId="4" applyFont="1" applyBorder="1" applyAlignment="1">
      <alignment horizontal="center" vertical="center" wrapText="1"/>
    </xf>
    <xf numFmtId="0" fontId="15" fillId="2" borderId="1" xfId="23" applyFill="1" applyBorder="1" applyAlignment="1">
      <alignment horizontal="center" vertical="center" wrapText="1"/>
    </xf>
    <xf numFmtId="0" fontId="15" fillId="0" borderId="1" xfId="23" applyBorder="1" applyAlignment="1">
      <alignment horizontal="center" vertical="center" wrapText="1"/>
    </xf>
    <xf numFmtId="0" fontId="32" fillId="0" borderId="1" xfId="28" applyFont="1" applyBorder="1" applyAlignment="1">
      <alignment horizontal="center" vertical="center" wrapText="1"/>
    </xf>
    <xf numFmtId="0" fontId="23" fillId="0" borderId="0" xfId="28" applyFont="1" applyAlignment="1">
      <alignment vertical="center"/>
    </xf>
    <xf numFmtId="0" fontId="15" fillId="3" borderId="1" xfId="23" applyFill="1" applyBorder="1" applyAlignment="1">
      <alignment horizontal="center" vertical="center" wrapText="1"/>
    </xf>
    <xf numFmtId="0" fontId="38" fillId="3" borderId="1" xfId="28" applyFont="1" applyFill="1" applyBorder="1" applyAlignment="1">
      <alignment horizontal="center" vertical="center" wrapText="1"/>
    </xf>
    <xf numFmtId="0" fontId="20" fillId="3" borderId="1" xfId="28" applyFont="1" applyFill="1" applyBorder="1" applyAlignment="1">
      <alignment horizontal="left" vertical="center" wrapText="1"/>
    </xf>
    <xf numFmtId="0" fontId="15" fillId="3" borderId="1" xfId="28" applyFill="1" applyBorder="1" applyAlignment="1">
      <alignment horizontal="center" vertical="center" wrapText="1"/>
    </xf>
    <xf numFmtId="0" fontId="23" fillId="3" borderId="0" xfId="28" applyFont="1" applyFill="1" applyAlignment="1">
      <alignment vertical="center"/>
    </xf>
    <xf numFmtId="0" fontId="20" fillId="3" borderId="1" xfId="28" applyFont="1" applyFill="1" applyBorder="1" applyAlignment="1">
      <alignment horizontal="left" vertical="center"/>
    </xf>
    <xf numFmtId="0" fontId="24" fillId="3" borderId="0" xfId="28" applyFont="1" applyFill="1" applyAlignment="1">
      <alignment vertical="center"/>
    </xf>
    <xf numFmtId="0" fontId="26" fillId="3" borderId="0" xfId="28" applyFont="1" applyFill="1" applyAlignment="1">
      <alignment vertical="center"/>
    </xf>
    <xf numFmtId="4" fontId="26" fillId="3" borderId="0" xfId="28" applyNumberFormat="1" applyFont="1" applyFill="1" applyAlignment="1">
      <alignment vertical="center"/>
    </xf>
    <xf numFmtId="0" fontId="25" fillId="2" borderId="0" xfId="28" applyFont="1" applyFill="1" applyAlignment="1">
      <alignment horizontal="center" vertical="center"/>
    </xf>
    <xf numFmtId="49" fontId="22" fillId="0" borderId="0" xfId="28" applyNumberFormat="1" applyFont="1" applyAlignment="1">
      <alignment horizontal="center" vertical="center" wrapText="1"/>
    </xf>
    <xf numFmtId="0" fontId="22" fillId="0" borderId="0" xfId="28" applyFont="1" applyAlignment="1">
      <alignment horizontal="center" vertical="center" wrapText="1"/>
    </xf>
    <xf numFmtId="0" fontId="20" fillId="0" borderId="0" xfId="11" applyFont="1"/>
    <xf numFmtId="0" fontId="20" fillId="2" borderId="0" xfId="11" applyFont="1" applyFill="1"/>
    <xf numFmtId="43" fontId="20" fillId="2" borderId="0" xfId="50" applyFont="1" applyFill="1" applyBorder="1" applyAlignment="1"/>
    <xf numFmtId="0" fontId="23" fillId="0" borderId="0" xfId="28" applyFont="1" applyAlignment="1">
      <alignment horizontal="center" vertical="center"/>
    </xf>
    <xf numFmtId="4" fontId="23" fillId="2" borderId="0" xfId="28" applyNumberFormat="1" applyFont="1" applyFill="1" applyAlignment="1">
      <alignment vertical="center"/>
    </xf>
    <xf numFmtId="0" fontId="25" fillId="2" borderId="0" xfId="4" applyFont="1" applyFill="1" applyAlignment="1">
      <alignment horizontal="center" vertical="center"/>
    </xf>
    <xf numFmtId="49" fontId="22" fillId="0" borderId="0" xfId="4" applyNumberFormat="1" applyFont="1" applyAlignment="1">
      <alignment horizontal="center" vertical="center" wrapText="1"/>
    </xf>
    <xf numFmtId="0" fontId="22" fillId="0" borderId="0" xfId="4" applyFont="1" applyAlignment="1">
      <alignment horizontal="center" vertical="center" wrapText="1"/>
    </xf>
    <xf numFmtId="4" fontId="20" fillId="2" borderId="0" xfId="11" applyNumberFormat="1" applyFont="1" applyFill="1"/>
    <xf numFmtId="4" fontId="23" fillId="2" borderId="0" xfId="4" applyNumberFormat="1" applyFont="1" applyFill="1" applyAlignment="1">
      <alignment vertical="center"/>
    </xf>
    <xf numFmtId="0" fontId="24" fillId="2" borderId="0" xfId="28" applyFont="1" applyFill="1" applyAlignment="1">
      <alignment vertical="center"/>
    </xf>
    <xf numFmtId="0" fontId="24" fillId="0" borderId="0" xfId="4" applyFont="1" applyAlignment="1">
      <alignment vertical="center"/>
    </xf>
    <xf numFmtId="0" fontId="20" fillId="0" borderId="0" xfId="18" applyFont="1"/>
    <xf numFmtId="0" fontId="20" fillId="2" borderId="0" xfId="19" applyFont="1" applyFill="1"/>
    <xf numFmtId="0" fontId="25" fillId="0" borderId="0" xfId="0" applyFont="1"/>
    <xf numFmtId="0" fontId="24" fillId="3" borderId="1" xfId="28" applyFont="1" applyFill="1" applyBorder="1" applyAlignment="1">
      <alignment horizontal="center" vertical="center" wrapText="1"/>
    </xf>
    <xf numFmtId="43" fontId="20" fillId="2" borderId="0" xfId="11" applyNumberFormat="1" applyFont="1" applyFill="1"/>
    <xf numFmtId="0" fontId="0" fillId="0" borderId="0" xfId="0"/>
    <xf numFmtId="0" fontId="21" fillId="0" borderId="0" xfId="4" applyFont="1" applyAlignment="1">
      <alignment horizontal="left" vertical="center"/>
    </xf>
    <xf numFmtId="0" fontId="23" fillId="2" borderId="0" xfId="64" applyFont="1" applyFill="1" applyAlignment="1">
      <alignment vertical="top"/>
    </xf>
    <xf numFmtId="0" fontId="21" fillId="2" borderId="0" xfId="28" applyFont="1" applyFill="1" applyAlignment="1">
      <alignment horizontal="left" vertical="center"/>
    </xf>
    <xf numFmtId="0" fontId="21" fillId="0" borderId="0" xfId="28" applyFont="1" applyAlignment="1">
      <alignment horizontal="left" vertical="center"/>
    </xf>
    <xf numFmtId="0" fontId="21" fillId="3" borderId="0" xfId="28" applyFont="1" applyFill="1" applyAlignment="1">
      <alignment horizontal="left" vertical="center" wrapText="1"/>
    </xf>
    <xf numFmtId="4" fontId="24" fillId="0" borderId="1" xfId="65" applyNumberFormat="1" applyFont="1" applyFill="1" applyBorder="1" applyAlignment="1">
      <alignment horizontal="center" vertical="center" wrapText="1"/>
    </xf>
    <xf numFmtId="4" fontId="24" fillId="0" borderId="1" xfId="66" applyNumberFormat="1" applyFont="1" applyFill="1" applyBorder="1" applyAlignment="1">
      <alignment horizontal="center" vertical="center" wrapText="1"/>
    </xf>
    <xf numFmtId="4" fontId="19" fillId="3" borderId="1" xfId="65" applyNumberFormat="1" applyFont="1" applyFill="1" applyBorder="1" applyAlignment="1">
      <alignment horizontal="center" vertical="center" wrapText="1"/>
    </xf>
    <xf numFmtId="4" fontId="19" fillId="0" borderId="1" xfId="65" applyNumberFormat="1" applyFont="1" applyFill="1" applyBorder="1" applyAlignment="1">
      <alignment horizontal="center" vertical="center" wrapText="1"/>
    </xf>
    <xf numFmtId="4" fontId="21" fillId="3" borderId="0" xfId="28" applyNumberFormat="1" applyFont="1" applyFill="1" applyAlignment="1">
      <alignment horizontal="left" vertical="center"/>
    </xf>
    <xf numFmtId="0" fontId="32" fillId="0" borderId="1" xfId="28" applyFont="1" applyBorder="1" applyAlignment="1">
      <alignment horizontal="center" vertical="center"/>
    </xf>
    <xf numFmtId="49" fontId="32" fillId="0" borderId="1" xfId="28" applyNumberFormat="1" applyFont="1" applyBorder="1" applyAlignment="1">
      <alignment horizontal="center" vertical="center" wrapText="1"/>
    </xf>
    <xf numFmtId="0" fontId="32" fillId="0" borderId="1" xfId="34" applyFont="1" applyBorder="1" applyAlignment="1">
      <alignment horizontal="center" vertical="center" wrapText="1"/>
    </xf>
    <xf numFmtId="49" fontId="32" fillId="0" borderId="1" xfId="28" applyNumberFormat="1" applyFont="1" applyBorder="1" applyAlignment="1">
      <alignment horizontal="left" vertical="center" wrapText="1"/>
    </xf>
    <xf numFmtId="4" fontId="23" fillId="0" borderId="0" xfId="28" applyNumberFormat="1" applyFont="1" applyAlignment="1">
      <alignment vertical="center"/>
    </xf>
    <xf numFmtId="3" fontId="32" fillId="0" borderId="1" xfId="28" applyNumberFormat="1" applyFont="1" applyBorder="1" applyAlignment="1">
      <alignment horizontal="center" vertical="center"/>
    </xf>
    <xf numFmtId="0" fontId="20" fillId="3" borderId="0" xfId="28" applyFont="1" applyFill="1" applyAlignment="1">
      <alignment horizontal="left" vertical="center"/>
    </xf>
    <xf numFmtId="0" fontId="10" fillId="0" borderId="0" xfId="0" applyFont="1"/>
    <xf numFmtId="0" fontId="10" fillId="0" borderId="0" xfId="11"/>
    <xf numFmtId="0" fontId="24" fillId="2" borderId="0" xfId="64" applyFont="1" applyFill="1" applyAlignment="1">
      <alignment vertical="center"/>
    </xf>
    <xf numFmtId="0" fontId="22" fillId="0" borderId="0" xfId="64" applyFont="1" applyAlignment="1">
      <alignment vertical="center" wrapText="1"/>
    </xf>
    <xf numFmtId="0" fontId="22" fillId="0" borderId="0" xfId="64" applyFont="1" applyAlignment="1">
      <alignment vertical="center"/>
    </xf>
    <xf numFmtId="0" fontId="22" fillId="0" borderId="0" xfId="64" applyFont="1" applyAlignment="1">
      <alignment horizontal="left" vertical="center"/>
    </xf>
    <xf numFmtId="0" fontId="22" fillId="2" borderId="0" xfId="64" applyFont="1" applyFill="1" applyAlignment="1">
      <alignment horizontal="left" vertical="center"/>
    </xf>
    <xf numFmtId="0" fontId="23" fillId="0" borderId="0" xfId="64" applyFont="1" applyAlignment="1">
      <alignment horizontal="center" vertical="center"/>
    </xf>
    <xf numFmtId="0" fontId="21" fillId="2" borderId="0" xfId="64" applyFont="1" applyFill="1" applyAlignment="1">
      <alignment horizontal="left" vertical="center"/>
    </xf>
    <xf numFmtId="0" fontId="23" fillId="2" borderId="0" xfId="64" applyFont="1" applyFill="1" applyAlignment="1">
      <alignment vertical="center"/>
    </xf>
    <xf numFmtId="0" fontId="33" fillId="0" borderId="7" xfId="4" applyFont="1" applyFill="1" applyBorder="1" applyAlignment="1">
      <alignment horizontal="center" vertical="center" wrapText="1"/>
    </xf>
    <xf numFmtId="0" fontId="33" fillId="0" borderId="7" xfId="28" applyFont="1" applyFill="1" applyBorder="1" applyAlignment="1">
      <alignment horizontal="center" vertical="center" wrapText="1"/>
    </xf>
    <xf numFmtId="0" fontId="25" fillId="0" borderId="0" xfId="0" applyFont="1" applyAlignment="1">
      <alignment horizontal="left" wrapText="1"/>
    </xf>
    <xf numFmtId="0" fontId="28" fillId="0" borderId="0" xfId="0" applyFont="1" applyAlignment="1">
      <alignment horizontal="left" wrapText="1"/>
    </xf>
    <xf numFmtId="0" fontId="25" fillId="4" borderId="0" xfId="0" applyFont="1" applyFill="1"/>
    <xf numFmtId="0" fontId="25" fillId="4" borderId="0" xfId="0" applyFont="1" applyFill="1" applyAlignment="1">
      <alignment horizontal="left"/>
    </xf>
    <xf numFmtId="0" fontId="25" fillId="4" borderId="9" xfId="0" applyFont="1" applyFill="1" applyBorder="1" applyAlignment="1">
      <alignment horizontal="center"/>
    </xf>
    <xf numFmtId="0" fontId="25" fillId="4" borderId="0" xfId="0" applyFont="1" applyFill="1" applyAlignment="1">
      <alignment horizontal="center"/>
    </xf>
    <xf numFmtId="0" fontId="25" fillId="0" borderId="1" xfId="0" applyFont="1" applyBorder="1" applyAlignment="1">
      <alignment horizontal="center" vertical="center" wrapText="1"/>
    </xf>
    <xf numFmtId="0" fontId="25" fillId="0" borderId="0" xfId="0" applyFont="1" applyAlignment="1">
      <alignment horizontal="left" vertical="top"/>
    </xf>
    <xf numFmtId="0" fontId="25" fillId="0" borderId="0" xfId="0" applyFont="1" applyAlignment="1">
      <alignment horizontal="left" vertical="top" wrapText="1"/>
    </xf>
    <xf numFmtId="0" fontId="31" fillId="0" borderId="0" xfId="0" applyFont="1" applyAlignment="1">
      <alignment horizontal="right" wrapText="1"/>
    </xf>
    <xf numFmtId="0" fontId="25" fillId="0" borderId="0" xfId="0" applyFont="1" applyAlignment="1">
      <alignment horizontal="right"/>
    </xf>
    <xf numFmtId="168" fontId="25" fillId="0" borderId="0" xfId="0" applyNumberFormat="1" applyFont="1" applyAlignment="1">
      <alignment horizontal="right"/>
    </xf>
    <xf numFmtId="0" fontId="25" fillId="0" borderId="0" xfId="0" applyFont="1" applyAlignment="1">
      <alignment horizontal="right" wrapText="1"/>
    </xf>
    <xf numFmtId="169" fontId="31" fillId="0" borderId="0" xfId="0" applyNumberFormat="1" applyFont="1" applyAlignment="1">
      <alignment horizontal="right"/>
    </xf>
    <xf numFmtId="169" fontId="28" fillId="0" borderId="0" xfId="0" applyNumberFormat="1" applyFont="1" applyAlignment="1">
      <alignment horizontal="right"/>
    </xf>
    <xf numFmtId="169" fontId="0" fillId="0" borderId="0" xfId="0" applyNumberFormat="1"/>
    <xf numFmtId="169" fontId="25" fillId="0" borderId="0" xfId="0" applyNumberFormat="1" applyFont="1" applyAlignment="1">
      <alignment horizontal="right"/>
    </xf>
    <xf numFmtId="0" fontId="15" fillId="4" borderId="0" xfId="21" applyFill="1"/>
    <xf numFmtId="169" fontId="25" fillId="4" borderId="0" xfId="21" applyNumberFormat="1" applyFont="1" applyFill="1"/>
    <xf numFmtId="0" fontId="28" fillId="4" borderId="0" xfId="21" applyFont="1" applyFill="1" applyAlignment="1">
      <alignment wrapText="1"/>
    </xf>
    <xf numFmtId="0" fontId="18" fillId="4" borderId="0" xfId="21" applyFont="1" applyFill="1"/>
    <xf numFmtId="0" fontId="28" fillId="4" borderId="0" xfId="0" applyFont="1" applyFill="1"/>
    <xf numFmtId="4" fontId="28" fillId="4" borderId="0" xfId="21" applyNumberFormat="1" applyFont="1" applyFill="1" applyAlignment="1">
      <alignment horizontal="right"/>
    </xf>
    <xf numFmtId="169" fontId="15" fillId="4" borderId="0" xfId="21" applyNumberFormat="1" applyFill="1"/>
    <xf numFmtId="0" fontId="25" fillId="4" borderId="0" xfId="45" applyFont="1" applyFill="1"/>
    <xf numFmtId="169" fontId="25" fillId="4" borderId="0" xfId="21" applyNumberFormat="1" applyFont="1" applyFill="1" applyAlignment="1">
      <alignment horizontal="right"/>
    </xf>
    <xf numFmtId="167" fontId="15" fillId="4" borderId="0" xfId="21" applyNumberFormat="1" applyFill="1"/>
    <xf numFmtId="0" fontId="15" fillId="4" borderId="0" xfId="28" applyFill="1"/>
    <xf numFmtId="0" fontId="0" fillId="4" borderId="0" xfId="0" applyFill="1"/>
    <xf numFmtId="0" fontId="18" fillId="4" borderId="0" xfId="0" applyFont="1" applyFill="1"/>
    <xf numFmtId="0" fontId="18" fillId="4" borderId="15" xfId="0" applyFont="1" applyFill="1" applyBorder="1"/>
    <xf numFmtId="4" fontId="18" fillId="4" borderId="15" xfId="0" applyNumberFormat="1" applyFont="1" applyFill="1" applyBorder="1"/>
    <xf numFmtId="4" fontId="50" fillId="4" borderId="15" xfId="0" applyNumberFormat="1" applyFont="1" applyFill="1" applyBorder="1"/>
    <xf numFmtId="0" fontId="49" fillId="4" borderId="15" xfId="0" applyFont="1" applyFill="1" applyBorder="1"/>
    <xf numFmtId="0" fontId="50" fillId="4" borderId="15" xfId="0" applyFont="1" applyFill="1" applyBorder="1"/>
    <xf numFmtId="0" fontId="50" fillId="4" borderId="0" xfId="0" applyFont="1" applyFill="1"/>
    <xf numFmtId="4" fontId="18" fillId="4" borderId="0" xfId="0" applyNumberFormat="1" applyFont="1" applyFill="1"/>
    <xf numFmtId="0" fontId="32" fillId="4" borderId="0" xfId="0" applyNumberFormat="1" applyFont="1" applyFill="1" applyAlignment="1">
      <alignment horizontal="left"/>
    </xf>
    <xf numFmtId="0" fontId="32" fillId="4" borderId="0" xfId="0" applyNumberFormat="1" applyFont="1" applyFill="1"/>
    <xf numFmtId="0" fontId="27" fillId="4" borderId="0" xfId="0" applyFont="1" applyFill="1" applyAlignment="1">
      <alignment vertical="center"/>
    </xf>
    <xf numFmtId="4" fontId="32" fillId="4" borderId="0" xfId="0" applyNumberFormat="1" applyFont="1" applyFill="1"/>
    <xf numFmtId="3" fontId="33" fillId="4" borderId="0" xfId="63" applyNumberFormat="1" applyFont="1" applyFill="1"/>
    <xf numFmtId="0" fontId="15" fillId="4" borderId="0" xfId="0" applyFont="1" applyFill="1"/>
    <xf numFmtId="0" fontId="18" fillId="4" borderId="15" xfId="0" applyFont="1" applyFill="1" applyBorder="1" applyAlignment="1">
      <alignment wrapText="1"/>
    </xf>
    <xf numFmtId="0" fontId="18" fillId="4" borderId="15" xfId="0" applyFont="1" applyFill="1" applyBorder="1" applyAlignment="1">
      <alignment horizontal="right"/>
    </xf>
    <xf numFmtId="0" fontId="18" fillId="4" borderId="0" xfId="0" applyFont="1" applyFill="1" applyAlignment="1">
      <alignment horizontal="left"/>
    </xf>
    <xf numFmtId="0" fontId="25" fillId="0" borderId="0" xfId="0" quotePrefix="1" applyFont="1" applyAlignment="1">
      <alignment horizontal="right" wrapText="1"/>
    </xf>
    <xf numFmtId="0" fontId="31" fillId="0" borderId="0" xfId="0" applyFont="1" applyAlignment="1">
      <alignment horizontal="left" vertical="top"/>
    </xf>
    <xf numFmtId="0" fontId="31" fillId="0" borderId="0" xfId="0" applyFont="1" applyAlignment="1">
      <alignment horizontal="left" vertical="top" wrapText="1"/>
    </xf>
    <xf numFmtId="0" fontId="31" fillId="0" borderId="0" xfId="0" applyFont="1" applyAlignment="1">
      <alignment horizontal="right"/>
    </xf>
    <xf numFmtId="168" fontId="31" fillId="0" borderId="0" xfId="0" applyNumberFormat="1" applyFont="1" applyAlignment="1">
      <alignment horizontal="right"/>
    </xf>
    <xf numFmtId="0" fontId="31" fillId="0" borderId="0" xfId="0" applyFont="1" applyAlignment="1">
      <alignment horizontal="right" shrinkToFit="1"/>
    </xf>
    <xf numFmtId="0" fontId="28" fillId="0" borderId="8" xfId="0" applyFont="1" applyBorder="1" applyAlignment="1">
      <alignment horizontal="left" vertical="top"/>
    </xf>
    <xf numFmtId="0" fontId="28" fillId="0" borderId="8" xfId="0" applyFont="1" applyBorder="1" applyAlignment="1">
      <alignment horizontal="left" vertical="top" wrapText="1"/>
    </xf>
    <xf numFmtId="0" fontId="51" fillId="0" borderId="8" xfId="0" applyFont="1" applyBorder="1" applyAlignment="1">
      <alignment horizontal="right" wrapText="1"/>
    </xf>
    <xf numFmtId="0" fontId="28" fillId="0" borderId="8" xfId="0" applyFont="1" applyBorder="1" applyAlignment="1">
      <alignment horizontal="right"/>
    </xf>
    <xf numFmtId="168" fontId="28" fillId="0" borderId="8" xfId="0" applyNumberFormat="1" applyFont="1" applyBorder="1" applyAlignment="1">
      <alignment horizontal="right"/>
    </xf>
    <xf numFmtId="0" fontId="28" fillId="0" borderId="8" xfId="0" applyFont="1" applyBorder="1" applyAlignment="1">
      <alignment horizontal="right" wrapText="1"/>
    </xf>
    <xf numFmtId="167" fontId="28" fillId="0" borderId="0" xfId="0" applyNumberFormat="1" applyFont="1" applyAlignment="1">
      <alignment horizontal="right"/>
    </xf>
    <xf numFmtId="0" fontId="25" fillId="4" borderId="0" xfId="0" applyFont="1" applyFill="1" applyAlignment="1">
      <alignment horizontal="left" wrapText="1"/>
    </xf>
    <xf numFmtId="4" fontId="25" fillId="4" borderId="0" xfId="45" applyNumberFormat="1" applyFont="1" applyFill="1"/>
    <xf numFmtId="4" fontId="25" fillId="4" borderId="0" xfId="46" applyNumberFormat="1" applyFont="1" applyFill="1"/>
    <xf numFmtId="0" fontId="25" fillId="0" borderId="0" xfId="0" applyFont="1" applyAlignment="1">
      <alignment horizontal="center" vertical="center" wrapText="1"/>
    </xf>
    <xf numFmtId="0" fontId="35" fillId="0" borderId="0" xfId="0" applyFont="1" applyFill="1"/>
    <xf numFmtId="0" fontId="0" fillId="0" borderId="0" xfId="0" applyFill="1"/>
    <xf numFmtId="0" fontId="33" fillId="4" borderId="0" xfId="0" applyFont="1" applyFill="1"/>
    <xf numFmtId="0" fontId="32" fillId="4" borderId="0" xfId="28" applyFont="1" applyFill="1"/>
    <xf numFmtId="0" fontId="52" fillId="4" borderId="15" xfId="0" applyFont="1" applyFill="1" applyBorder="1" applyAlignment="1">
      <alignment horizontal="left"/>
    </xf>
    <xf numFmtId="0" fontId="33" fillId="4" borderId="15" xfId="0" applyFont="1" applyFill="1" applyBorder="1"/>
    <xf numFmtId="0" fontId="53" fillId="4" borderId="0" xfId="0" applyFont="1" applyFill="1" applyAlignment="1">
      <alignment horizontal="left"/>
    </xf>
    <xf numFmtId="4" fontId="33" fillId="4" borderId="0" xfId="0" applyNumberFormat="1" applyFont="1" applyFill="1"/>
    <xf numFmtId="0" fontId="32" fillId="4" borderId="0" xfId="0" applyFont="1" applyFill="1" applyAlignment="1">
      <alignment horizontal="left"/>
    </xf>
    <xf numFmtId="0" fontId="53" fillId="4" borderId="0" xfId="0" applyFont="1" applyFill="1"/>
    <xf numFmtId="0" fontId="33" fillId="4" borderId="0" xfId="0" applyFont="1" applyFill="1" applyAlignment="1">
      <alignment horizontal="left"/>
    </xf>
    <xf numFmtId="169" fontId="25" fillId="4" borderId="0" xfId="21" applyNumberFormat="1" applyFont="1" applyFill="1" applyAlignment="1"/>
    <xf numFmtId="169" fontId="28" fillId="4" borderId="0" xfId="21" applyNumberFormat="1" applyFont="1" applyFill="1" applyAlignment="1"/>
    <xf numFmtId="164" fontId="21" fillId="4" borderId="0" xfId="52" applyFont="1" applyFill="1" applyAlignment="1">
      <alignment horizontal="left" vertical="center"/>
    </xf>
    <xf numFmtId="0" fontId="23" fillId="4" borderId="0" xfId="28" applyFont="1" applyFill="1" applyAlignment="1">
      <alignment vertical="center"/>
    </xf>
    <xf numFmtId="0" fontId="25" fillId="0" borderId="0" xfId="0" applyFont="1" applyBorder="1" applyAlignment="1">
      <alignment horizontal="left" wrapText="1"/>
    </xf>
    <xf numFmtId="14" fontId="25" fillId="4" borderId="0" xfId="0" applyNumberFormat="1" applyFont="1" applyFill="1" applyAlignment="1">
      <alignment horizontal="center"/>
    </xf>
    <xf numFmtId="49" fontId="42" fillId="4" borderId="3" xfId="28" applyNumberFormat="1" applyFont="1" applyFill="1" applyBorder="1" applyAlignment="1">
      <alignment horizontal="center"/>
    </xf>
    <xf numFmtId="14" fontId="25" fillId="4" borderId="3" xfId="28" applyNumberFormat="1" applyFont="1" applyFill="1" applyBorder="1" applyAlignment="1">
      <alignment horizontal="center"/>
    </xf>
    <xf numFmtId="14" fontId="25" fillId="4" borderId="1" xfId="28" applyNumberFormat="1" applyFont="1" applyFill="1" applyBorder="1" applyAlignment="1">
      <alignment horizontal="center"/>
    </xf>
    <xf numFmtId="0" fontId="15" fillId="4" borderId="2" xfId="0" applyFont="1" applyFill="1" applyBorder="1" applyAlignment="1">
      <alignment horizontal="center" vertical="center" wrapText="1"/>
    </xf>
    <xf numFmtId="0" fontId="15" fillId="4" borderId="9" xfId="0" applyFont="1" applyFill="1" applyBorder="1" applyAlignment="1">
      <alignment horizontal="center" vertical="center" wrapText="1"/>
    </xf>
    <xf numFmtId="0" fontId="25" fillId="4" borderId="0" xfId="0" applyFont="1" applyFill="1" applyAlignment="1">
      <alignment horizontal="right"/>
    </xf>
    <xf numFmtId="0" fontId="25" fillId="4" borderId="3" xfId="0" applyFont="1" applyFill="1" applyBorder="1" applyAlignment="1">
      <alignment horizontal="center"/>
    </xf>
    <xf numFmtId="0" fontId="25" fillId="0" borderId="15" xfId="0" applyFont="1" applyBorder="1" applyAlignment="1">
      <alignment horizontal="left" wrapText="1"/>
    </xf>
    <xf numFmtId="49" fontId="24" fillId="2" borderId="1" xfId="13" applyNumberFormat="1" applyFont="1" applyFill="1" applyBorder="1" applyAlignment="1">
      <alignment horizontal="center" vertical="center" wrapText="1"/>
    </xf>
    <xf numFmtId="4" fontId="24" fillId="2" borderId="1" xfId="66" applyNumberFormat="1" applyFont="1" applyFill="1" applyBorder="1" applyAlignment="1">
      <alignment horizontal="center" vertical="center" wrapText="1"/>
    </xf>
    <xf numFmtId="4" fontId="21" fillId="2" borderId="1" xfId="28" applyNumberFormat="1" applyFont="1" applyFill="1" applyBorder="1" applyAlignment="1">
      <alignment horizontal="center" vertical="center" wrapText="1"/>
    </xf>
    <xf numFmtId="0" fontId="23" fillId="0" borderId="0" xfId="4" applyFont="1" applyFill="1" applyAlignment="1">
      <alignment vertical="center"/>
    </xf>
    <xf numFmtId="0" fontId="15" fillId="4" borderId="2" xfId="0" applyFont="1" applyFill="1" applyBorder="1" applyAlignment="1">
      <alignment horizontal="center" vertical="center" wrapText="1"/>
    </xf>
    <xf numFmtId="0" fontId="15" fillId="4" borderId="9" xfId="0" applyFont="1" applyFill="1" applyBorder="1" applyAlignment="1">
      <alignment horizontal="center" vertical="center" wrapText="1"/>
    </xf>
    <xf numFmtId="0" fontId="25" fillId="0" borderId="15" xfId="0" applyFont="1" applyBorder="1" applyAlignment="1">
      <alignment horizontal="left" wrapText="1"/>
    </xf>
    <xf numFmtId="0" fontId="25" fillId="4" borderId="0" xfId="0" applyFont="1" applyFill="1" applyAlignment="1">
      <alignment horizontal="left" wrapText="1"/>
    </xf>
    <xf numFmtId="0" fontId="25" fillId="4" borderId="0" xfId="0" applyFont="1" applyFill="1" applyAlignment="1">
      <alignment horizontal="right"/>
    </xf>
    <xf numFmtId="0" fontId="25" fillId="4" borderId="3" xfId="0" applyFont="1" applyFill="1" applyBorder="1" applyAlignment="1">
      <alignment horizontal="center"/>
    </xf>
    <xf numFmtId="0" fontId="25" fillId="0" borderId="1" xfId="0" applyFont="1" applyBorder="1" applyAlignment="1">
      <alignment horizontal="center" vertical="center" wrapText="1"/>
    </xf>
    <xf numFmtId="169" fontId="25" fillId="0" borderId="0" xfId="0" applyNumberFormat="1" applyFont="1" applyAlignment="1">
      <alignment horizontal="right"/>
    </xf>
    <xf numFmtId="169" fontId="25" fillId="4" borderId="0" xfId="21" applyNumberFormat="1" applyFont="1" applyFill="1" applyAlignment="1">
      <alignment horizontal="right"/>
    </xf>
    <xf numFmtId="0" fontId="28" fillId="4" borderId="0" xfId="0" applyFont="1" applyFill="1" applyAlignment="1">
      <alignment horizontal="left" wrapText="1"/>
    </xf>
    <xf numFmtId="0" fontId="29" fillId="0" borderId="0" xfId="0" applyFont="1" applyAlignment="1">
      <alignment horizontal="center" wrapText="1"/>
    </xf>
    <xf numFmtId="0" fontId="28" fillId="0" borderId="0" xfId="0" applyFont="1" applyAlignment="1">
      <alignment horizontal="left" wrapText="1"/>
    </xf>
    <xf numFmtId="4" fontId="24" fillId="5" borderId="1" xfId="65" applyNumberFormat="1" applyFont="1" applyFill="1" applyBorder="1" applyAlignment="1">
      <alignment horizontal="center" vertical="center" wrapText="1"/>
    </xf>
    <xf numFmtId="169" fontId="28" fillId="0" borderId="0" xfId="0" applyNumberFormat="1" applyFont="1" applyBorder="1" applyAlignment="1">
      <alignment horizontal="right"/>
    </xf>
    <xf numFmtId="0" fontId="25" fillId="0" borderId="15" xfId="0" applyFont="1" applyBorder="1" applyAlignment="1">
      <alignment horizontal="left" vertical="top"/>
    </xf>
    <xf numFmtId="0" fontId="25" fillId="0" borderId="15" xfId="0" applyFont="1" applyBorder="1" applyAlignment="1">
      <alignment horizontal="left" vertical="top" wrapText="1"/>
    </xf>
    <xf numFmtId="0" fontId="31" fillId="0" borderId="15" xfId="0" applyFont="1" applyBorder="1" applyAlignment="1">
      <alignment horizontal="right" wrapText="1"/>
    </xf>
    <xf numFmtId="0" fontId="25" fillId="0" borderId="15" xfId="0" applyFont="1" applyBorder="1" applyAlignment="1">
      <alignment horizontal="right"/>
    </xf>
    <xf numFmtId="168" fontId="25" fillId="0" borderId="15" xfId="0" applyNumberFormat="1" applyFont="1" applyBorder="1" applyAlignment="1">
      <alignment horizontal="right"/>
    </xf>
    <xf numFmtId="0" fontId="25" fillId="0" borderId="15" xfId="0" applyFont="1" applyBorder="1" applyAlignment="1">
      <alignment horizontal="right" wrapText="1"/>
    </xf>
    <xf numFmtId="169" fontId="25" fillId="0" borderId="15" xfId="0" applyNumberFormat="1" applyFont="1" applyBorder="1" applyAlignment="1">
      <alignment horizontal="right"/>
    </xf>
    <xf numFmtId="0" fontId="0" fillId="0" borderId="8" xfId="0" applyBorder="1"/>
    <xf numFmtId="0" fontId="28" fillId="0" borderId="8" xfId="0" applyFont="1" applyBorder="1"/>
    <xf numFmtId="0" fontId="2" fillId="4" borderId="0" xfId="0" applyFont="1" applyFill="1" applyAlignment="1">
      <alignment horizontal="left"/>
    </xf>
    <xf numFmtId="0" fontId="2" fillId="4" borderId="0" xfId="0" applyFont="1" applyFill="1"/>
    <xf numFmtId="0" fontId="28" fillId="0" borderId="0" xfId="0" applyFont="1"/>
    <xf numFmtId="0" fontId="25" fillId="0" borderId="0" xfId="0" applyFont="1" applyAlignment="1">
      <alignment horizontal="right" shrinkToFit="1"/>
    </xf>
    <xf numFmtId="0" fontId="25" fillId="0" borderId="0" xfId="0" quotePrefix="1" applyFont="1" applyAlignment="1">
      <alignment horizontal="left" wrapText="1"/>
    </xf>
    <xf numFmtId="4" fontId="0" fillId="4" borderId="0" xfId="0" applyNumberFormat="1" applyFill="1" applyAlignment="1">
      <alignment horizontal="right"/>
    </xf>
    <xf numFmtId="0" fontId="48" fillId="4" borderId="0" xfId="0" applyFont="1" applyFill="1"/>
    <xf numFmtId="4" fontId="28" fillId="4" borderId="0" xfId="0" applyNumberFormat="1" applyFont="1" applyFill="1"/>
    <xf numFmtId="4" fontId="48" fillId="4" borderId="0" xfId="0" applyNumberFormat="1" applyFont="1" applyFill="1"/>
    <xf numFmtId="4" fontId="48" fillId="4" borderId="0" xfId="0" applyNumberFormat="1" applyFont="1" applyFill="1" applyAlignment="1"/>
    <xf numFmtId="0" fontId="25" fillId="0" borderId="0" xfId="0" applyFont="1" applyFill="1" applyBorder="1" applyAlignment="1">
      <alignment horizontal="left" wrapText="1"/>
    </xf>
    <xf numFmtId="0" fontId="15" fillId="0" borderId="0" xfId="0" applyFont="1" applyAlignment="1">
      <alignment wrapText="1"/>
    </xf>
    <xf numFmtId="0" fontId="25" fillId="0" borderId="0" xfId="0" applyFont="1" applyFill="1"/>
    <xf numFmtId="0" fontId="61" fillId="0" borderId="0" xfId="70" applyFont="1" applyFill="1" applyAlignment="1">
      <alignment vertical="center"/>
    </xf>
    <xf numFmtId="0" fontId="61" fillId="0" borderId="0" xfId="70" applyFont="1" applyFill="1" applyAlignment="1">
      <alignment vertical="center" wrapText="1"/>
    </xf>
    <xf numFmtId="0" fontId="62" fillId="0" borderId="0" xfId="70" applyFont="1" applyFill="1" applyAlignment="1">
      <alignment horizontal="left" vertical="center"/>
    </xf>
    <xf numFmtId="0" fontId="63" fillId="0" borderId="0" xfId="70" applyFont="1" applyFill="1" applyAlignment="1">
      <alignment horizontal="left" vertical="center"/>
    </xf>
    <xf numFmtId="0" fontId="62" fillId="0" borderId="0" xfId="70" applyFont="1" applyFill="1" applyAlignment="1">
      <alignment vertical="center"/>
    </xf>
    <xf numFmtId="0" fontId="62" fillId="0" borderId="0" xfId="70" applyFont="1" applyFill="1" applyAlignment="1">
      <alignment vertical="center" wrapText="1"/>
    </xf>
    <xf numFmtId="0" fontId="64" fillId="0" borderId="0" xfId="28" applyFont="1" applyFill="1" applyAlignment="1"/>
    <xf numFmtId="0" fontId="64" fillId="0" borderId="0" xfId="28" applyFont="1" applyFill="1" applyAlignment="1">
      <alignment horizontal="center"/>
    </xf>
    <xf numFmtId="4" fontId="64" fillId="0" borderId="0" xfId="28" applyNumberFormat="1" applyFont="1" applyFill="1" applyAlignment="1">
      <alignment horizontal="center"/>
    </xf>
    <xf numFmtId="0" fontId="65" fillId="0" borderId="0" xfId="28" applyFont="1" applyFill="1" applyAlignment="1">
      <alignment horizontal="center"/>
    </xf>
    <xf numFmtId="0" fontId="23" fillId="2" borderId="0" xfId="28" applyFont="1" applyFill="1" applyAlignment="1">
      <alignment horizontal="left" vertical="center"/>
    </xf>
    <xf numFmtId="0" fontId="23" fillId="0" borderId="0" xfId="28" applyFont="1" applyAlignment="1">
      <alignment horizontal="left" vertical="center"/>
    </xf>
    <xf numFmtId="0" fontId="23" fillId="3" borderId="0" xfId="28" applyFont="1" applyFill="1" applyAlignment="1">
      <alignment horizontal="left" vertical="center"/>
    </xf>
    <xf numFmtId="49" fontId="24" fillId="0" borderId="1" xfId="2" applyNumberFormat="1" applyFont="1" applyFill="1" applyBorder="1" applyAlignment="1">
      <alignment horizontal="center" vertical="center" wrapText="1"/>
    </xf>
    <xf numFmtId="0" fontId="24" fillId="2" borderId="1" xfId="34" applyFont="1" applyFill="1" applyBorder="1" applyAlignment="1">
      <alignment horizontal="center" vertical="center" wrapText="1"/>
    </xf>
    <xf numFmtId="49" fontId="24" fillId="2" borderId="1" xfId="51" applyNumberFormat="1" applyFont="1" applyFill="1" applyBorder="1" applyAlignment="1">
      <alignment horizontal="left" vertical="center" wrapText="1"/>
    </xf>
    <xf numFmtId="4" fontId="24" fillId="5" borderId="1" xfId="66" applyNumberFormat="1" applyFont="1" applyFill="1" applyBorder="1" applyAlignment="1">
      <alignment horizontal="center" vertical="center" wrapText="1"/>
    </xf>
    <xf numFmtId="170" fontId="32" fillId="4" borderId="0" xfId="52" applyNumberFormat="1" applyFont="1" applyFill="1" applyAlignment="1">
      <alignment horizontal="left" vertical="center"/>
    </xf>
    <xf numFmtId="0" fontId="0" fillId="0" borderId="0" xfId="0" applyAlignment="1">
      <alignment horizontal="left"/>
    </xf>
    <xf numFmtId="4" fontId="23" fillId="0" borderId="0" xfId="28" applyNumberFormat="1" applyFont="1" applyAlignment="1">
      <alignment horizontal="left" vertical="center"/>
    </xf>
    <xf numFmtId="4" fontId="26" fillId="3" borderId="0" xfId="28" applyNumberFormat="1" applyFont="1" applyFill="1" applyAlignment="1">
      <alignment horizontal="left" vertical="center"/>
    </xf>
    <xf numFmtId="4" fontId="23" fillId="2" borderId="0" xfId="28" applyNumberFormat="1" applyFont="1" applyFill="1" applyAlignment="1">
      <alignment horizontal="left" vertical="center"/>
    </xf>
    <xf numFmtId="0" fontId="23" fillId="2" borderId="0" xfId="4" applyFont="1" applyFill="1" applyAlignment="1">
      <alignment horizontal="left" vertical="center"/>
    </xf>
    <xf numFmtId="0" fontId="66" fillId="0" borderId="0" xfId="71" applyFont="1" applyFill="1" applyBorder="1" applyAlignment="1"/>
    <xf numFmtId="0" fontId="10" fillId="0" borderId="16" xfId="28" applyFont="1" applyBorder="1"/>
    <xf numFmtId="0" fontId="10" fillId="0" borderId="16" xfId="0" applyFont="1" applyBorder="1"/>
    <xf numFmtId="0" fontId="68" fillId="0" borderId="16" xfId="21" applyFont="1" applyFill="1" applyBorder="1"/>
    <xf numFmtId="0" fontId="66" fillId="0" borderId="16" xfId="21" applyFont="1" applyFill="1" applyBorder="1"/>
    <xf numFmtId="0" fontId="66" fillId="0" borderId="0" xfId="35" applyNumberFormat="1" applyFont="1" applyFill="1" applyBorder="1" applyAlignment="1"/>
    <xf numFmtId="167" fontId="69" fillId="0" borderId="0" xfId="36" applyNumberFormat="1" applyFont="1" applyFill="1" applyBorder="1"/>
    <xf numFmtId="49" fontId="69" fillId="0" borderId="0" xfId="36" applyNumberFormat="1" applyFont="1" applyFill="1" applyBorder="1"/>
    <xf numFmtId="167" fontId="69" fillId="0" borderId="0" xfId="36" applyNumberFormat="1" applyFont="1" applyFill="1" applyBorder="1" applyAlignment="1">
      <alignment horizontal="center" wrapText="1"/>
    </xf>
    <xf numFmtId="167" fontId="69" fillId="0" borderId="0" xfId="36" applyNumberFormat="1" applyFont="1" applyFill="1" applyBorder="1" applyAlignment="1">
      <alignment horizontal="left" wrapText="1"/>
    </xf>
    <xf numFmtId="167" fontId="69" fillId="0" borderId="0" xfId="36" applyNumberFormat="1" applyFont="1" applyFill="1" applyBorder="1" applyAlignment="1">
      <alignment horizontal="left"/>
    </xf>
    <xf numFmtId="167" fontId="69" fillId="0" borderId="0" xfId="36" applyNumberFormat="1" applyFont="1" applyFill="1" applyBorder="1" applyAlignment="1"/>
    <xf numFmtId="0" fontId="23" fillId="0" borderId="0" xfId="4" applyFont="1" applyAlignment="1">
      <alignment horizontal="left" vertical="center"/>
    </xf>
    <xf numFmtId="167" fontId="69" fillId="0" borderId="0" xfId="36" applyNumberFormat="1" applyFont="1" applyFill="1"/>
    <xf numFmtId="49" fontId="69" fillId="0" borderId="0" xfId="36" applyNumberFormat="1" applyFont="1" applyFill="1"/>
    <xf numFmtId="167" fontId="69" fillId="0" borderId="0" xfId="36" applyNumberFormat="1" applyFont="1" applyFill="1" applyAlignment="1">
      <alignment horizontal="center" wrapText="1"/>
    </xf>
    <xf numFmtId="167" fontId="69" fillId="0" borderId="0" xfId="36" applyNumberFormat="1" applyFont="1" applyFill="1" applyAlignment="1">
      <alignment horizontal="left" wrapText="1"/>
    </xf>
    <xf numFmtId="167" fontId="69" fillId="0" borderId="0" xfId="36" applyNumberFormat="1" applyFont="1" applyFill="1" applyAlignment="1">
      <alignment horizontal="left"/>
    </xf>
    <xf numFmtId="167" fontId="69" fillId="0" borderId="0" xfId="36" applyNumberFormat="1" applyFont="1" applyFill="1" applyAlignment="1"/>
    <xf numFmtId="0" fontId="62" fillId="0" borderId="0" xfId="70" applyFont="1" applyFill="1" applyBorder="1" applyAlignment="1">
      <alignment vertical="center" wrapText="1"/>
    </xf>
    <xf numFmtId="0" fontId="62" fillId="0" borderId="0" xfId="70" applyFont="1" applyFill="1" applyBorder="1" applyAlignment="1">
      <alignment horizontal="center" vertical="center"/>
    </xf>
    <xf numFmtId="0" fontId="62" fillId="0" borderId="0" xfId="37" applyNumberFormat="1" applyFont="1" applyFill="1" applyBorder="1" applyAlignment="1"/>
    <xf numFmtId="0" fontId="61" fillId="0" borderId="0" xfId="37" applyNumberFormat="1" applyFont="1" applyFill="1" applyBorder="1" applyAlignment="1"/>
    <xf numFmtId="0" fontId="23" fillId="2" borderId="0" xfId="64" applyFont="1" applyFill="1" applyAlignment="1">
      <alignment horizontal="left" vertical="center"/>
    </xf>
    <xf numFmtId="49" fontId="75" fillId="0" borderId="1" xfId="22" applyNumberFormat="1" applyFont="1" applyFill="1" applyBorder="1" applyAlignment="1">
      <alignment horizontal="center" vertical="top"/>
    </xf>
    <xf numFmtId="14" fontId="75" fillId="0" borderId="1" xfId="28" applyNumberFormat="1" applyFont="1" applyFill="1" applyBorder="1" applyAlignment="1">
      <alignment horizontal="center"/>
    </xf>
    <xf numFmtId="49" fontId="70" fillId="0" borderId="37" xfId="77" applyNumberFormat="1" applyFont="1" applyFill="1" applyBorder="1" applyAlignment="1">
      <alignment horizontal="center" vertical="center"/>
    </xf>
    <xf numFmtId="4" fontId="70" fillId="0" borderId="30" xfId="77" applyNumberFormat="1" applyFont="1" applyFill="1" applyBorder="1" applyAlignment="1">
      <alignment vertical="center"/>
    </xf>
    <xf numFmtId="171" fontId="71" fillId="0" borderId="31" xfId="77" applyNumberFormat="1" applyFont="1" applyFill="1" applyBorder="1" applyAlignment="1">
      <alignment vertical="center"/>
    </xf>
    <xf numFmtId="165" fontId="71" fillId="0" borderId="33" xfId="77" applyNumberFormat="1" applyFont="1" applyFill="1" applyBorder="1" applyAlignment="1">
      <alignment vertical="center"/>
    </xf>
    <xf numFmtId="171" fontId="71" fillId="0" borderId="38" xfId="77" applyNumberFormat="1" applyFont="1" applyFill="1" applyBorder="1" applyAlignment="1">
      <alignment vertical="center"/>
    </xf>
    <xf numFmtId="165" fontId="71" fillId="0" borderId="32" xfId="77" applyNumberFormat="1" applyFont="1" applyFill="1" applyBorder="1" applyAlignment="1">
      <alignment vertical="center"/>
    </xf>
    <xf numFmtId="49" fontId="70" fillId="0" borderId="19" xfId="77" applyNumberFormat="1" applyFont="1" applyFill="1" applyBorder="1" applyAlignment="1">
      <alignment horizontal="center" vertical="center"/>
    </xf>
    <xf numFmtId="4" fontId="70" fillId="0" borderId="39" xfId="77" applyNumberFormat="1" applyFont="1" applyFill="1" applyBorder="1" applyAlignment="1">
      <alignment vertical="center"/>
    </xf>
    <xf numFmtId="165" fontId="71" fillId="0" borderId="19" xfId="77" applyNumberFormat="1" applyFont="1" applyFill="1" applyBorder="1" applyAlignment="1">
      <alignment vertical="center"/>
    </xf>
    <xf numFmtId="172" fontId="71" fillId="0" borderId="41" xfId="77" applyNumberFormat="1" applyFont="1" applyFill="1" applyBorder="1" applyAlignment="1">
      <alignment vertical="center"/>
    </xf>
    <xf numFmtId="165" fontId="71" fillId="0" borderId="26" xfId="77" applyNumberFormat="1" applyFont="1" applyFill="1" applyBorder="1" applyAlignment="1">
      <alignment vertical="center"/>
    </xf>
    <xf numFmtId="165" fontId="71" fillId="0" borderId="42" xfId="77" applyNumberFormat="1" applyFont="1" applyFill="1" applyBorder="1" applyAlignment="1">
      <alignment vertical="center"/>
    </xf>
    <xf numFmtId="49" fontId="70" fillId="0" borderId="43" xfId="77" applyNumberFormat="1" applyFont="1" applyFill="1" applyBorder="1" applyAlignment="1">
      <alignment horizontal="center" vertical="center"/>
    </xf>
    <xf numFmtId="4" fontId="70" fillId="0" borderId="35" xfId="77" applyNumberFormat="1" applyFont="1" applyFill="1" applyBorder="1" applyAlignment="1">
      <alignment vertical="center"/>
    </xf>
    <xf numFmtId="165" fontId="71" fillId="0" borderId="24" xfId="77" applyNumberFormat="1" applyFont="1" applyFill="1" applyBorder="1" applyAlignment="1">
      <alignment vertical="center"/>
    </xf>
    <xf numFmtId="171" fontId="71" fillId="0" borderId="5" xfId="77" applyNumberFormat="1" applyFont="1" applyFill="1" applyBorder="1" applyAlignment="1">
      <alignment vertical="center"/>
    </xf>
    <xf numFmtId="165" fontId="71" fillId="0" borderId="28" xfId="77" applyNumberFormat="1" applyFont="1" applyFill="1" applyBorder="1" applyAlignment="1">
      <alignment vertical="center"/>
    </xf>
    <xf numFmtId="171" fontId="71" fillId="0" borderId="27" xfId="77" applyNumberFormat="1" applyFont="1" applyFill="1" applyBorder="1" applyAlignment="1">
      <alignment vertical="center"/>
    </xf>
    <xf numFmtId="4" fontId="70" fillId="0" borderId="37" xfId="77" applyNumberFormat="1" applyFont="1" applyFill="1" applyBorder="1" applyAlignment="1">
      <alignment vertical="center"/>
    </xf>
    <xf numFmtId="165" fontId="71" fillId="0" borderId="30" xfId="77" applyNumberFormat="1" applyFont="1" applyFill="1" applyBorder="1" applyAlignment="1">
      <alignment vertical="center"/>
    </xf>
    <xf numFmtId="171" fontId="71" fillId="0" borderId="46" xfId="77" applyNumberFormat="1" applyFont="1" applyFill="1" applyBorder="1" applyAlignment="1">
      <alignment vertical="center"/>
    </xf>
    <xf numFmtId="49" fontId="70" fillId="0" borderId="39" xfId="77" applyNumberFormat="1" applyFont="1" applyFill="1" applyBorder="1" applyAlignment="1">
      <alignment horizontal="center" vertical="center"/>
    </xf>
    <xf numFmtId="171" fontId="71" fillId="0" borderId="41" xfId="77" applyNumberFormat="1" applyFont="1" applyFill="1" applyBorder="1" applyAlignment="1">
      <alignment vertical="center"/>
    </xf>
    <xf numFmtId="171" fontId="71" fillId="0" borderId="47" xfId="77" applyNumberFormat="1" applyFont="1" applyFill="1" applyBorder="1" applyAlignment="1">
      <alignment vertical="center"/>
    </xf>
    <xf numFmtId="49" fontId="70" fillId="0" borderId="35" xfId="77" applyNumberFormat="1" applyFont="1" applyFill="1" applyBorder="1" applyAlignment="1">
      <alignment horizontal="center" vertical="center"/>
    </xf>
    <xf numFmtId="165" fontId="71" fillId="0" borderId="48" xfId="77" applyNumberFormat="1" applyFont="1" applyFill="1" applyBorder="1" applyAlignment="1">
      <alignment vertical="center"/>
    </xf>
    <xf numFmtId="171" fontId="71" fillId="0" borderId="41" xfId="77" applyNumberFormat="1" applyFont="1" applyFill="1" applyBorder="1" applyAlignment="1">
      <alignment horizontal="center" vertical="center"/>
    </xf>
    <xf numFmtId="165" fontId="71" fillId="0" borderId="49" xfId="77" applyNumberFormat="1" applyFont="1" applyFill="1" applyBorder="1" applyAlignment="1">
      <alignment vertical="center"/>
    </xf>
    <xf numFmtId="49" fontId="76" fillId="0" borderId="50" xfId="77" applyNumberFormat="1" applyFont="1" applyFill="1" applyBorder="1" applyAlignment="1">
      <alignment horizontal="center" vertical="center"/>
    </xf>
    <xf numFmtId="4" fontId="80" fillId="0" borderId="18" xfId="77" applyNumberFormat="1" applyFont="1" applyFill="1" applyBorder="1" applyAlignment="1">
      <alignment vertical="center" wrapText="1"/>
    </xf>
    <xf numFmtId="171" fontId="82" fillId="0" borderId="51" xfId="77" applyNumberFormat="1" applyFont="1" applyFill="1" applyBorder="1" applyAlignment="1">
      <alignment vertical="center"/>
    </xf>
    <xf numFmtId="165" fontId="82" fillId="0" borderId="52" xfId="77" applyNumberFormat="1" applyFont="1" applyFill="1" applyBorder="1" applyAlignment="1">
      <alignment horizontal="right" vertical="center"/>
    </xf>
    <xf numFmtId="49" fontId="76" fillId="0" borderId="35" xfId="77" applyNumberFormat="1" applyFont="1" applyFill="1" applyBorder="1" applyAlignment="1">
      <alignment horizontal="center" vertical="center"/>
    </xf>
    <xf numFmtId="4" fontId="80" fillId="0" borderId="35" xfId="77" applyNumberFormat="1" applyFont="1" applyFill="1" applyBorder="1" applyAlignment="1">
      <alignment vertical="center" wrapText="1"/>
    </xf>
    <xf numFmtId="171" fontId="82" fillId="0" borderId="4" xfId="77" applyNumberFormat="1" applyFont="1" applyFill="1" applyBorder="1" applyAlignment="1">
      <alignment vertical="center"/>
    </xf>
    <xf numFmtId="165" fontId="82" fillId="0" borderId="28" xfId="77" applyNumberFormat="1" applyFont="1" applyFill="1" applyBorder="1" applyAlignment="1">
      <alignment horizontal="right" vertical="center"/>
    </xf>
    <xf numFmtId="49" fontId="76" fillId="0" borderId="29" xfId="77" applyNumberFormat="1" applyFont="1" applyFill="1" applyBorder="1" applyAlignment="1">
      <alignment horizontal="center" vertical="center"/>
    </xf>
    <xf numFmtId="4" fontId="80" fillId="0" borderId="29" xfId="77" applyNumberFormat="1" applyFont="1" applyFill="1" applyBorder="1" applyAlignment="1">
      <alignment vertical="center" wrapText="1"/>
    </xf>
    <xf numFmtId="171" fontId="82" fillId="0" borderId="53" xfId="77" applyNumberFormat="1" applyFont="1" applyFill="1" applyBorder="1" applyAlignment="1">
      <alignment vertical="center"/>
    </xf>
    <xf numFmtId="165" fontId="82" fillId="0" borderId="48" xfId="77" applyNumberFormat="1" applyFont="1" applyFill="1" applyBorder="1" applyAlignment="1">
      <alignment horizontal="right" vertical="center"/>
    </xf>
    <xf numFmtId="171" fontId="71" fillId="0" borderId="25" xfId="77" applyNumberFormat="1" applyFont="1" applyFill="1" applyBorder="1" applyAlignment="1">
      <alignment vertical="center"/>
    </xf>
    <xf numFmtId="49" fontId="70" fillId="0" borderId="50" xfId="77" applyNumberFormat="1" applyFont="1" applyFill="1" applyBorder="1" applyAlignment="1">
      <alignment horizontal="center" vertical="center"/>
    </xf>
    <xf numFmtId="4" fontId="70" fillId="0" borderId="50" xfId="77" applyNumberFormat="1" applyFont="1" applyFill="1" applyBorder="1" applyAlignment="1">
      <alignment vertical="center"/>
    </xf>
    <xf numFmtId="171" fontId="71" fillId="0" borderId="10" xfId="77" applyNumberFormat="1" applyFont="1" applyFill="1" applyBorder="1" applyAlignment="1">
      <alignment vertical="center"/>
    </xf>
    <xf numFmtId="165" fontId="71" fillId="0" borderId="54" xfId="77" applyNumberFormat="1" applyFont="1" applyFill="1" applyBorder="1" applyAlignment="1">
      <alignment vertical="center"/>
    </xf>
    <xf numFmtId="0" fontId="70" fillId="0" borderId="19" xfId="77" applyNumberFormat="1" applyFont="1" applyFill="1" applyBorder="1" applyAlignment="1">
      <alignment horizontal="center" vertical="center"/>
    </xf>
    <xf numFmtId="4" fontId="70" fillId="0" borderId="0" xfId="77" applyNumberFormat="1" applyFont="1" applyFill="1" applyBorder="1" applyAlignment="1">
      <alignment vertical="center"/>
    </xf>
    <xf numFmtId="165" fontId="71" fillId="0" borderId="0" xfId="77" applyNumberFormat="1" applyFont="1" applyFill="1" applyBorder="1" applyAlignment="1">
      <alignment vertical="center"/>
    </xf>
    <xf numFmtId="165" fontId="71" fillId="0" borderId="52" xfId="77" applyNumberFormat="1" applyFont="1" applyFill="1" applyBorder="1" applyAlignment="1">
      <alignment vertical="center"/>
    </xf>
    <xf numFmtId="4" fontId="71" fillId="0" borderId="1" xfId="77" applyNumberFormat="1" applyFont="1" applyFill="1" applyBorder="1" applyAlignment="1">
      <alignment vertical="center"/>
    </xf>
    <xf numFmtId="0" fontId="70" fillId="0" borderId="24" xfId="77" applyNumberFormat="1" applyFont="1" applyFill="1" applyBorder="1" applyAlignment="1">
      <alignment horizontal="center" vertical="center"/>
    </xf>
    <xf numFmtId="165" fontId="71" fillId="0" borderId="4" xfId="77" applyNumberFormat="1" applyFont="1" applyFill="1" applyBorder="1" applyAlignment="1">
      <alignment vertical="center"/>
    </xf>
    <xf numFmtId="0" fontId="70" fillId="0" borderId="30" xfId="77" applyNumberFormat="1" applyFont="1" applyFill="1" applyBorder="1" applyAlignment="1">
      <alignment horizontal="center" vertical="center"/>
    </xf>
    <xf numFmtId="4" fontId="70" fillId="0" borderId="53" xfId="77" applyNumberFormat="1" applyFont="1" applyFill="1" applyBorder="1" applyAlignment="1">
      <alignment vertical="center" wrapText="1"/>
    </xf>
    <xf numFmtId="165" fontId="71" fillId="0" borderId="58" xfId="77" applyNumberFormat="1" applyFont="1" applyFill="1" applyBorder="1" applyAlignment="1">
      <alignment vertical="center"/>
    </xf>
    <xf numFmtId="165" fontId="71" fillId="0" borderId="59" xfId="77" applyNumberFormat="1" applyFont="1" applyFill="1" applyBorder="1" applyAlignment="1">
      <alignment vertical="center"/>
    </xf>
    <xf numFmtId="0" fontId="70" fillId="0" borderId="59" xfId="77" applyNumberFormat="1" applyFont="1" applyFill="1" applyBorder="1" applyAlignment="1">
      <alignment horizontal="center" vertical="center"/>
    </xf>
    <xf numFmtId="4" fontId="76" fillId="0" borderId="51" xfId="77" applyNumberFormat="1" applyFont="1" applyFill="1" applyBorder="1" applyAlignment="1">
      <alignment vertical="center" wrapText="1"/>
    </xf>
    <xf numFmtId="165" fontId="71" fillId="0" borderId="51" xfId="77" applyNumberFormat="1" applyFont="1" applyFill="1" applyBorder="1" applyAlignment="1">
      <alignment vertical="center"/>
    </xf>
    <xf numFmtId="4" fontId="76" fillId="0" borderId="4" xfId="77" applyNumberFormat="1" applyFont="1" applyFill="1" applyBorder="1" applyAlignment="1">
      <alignment vertical="center" wrapText="1"/>
    </xf>
    <xf numFmtId="0" fontId="70" fillId="0" borderId="60" xfId="77" applyNumberFormat="1" applyFont="1" applyFill="1" applyBorder="1" applyAlignment="1">
      <alignment horizontal="center" vertical="center"/>
    </xf>
    <xf numFmtId="4" fontId="76" fillId="0" borderId="53" xfId="77" applyNumberFormat="1" applyFont="1" applyFill="1" applyBorder="1" applyAlignment="1">
      <alignment vertical="center"/>
    </xf>
    <xf numFmtId="165" fontId="82" fillId="0" borderId="53" xfId="77" applyNumberFormat="1" applyFont="1" applyFill="1" applyBorder="1" applyAlignment="1">
      <alignment vertical="center"/>
    </xf>
    <xf numFmtId="165" fontId="82" fillId="0" borderId="48" xfId="77" applyNumberFormat="1" applyFont="1" applyFill="1" applyBorder="1" applyAlignment="1">
      <alignment vertical="center"/>
    </xf>
    <xf numFmtId="0" fontId="76" fillId="0" borderId="59" xfId="77" applyNumberFormat="1" applyFont="1" applyFill="1" applyBorder="1" applyAlignment="1">
      <alignment horizontal="center" vertical="center"/>
    </xf>
    <xf numFmtId="0" fontId="76" fillId="0" borderId="24" xfId="77" applyNumberFormat="1" applyFont="1" applyFill="1" applyBorder="1" applyAlignment="1">
      <alignment horizontal="center" vertical="center"/>
    </xf>
    <xf numFmtId="0" fontId="76" fillId="0" borderId="60" xfId="77" applyNumberFormat="1" applyFont="1" applyFill="1" applyBorder="1" applyAlignment="1">
      <alignment horizontal="center" vertical="center"/>
    </xf>
    <xf numFmtId="4" fontId="76" fillId="0" borderId="53" xfId="77" applyNumberFormat="1" applyFont="1" applyFill="1" applyBorder="1" applyAlignment="1">
      <alignment vertical="center" wrapText="1"/>
    </xf>
    <xf numFmtId="4" fontId="71" fillId="0" borderId="0" xfId="77" applyNumberFormat="1" applyFont="1" applyFill="1" applyBorder="1" applyAlignment="1">
      <alignment vertical="center"/>
    </xf>
    <xf numFmtId="4" fontId="82" fillId="0" borderId="0" xfId="77" applyNumberFormat="1" applyFont="1" applyFill="1" applyBorder="1" applyAlignment="1">
      <alignment vertical="center"/>
    </xf>
    <xf numFmtId="0" fontId="84" fillId="0" borderId="0" xfId="0" applyFont="1" applyFill="1"/>
    <xf numFmtId="0" fontId="70" fillId="0" borderId="0" xfId="0" applyFont="1" applyFill="1"/>
    <xf numFmtId="0" fontId="85" fillId="0" borderId="0" xfId="28" applyFont="1" applyFill="1"/>
    <xf numFmtId="0" fontId="75" fillId="0" borderId="0" xfId="28" applyFont="1" applyFill="1"/>
    <xf numFmtId="0" fontId="70" fillId="0" borderId="0" xfId="23" applyFont="1" applyFill="1"/>
    <xf numFmtId="0" fontId="75" fillId="0" borderId="16" xfId="23" applyFont="1" applyFill="1" applyBorder="1" applyAlignment="1">
      <alignment horizontal="left" wrapText="1"/>
    </xf>
    <xf numFmtId="0" fontId="75" fillId="0" borderId="0" xfId="23" applyFont="1" applyFill="1" applyBorder="1" applyAlignment="1">
      <alignment horizontal="left" wrapText="1"/>
    </xf>
    <xf numFmtId="0" fontId="70" fillId="0" borderId="9" xfId="28" applyFont="1" applyFill="1" applyBorder="1" applyAlignment="1">
      <alignment horizontal="center" vertical="center" wrapText="1"/>
    </xf>
    <xf numFmtId="49" fontId="75" fillId="0" borderId="3" xfId="28" applyNumberFormat="1" applyFont="1" applyFill="1" applyBorder="1" applyAlignment="1">
      <alignment horizontal="center"/>
    </xf>
    <xf numFmtId="0" fontId="76" fillId="0" borderId="0" xfId="21" applyFont="1" applyFill="1"/>
    <xf numFmtId="0" fontId="86" fillId="0" borderId="0" xfId="80" applyFont="1" applyFill="1" applyAlignment="1">
      <alignment horizontal="left"/>
    </xf>
    <xf numFmtId="4" fontId="86" fillId="0" borderId="0" xfId="80" applyNumberFormat="1" applyFont="1" applyFill="1" applyAlignment="1">
      <alignment horizontal="right" wrapText="1"/>
    </xf>
    <xf numFmtId="0" fontId="87" fillId="0" borderId="0" xfId="0" applyFont="1" applyFill="1"/>
    <xf numFmtId="0" fontId="86" fillId="0" borderId="0" xfId="4" applyFont="1" applyFill="1"/>
    <xf numFmtId="0" fontId="70" fillId="0" borderId="0" xfId="28" applyFont="1" applyFill="1"/>
    <xf numFmtId="0" fontId="85" fillId="0" borderId="0" xfId="81" applyNumberFormat="1" applyFont="1" applyFill="1" applyBorder="1" applyAlignment="1">
      <alignment vertical="center"/>
    </xf>
    <xf numFmtId="0" fontId="86" fillId="0" borderId="0" xfId="40" applyFont="1" applyFill="1" applyBorder="1" applyAlignment="1"/>
    <xf numFmtId="0" fontId="86" fillId="0" borderId="0" xfId="41" applyFont="1" applyFill="1" applyBorder="1" applyAlignment="1"/>
    <xf numFmtId="170" fontId="85" fillId="0" borderId="0" xfId="42" applyNumberFormat="1" applyFont="1" applyFill="1" applyBorder="1" applyAlignment="1">
      <alignment horizontal="right"/>
    </xf>
    <xf numFmtId="172" fontId="86" fillId="0" borderId="0" xfId="42" applyNumberFormat="1" applyFont="1" applyFill="1" applyBorder="1"/>
    <xf numFmtId="164" fontId="70" fillId="0" borderId="0" xfId="82" applyFont="1" applyFill="1"/>
    <xf numFmtId="0" fontId="74" fillId="0" borderId="0" xfId="81" applyNumberFormat="1" applyFont="1" applyFill="1" applyBorder="1" applyAlignment="1">
      <alignment vertical="center"/>
    </xf>
    <xf numFmtId="0" fontId="74" fillId="0" borderId="0" xfId="40" applyFont="1" applyFill="1" applyBorder="1" applyAlignment="1"/>
    <xf numFmtId="0" fontId="74" fillId="0" borderId="0" xfId="41" applyFont="1" applyFill="1" applyBorder="1" applyAlignment="1"/>
    <xf numFmtId="170" fontId="75" fillId="0" borderId="0" xfId="42" applyNumberFormat="1" applyFont="1" applyFill="1" applyBorder="1" applyAlignment="1">
      <alignment horizontal="right"/>
    </xf>
    <xf numFmtId="172" fontId="74" fillId="0" borderId="0" xfId="42" applyNumberFormat="1" applyFont="1" applyFill="1" applyBorder="1" applyAlignment="1">
      <alignment horizontal="right" vertical="center" wrapText="1"/>
    </xf>
    <xf numFmtId="172" fontId="74" fillId="0" borderId="0" xfId="42" applyNumberFormat="1" applyFont="1" applyFill="1" applyBorder="1"/>
    <xf numFmtId="172" fontId="75" fillId="0" borderId="0" xfId="42" applyNumberFormat="1" applyFont="1" applyFill="1" applyBorder="1" applyAlignment="1">
      <alignment horizontal="right"/>
    </xf>
    <xf numFmtId="0" fontId="88" fillId="0" borderId="0" xfId="22" applyFont="1" applyFill="1"/>
    <xf numFmtId="0" fontId="89" fillId="0" borderId="0" xfId="22" applyFont="1" applyFill="1"/>
    <xf numFmtId="169" fontId="89" fillId="0" borderId="0" xfId="22" applyNumberFormat="1" applyFont="1" applyFill="1"/>
    <xf numFmtId="4" fontId="0" fillId="0" borderId="0" xfId="0" applyNumberFormat="1" applyFill="1" applyAlignment="1">
      <alignment horizontal="right"/>
    </xf>
    <xf numFmtId="4" fontId="25" fillId="0" borderId="0" xfId="45" applyNumberFormat="1" applyFont="1" applyFill="1"/>
    <xf numFmtId="4" fontId="25" fillId="0" borderId="0" xfId="46" applyNumberFormat="1" applyFont="1" applyFill="1"/>
    <xf numFmtId="0" fontId="15" fillId="0" borderId="0" xfId="21" applyFill="1"/>
    <xf numFmtId="169" fontId="25" fillId="0" borderId="0" xfId="21" applyNumberFormat="1" applyFont="1" applyFill="1" applyAlignment="1"/>
    <xf numFmtId="0" fontId="18" fillId="0" borderId="0" xfId="21" applyFont="1" applyFill="1"/>
    <xf numFmtId="167" fontId="28" fillId="0" borderId="0" xfId="21" applyNumberFormat="1" applyFont="1" applyFill="1" applyAlignment="1"/>
    <xf numFmtId="4" fontId="28" fillId="0" borderId="0" xfId="21" applyNumberFormat="1" applyFont="1" applyFill="1" applyAlignment="1">
      <alignment horizontal="right"/>
    </xf>
    <xf numFmtId="169" fontId="28" fillId="0" borderId="0" xfId="21" applyNumberFormat="1" applyFont="1" applyFill="1" applyAlignment="1"/>
    <xf numFmtId="0" fontId="82" fillId="0" borderId="4" xfId="21" applyFont="1" applyFill="1" applyBorder="1" applyAlignment="1">
      <alignment wrapText="1"/>
    </xf>
    <xf numFmtId="0" fontId="82" fillId="0" borderId="5" xfId="21" applyFont="1" applyFill="1" applyBorder="1" applyAlignment="1">
      <alignment wrapText="1"/>
    </xf>
    <xf numFmtId="0" fontId="90" fillId="0" borderId="3" xfId="21" applyFont="1" applyFill="1" applyBorder="1" applyAlignment="1">
      <alignment horizontal="right" wrapText="1"/>
    </xf>
    <xf numFmtId="0" fontId="90" fillId="0" borderId="4" xfId="21" applyFont="1" applyFill="1" applyBorder="1" applyAlignment="1">
      <alignment horizontal="left" wrapText="1"/>
    </xf>
    <xf numFmtId="0" fontId="71" fillId="0" borderId="3" xfId="21" applyFont="1" applyFill="1" applyBorder="1" applyAlignment="1">
      <alignment horizontal="right" wrapText="1"/>
    </xf>
    <xf numFmtId="0" fontId="71" fillId="0" borderId="4" xfId="21" applyFont="1" applyFill="1" applyBorder="1" applyAlignment="1">
      <alignment horizontal="right" wrapText="1"/>
    </xf>
    <xf numFmtId="0" fontId="90" fillId="0" borderId="5" xfId="21" applyFont="1" applyFill="1" applyBorder="1" applyAlignment="1">
      <alignment horizontal="left" wrapText="1"/>
    </xf>
    <xf numFmtId="170" fontId="87" fillId="0" borderId="0" xfId="0" applyNumberFormat="1" applyFont="1" applyFill="1"/>
    <xf numFmtId="0" fontId="92" fillId="0" borderId="16" xfId="4" applyFont="1" applyFill="1" applyBorder="1"/>
    <xf numFmtId="0" fontId="72" fillId="0" borderId="0" xfId="4" applyFont="1" applyFill="1"/>
    <xf numFmtId="0" fontId="87" fillId="0" borderId="0" xfId="6" applyFont="1" applyFill="1"/>
    <xf numFmtId="0" fontId="92" fillId="0" borderId="16" xfId="21" applyFont="1" applyFill="1" applyBorder="1"/>
    <xf numFmtId="165" fontId="71" fillId="0" borderId="61" xfId="77" applyNumberFormat="1" applyFont="1" applyFill="1" applyBorder="1" applyAlignment="1">
      <alignment vertical="center"/>
    </xf>
    <xf numFmtId="165" fontId="71" fillId="0" borderId="36" xfId="77" applyNumberFormat="1" applyFont="1" applyFill="1" applyBorder="1" applyAlignment="1">
      <alignment vertical="center"/>
    </xf>
    <xf numFmtId="171" fontId="71" fillId="0" borderId="36" xfId="77" applyNumberFormat="1" applyFont="1" applyFill="1" applyBorder="1" applyAlignment="1">
      <alignment vertical="center"/>
    </xf>
    <xf numFmtId="0" fontId="94" fillId="0" borderId="0" xfId="0" applyFont="1" applyFill="1"/>
    <xf numFmtId="164" fontId="95" fillId="0" borderId="0" xfId="82" applyFont="1" applyFill="1"/>
    <xf numFmtId="0" fontId="29" fillId="0" borderId="0" xfId="0" applyFont="1" applyFill="1" applyAlignment="1">
      <alignment horizontal="center" wrapText="1"/>
    </xf>
    <xf numFmtId="0" fontId="70" fillId="0" borderId="0" xfId="28" applyFont="1" applyFill="1" applyAlignment="1">
      <alignment horizontal="right"/>
    </xf>
    <xf numFmtId="0" fontId="75" fillId="0" borderId="3" xfId="28" applyFont="1" applyFill="1" applyBorder="1" applyAlignment="1">
      <alignment horizontal="center"/>
    </xf>
    <xf numFmtId="0" fontId="25" fillId="0" borderId="0" xfId="0" applyFont="1" applyFill="1" applyAlignment="1">
      <alignment horizontal="left" wrapText="1"/>
    </xf>
    <xf numFmtId="0" fontId="75" fillId="0" borderId="16" xfId="28" applyFont="1" applyFill="1" applyBorder="1" applyAlignment="1">
      <alignment horizontal="left" wrapText="1"/>
    </xf>
    <xf numFmtId="0" fontId="75" fillId="0" borderId="0" xfId="28" applyFont="1" applyFill="1" applyAlignment="1">
      <alignment horizontal="left" wrapText="1"/>
    </xf>
    <xf numFmtId="0" fontId="75" fillId="0" borderId="0" xfId="28" applyFont="1" applyFill="1" applyAlignment="1">
      <alignment horizontal="right"/>
    </xf>
    <xf numFmtId="0" fontId="75" fillId="0" borderId="9" xfId="28" applyFont="1" applyFill="1" applyBorder="1" applyAlignment="1">
      <alignment horizontal="center"/>
    </xf>
    <xf numFmtId="0" fontId="28" fillId="0" borderId="0" xfId="0" applyFont="1" applyFill="1" applyAlignment="1">
      <alignment horizontal="left" wrapText="1"/>
    </xf>
    <xf numFmtId="14" fontId="75" fillId="0" borderId="3" xfId="28" applyNumberFormat="1" applyFont="1" applyFill="1" applyBorder="1" applyAlignment="1">
      <alignment horizontal="center"/>
    </xf>
    <xf numFmtId="0" fontId="70" fillId="0" borderId="2" xfId="28" applyFont="1" applyFill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169" fontId="28" fillId="0" borderId="15" xfId="0" applyNumberFormat="1" applyFont="1" applyBorder="1" applyAlignment="1">
      <alignment horizontal="right"/>
    </xf>
    <xf numFmtId="0" fontId="25" fillId="0" borderId="15" xfId="0" applyFont="1" applyBorder="1" applyAlignment="1">
      <alignment horizontal="left" wrapText="1"/>
    </xf>
    <xf numFmtId="0" fontId="25" fillId="0" borderId="9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0" fontId="25" fillId="0" borderId="12" xfId="0" applyFont="1" applyBorder="1" applyAlignment="1">
      <alignment horizontal="center" vertical="center" wrapText="1"/>
    </xf>
    <xf numFmtId="0" fontId="29" fillId="0" borderId="0" xfId="0" applyFont="1" applyAlignment="1">
      <alignment horizontal="center" wrapText="1"/>
    </xf>
    <xf numFmtId="0" fontId="28" fillId="0" borderId="0" xfId="0" applyFont="1" applyAlignment="1">
      <alignment horizontal="left" wrapText="1"/>
    </xf>
    <xf numFmtId="169" fontId="28" fillId="0" borderId="0" xfId="0" applyNumberFormat="1" applyFont="1" applyAlignment="1">
      <alignment horizontal="right"/>
    </xf>
    <xf numFmtId="0" fontId="28" fillId="0" borderId="0" xfId="0" applyFont="1" applyAlignment="1">
      <alignment horizontal="right"/>
    </xf>
    <xf numFmtId="0" fontId="29" fillId="0" borderId="0" xfId="0" applyFont="1" applyFill="1" applyAlignment="1">
      <alignment horizontal="center"/>
    </xf>
    <xf numFmtId="0" fontId="29" fillId="0" borderId="0" xfId="0" applyFont="1" applyFill="1" applyAlignment="1">
      <alignment horizontal="center" wrapText="1"/>
    </xf>
    <xf numFmtId="169" fontId="28" fillId="0" borderId="0" xfId="0" applyNumberFormat="1" applyFont="1" applyBorder="1" applyAlignment="1">
      <alignment horizontal="right"/>
    </xf>
    <xf numFmtId="169" fontId="28" fillId="0" borderId="8" xfId="0" applyNumberFormat="1" applyFont="1" applyBorder="1" applyAlignment="1">
      <alignment horizontal="right"/>
    </xf>
    <xf numFmtId="0" fontId="25" fillId="0" borderId="0" xfId="0" applyFont="1" applyAlignment="1">
      <alignment horizontal="left" wrapText="1"/>
    </xf>
    <xf numFmtId="169" fontId="25" fillId="0" borderId="0" xfId="0" applyNumberFormat="1" applyFont="1" applyAlignment="1">
      <alignment horizontal="right"/>
    </xf>
    <xf numFmtId="169" fontId="25" fillId="4" borderId="0" xfId="0" applyNumberFormat="1" applyFont="1" applyFill="1"/>
    <xf numFmtId="169" fontId="25" fillId="4" borderId="0" xfId="21" applyNumberFormat="1" applyFont="1" applyFill="1" applyAlignment="1">
      <alignment horizontal="right"/>
    </xf>
    <xf numFmtId="0" fontId="25" fillId="4" borderId="0" xfId="21" applyFont="1" applyFill="1" applyAlignment="1">
      <alignment horizontal="right"/>
    </xf>
    <xf numFmtId="0" fontId="18" fillId="4" borderId="15" xfId="0" applyFont="1" applyFill="1" applyBorder="1" applyAlignment="1">
      <alignment horizontal="center"/>
    </xf>
    <xf numFmtId="0" fontId="33" fillId="4" borderId="0" xfId="0" applyFont="1" applyFill="1" applyAlignment="1">
      <alignment horizontal="left" wrapText="1"/>
    </xf>
    <xf numFmtId="0" fontId="33" fillId="4" borderId="15" xfId="0" applyFont="1" applyFill="1" applyBorder="1" applyAlignment="1">
      <alignment horizontal="left" wrapText="1"/>
    </xf>
    <xf numFmtId="169" fontId="28" fillId="4" borderId="0" xfId="21" applyNumberFormat="1" applyFont="1" applyFill="1" applyAlignment="1">
      <alignment horizontal="right"/>
    </xf>
    <xf numFmtId="167" fontId="28" fillId="4" borderId="0" xfId="21" applyNumberFormat="1" applyFont="1" applyFill="1" applyAlignment="1">
      <alignment horizontal="right"/>
    </xf>
    <xf numFmtId="0" fontId="27" fillId="4" borderId="8" xfId="21" applyFont="1" applyFill="1" applyBorder="1" applyAlignment="1">
      <alignment horizontal="center"/>
    </xf>
    <xf numFmtId="49" fontId="25" fillId="4" borderId="9" xfId="0" applyNumberFormat="1" applyFont="1" applyFill="1" applyBorder="1" applyAlignment="1">
      <alignment horizontal="center"/>
    </xf>
    <xf numFmtId="49" fontId="25" fillId="4" borderId="8" xfId="0" applyNumberFormat="1" applyFont="1" applyFill="1" applyBorder="1" applyAlignment="1">
      <alignment horizontal="center"/>
    </xf>
    <xf numFmtId="49" fontId="25" fillId="4" borderId="10" xfId="0" applyNumberFormat="1" applyFont="1" applyFill="1" applyBorder="1" applyAlignment="1">
      <alignment horizontal="center"/>
    </xf>
    <xf numFmtId="49" fontId="25" fillId="4" borderId="11" xfId="0" applyNumberFormat="1" applyFont="1" applyFill="1" applyBorder="1" applyAlignment="1">
      <alignment horizontal="center"/>
    </xf>
    <xf numFmtId="49" fontId="25" fillId="4" borderId="15" xfId="0" applyNumberFormat="1" applyFont="1" applyFill="1" applyBorder="1" applyAlignment="1">
      <alignment horizontal="center"/>
    </xf>
    <xf numFmtId="49" fontId="25" fillId="4" borderId="12" xfId="0" applyNumberFormat="1" applyFont="1" applyFill="1" applyBorder="1" applyAlignment="1">
      <alignment horizontal="center"/>
    </xf>
    <xf numFmtId="0" fontId="25" fillId="4" borderId="0" xfId="0" applyFont="1" applyFill="1" applyAlignment="1">
      <alignment horizontal="left" wrapText="1"/>
    </xf>
    <xf numFmtId="0" fontId="25" fillId="4" borderId="15" xfId="21" applyFont="1" applyFill="1" applyBorder="1" applyAlignment="1">
      <alignment horizontal="left" wrapText="1"/>
    </xf>
    <xf numFmtId="0" fontId="25" fillId="4" borderId="15" xfId="28" applyFont="1" applyFill="1" applyBorder="1" applyAlignment="1">
      <alignment horizontal="left" wrapText="1"/>
    </xf>
    <xf numFmtId="0" fontId="15" fillId="4" borderId="0" xfId="0" applyFont="1" applyFill="1" applyAlignment="1">
      <alignment horizontal="right"/>
    </xf>
    <xf numFmtId="0" fontId="25" fillId="4" borderId="1" xfId="0" applyFont="1" applyFill="1" applyBorder="1" applyAlignment="1">
      <alignment horizontal="center"/>
    </xf>
    <xf numFmtId="0" fontId="25" fillId="4" borderId="1" xfId="0" quotePrefix="1" applyFont="1" applyFill="1" applyBorder="1" applyAlignment="1">
      <alignment horizontal="center"/>
    </xf>
    <xf numFmtId="0" fontId="25" fillId="4" borderId="0" xfId="0" applyFont="1" applyFill="1" applyAlignment="1">
      <alignment horizontal="right"/>
    </xf>
    <xf numFmtId="0" fontId="25" fillId="4" borderId="14" xfId="0" applyFont="1" applyFill="1" applyBorder="1" applyAlignment="1">
      <alignment horizontal="right"/>
    </xf>
    <xf numFmtId="0" fontId="25" fillId="4" borderId="3" xfId="0" applyFont="1" applyFill="1" applyBorder="1" applyAlignment="1">
      <alignment horizontal="center"/>
    </xf>
    <xf numFmtId="0" fontId="25" fillId="4" borderId="4" xfId="0" applyFont="1" applyFill="1" applyBorder="1" applyAlignment="1">
      <alignment horizontal="center"/>
    </xf>
    <xf numFmtId="0" fontId="25" fillId="4" borderId="5" xfId="0" applyFont="1" applyFill="1" applyBorder="1" applyAlignment="1">
      <alignment horizontal="center"/>
    </xf>
    <xf numFmtId="14" fontId="25" fillId="4" borderId="1" xfId="0" applyNumberFormat="1" applyFont="1" applyFill="1" applyBorder="1" applyAlignment="1">
      <alignment horizontal="center"/>
    </xf>
    <xf numFmtId="0" fontId="25" fillId="4" borderId="3" xfId="0" quotePrefix="1" applyFont="1" applyFill="1" applyBorder="1" applyAlignment="1">
      <alignment horizontal="center"/>
    </xf>
    <xf numFmtId="0" fontId="25" fillId="4" borderId="4" xfId="0" quotePrefix="1" applyFont="1" applyFill="1" applyBorder="1" applyAlignment="1">
      <alignment horizontal="center"/>
    </xf>
    <xf numFmtId="0" fontId="25" fillId="4" borderId="5" xfId="0" quotePrefix="1" applyFont="1" applyFill="1" applyBorder="1" applyAlignment="1">
      <alignment horizontal="center"/>
    </xf>
    <xf numFmtId="14" fontId="25" fillId="4" borderId="3" xfId="0" applyNumberFormat="1" applyFont="1" applyFill="1" applyBorder="1" applyAlignment="1">
      <alignment horizontal="center"/>
    </xf>
    <xf numFmtId="14" fontId="25" fillId="4" borderId="4" xfId="0" applyNumberFormat="1" applyFont="1" applyFill="1" applyBorder="1" applyAlignment="1">
      <alignment horizontal="center"/>
    </xf>
    <xf numFmtId="14" fontId="25" fillId="4" borderId="5" xfId="0" applyNumberFormat="1" applyFont="1" applyFill="1" applyBorder="1" applyAlignment="1">
      <alignment horizontal="center"/>
    </xf>
    <xf numFmtId="0" fontId="15" fillId="4" borderId="2" xfId="0" applyFont="1" applyFill="1" applyBorder="1" applyAlignment="1">
      <alignment horizontal="center" vertical="center" wrapText="1"/>
    </xf>
    <xf numFmtId="0" fontId="15" fillId="4" borderId="6" xfId="0" applyFont="1" applyFill="1" applyBorder="1" applyAlignment="1">
      <alignment horizontal="center" vertical="center" wrapText="1"/>
    </xf>
    <xf numFmtId="0" fontId="15" fillId="4" borderId="9" xfId="0" applyFont="1" applyFill="1" applyBorder="1" applyAlignment="1">
      <alignment horizontal="center" vertical="center" wrapText="1"/>
    </xf>
    <xf numFmtId="0" fontId="15" fillId="4" borderId="13" xfId="0" applyFont="1" applyFill="1" applyBorder="1" applyAlignment="1">
      <alignment horizontal="center" vertical="center" wrapText="1"/>
    </xf>
    <xf numFmtId="0" fontId="15" fillId="4" borderId="10" xfId="0" applyFont="1" applyFill="1" applyBorder="1" applyAlignment="1">
      <alignment horizontal="center" vertical="center" wrapText="1"/>
    </xf>
    <xf numFmtId="0" fontId="25" fillId="4" borderId="1" xfId="21" applyFont="1" applyFill="1" applyBorder="1" applyAlignment="1">
      <alignment horizontal="center"/>
    </xf>
    <xf numFmtId="0" fontId="42" fillId="4" borderId="0" xfId="21" applyFont="1" applyFill="1" applyAlignment="1">
      <alignment horizontal="left" wrapText="1"/>
    </xf>
    <xf numFmtId="0" fontId="27" fillId="4" borderId="8" xfId="0" applyFont="1" applyFill="1" applyBorder="1" applyAlignment="1">
      <alignment horizontal="center"/>
    </xf>
    <xf numFmtId="0" fontId="19" fillId="4" borderId="0" xfId="0" applyFont="1" applyFill="1" applyAlignment="1">
      <alignment horizontal="center"/>
    </xf>
    <xf numFmtId="0" fontId="55" fillId="0" borderId="0" xfId="0" applyFont="1" applyAlignment="1">
      <alignment horizontal="left" wrapText="1"/>
    </xf>
    <xf numFmtId="0" fontId="29" fillId="0" borderId="0" xfId="0" applyFont="1" applyFill="1" applyAlignment="1">
      <alignment horizontal="center" vertical="center" wrapText="1"/>
    </xf>
    <xf numFmtId="0" fontId="25" fillId="0" borderId="0" xfId="0" applyFont="1" applyAlignment="1">
      <alignment horizontal="left" vertical="center" wrapText="1"/>
    </xf>
    <xf numFmtId="0" fontId="28" fillId="4" borderId="0" xfId="0" applyFont="1" applyFill="1" applyAlignment="1">
      <alignment horizontal="left" wrapText="1"/>
    </xf>
    <xf numFmtId="0" fontId="66" fillId="0" borderId="0" xfId="21" applyFont="1" applyFill="1" applyBorder="1" applyAlignment="1">
      <alignment horizontal="right" wrapText="1"/>
    </xf>
    <xf numFmtId="0" fontId="67" fillId="0" borderId="0" xfId="28" applyFont="1" applyFill="1" applyAlignment="1">
      <alignment horizontal="right"/>
    </xf>
    <xf numFmtId="0" fontId="67" fillId="0" borderId="0" xfId="28" applyFont="1" applyFill="1" applyAlignment="1"/>
    <xf numFmtId="0" fontId="64" fillId="0" borderId="0" xfId="28" applyFont="1" applyFill="1" applyAlignment="1">
      <alignment horizontal="center"/>
    </xf>
    <xf numFmtId="0" fontId="33" fillId="2" borderId="2" xfId="23" applyFont="1" applyFill="1" applyBorder="1" applyAlignment="1">
      <alignment horizontal="center" vertical="center" wrapText="1"/>
    </xf>
    <xf numFmtId="0" fontId="33" fillId="2" borderId="6" xfId="23" applyFont="1" applyFill="1" applyBorder="1" applyAlignment="1">
      <alignment horizontal="center" vertical="center" wrapText="1"/>
    </xf>
    <xf numFmtId="0" fontId="33" fillId="0" borderId="2" xfId="28" applyFont="1" applyBorder="1" applyAlignment="1">
      <alignment horizontal="center" vertical="center" wrapText="1"/>
    </xf>
    <xf numFmtId="0" fontId="33" fillId="0" borderId="6" xfId="28" applyFont="1" applyBorder="1" applyAlignment="1">
      <alignment horizontal="center" vertical="center" wrapText="1"/>
    </xf>
    <xf numFmtId="3" fontId="33" fillId="0" borderId="2" xfId="28" applyNumberFormat="1" applyFont="1" applyBorder="1" applyAlignment="1">
      <alignment horizontal="center" vertical="center" wrapText="1"/>
    </xf>
    <xf numFmtId="3" fontId="33" fillId="0" borderId="6" xfId="28" applyNumberFormat="1" applyFont="1" applyBorder="1" applyAlignment="1">
      <alignment horizontal="center" vertical="center" wrapText="1"/>
    </xf>
    <xf numFmtId="0" fontId="33" fillId="0" borderId="3" xfId="28" applyFont="1" applyBorder="1" applyAlignment="1">
      <alignment horizontal="center" vertical="center" wrapText="1"/>
    </xf>
    <xf numFmtId="0" fontId="33" fillId="0" borderId="4" xfId="28" applyFont="1" applyBorder="1" applyAlignment="1">
      <alignment horizontal="center" vertical="center" wrapText="1"/>
    </xf>
    <xf numFmtId="0" fontId="33" fillId="0" borderId="5" xfId="28" applyFont="1" applyBorder="1" applyAlignment="1">
      <alignment horizontal="center" vertical="center" wrapText="1"/>
    </xf>
    <xf numFmtId="0" fontId="33" fillId="2" borderId="3" xfId="28" applyFont="1" applyFill="1" applyBorder="1" applyAlignment="1">
      <alignment horizontal="center" vertical="center" wrapText="1"/>
    </xf>
    <xf numFmtId="0" fontId="33" fillId="2" borderId="4" xfId="28" applyFont="1" applyFill="1" applyBorder="1" applyAlignment="1">
      <alignment horizontal="center" vertical="center" wrapText="1"/>
    </xf>
    <xf numFmtId="0" fontId="33" fillId="2" borderId="5" xfId="28" applyFont="1" applyFill="1" applyBorder="1" applyAlignment="1">
      <alignment horizontal="center" vertical="center" wrapText="1"/>
    </xf>
    <xf numFmtId="0" fontId="33" fillId="2" borderId="2" xfId="28" applyFont="1" applyFill="1" applyBorder="1" applyAlignment="1">
      <alignment horizontal="center" vertical="center" wrapText="1"/>
    </xf>
    <xf numFmtId="0" fontId="33" fillId="2" borderId="6" xfId="28" applyFont="1" applyFill="1" applyBorder="1" applyAlignment="1">
      <alignment horizontal="center" vertical="center" wrapText="1"/>
    </xf>
    <xf numFmtId="3" fontId="33" fillId="0" borderId="1" xfId="28" applyNumberFormat="1" applyFont="1" applyBorder="1" applyAlignment="1">
      <alignment horizontal="center" vertical="center" wrapText="1"/>
    </xf>
    <xf numFmtId="0" fontId="28" fillId="0" borderId="0" xfId="0" applyFont="1" applyFill="1" applyAlignment="1">
      <alignment horizontal="left" wrapText="1"/>
    </xf>
    <xf numFmtId="0" fontId="19" fillId="0" borderId="0" xfId="0" applyFont="1" applyFill="1" applyAlignment="1">
      <alignment horizontal="center"/>
    </xf>
    <xf numFmtId="0" fontId="25" fillId="0" borderId="0" xfId="0" applyFont="1" applyFill="1" applyAlignment="1">
      <alignment horizontal="left" wrapText="1"/>
    </xf>
    <xf numFmtId="14" fontId="75" fillId="0" borderId="3" xfId="28" applyNumberFormat="1" applyFont="1" applyFill="1" applyBorder="1" applyAlignment="1">
      <alignment horizontal="center"/>
    </xf>
    <xf numFmtId="14" fontId="75" fillId="0" borderId="4" xfId="28" applyNumberFormat="1" applyFont="1" applyFill="1" applyBorder="1" applyAlignment="1">
      <alignment horizontal="center"/>
    </xf>
    <xf numFmtId="14" fontId="75" fillId="0" borderId="5" xfId="28" applyNumberFormat="1" applyFont="1" applyFill="1" applyBorder="1" applyAlignment="1">
      <alignment horizontal="center"/>
    </xf>
    <xf numFmtId="0" fontId="75" fillId="0" borderId="3" xfId="28" applyFont="1" applyFill="1" applyBorder="1" applyAlignment="1">
      <alignment horizontal="center"/>
    </xf>
    <xf numFmtId="0" fontId="75" fillId="0" borderId="4" xfId="28" applyFont="1" applyFill="1" applyBorder="1" applyAlignment="1">
      <alignment horizontal="center"/>
    </xf>
    <xf numFmtId="0" fontId="75" fillId="0" borderId="5" xfId="28" applyFont="1" applyFill="1" applyBorder="1" applyAlignment="1">
      <alignment horizontal="center"/>
    </xf>
    <xf numFmtId="0" fontId="70" fillId="0" borderId="2" xfId="28" applyFont="1" applyFill="1" applyBorder="1" applyAlignment="1">
      <alignment horizontal="center" vertical="center" wrapText="1"/>
    </xf>
    <xf numFmtId="0" fontId="70" fillId="0" borderId="6" xfId="28" applyFont="1" applyFill="1" applyBorder="1" applyAlignment="1">
      <alignment horizontal="center" vertical="center" wrapText="1"/>
    </xf>
    <xf numFmtId="0" fontId="70" fillId="0" borderId="3" xfId="28" applyFont="1" applyFill="1" applyBorder="1" applyAlignment="1">
      <alignment horizontal="center" vertical="center" wrapText="1"/>
    </xf>
    <xf numFmtId="0" fontId="70" fillId="0" borderId="5" xfId="28" applyFont="1" applyFill="1" applyBorder="1" applyAlignment="1">
      <alignment horizontal="center" vertical="center" wrapText="1"/>
    </xf>
    <xf numFmtId="0" fontId="84" fillId="0" borderId="17" xfId="28" applyFont="1" applyFill="1" applyBorder="1" applyAlignment="1">
      <alignment horizontal="center"/>
    </xf>
    <xf numFmtId="0" fontId="75" fillId="0" borderId="0" xfId="28" applyFont="1" applyFill="1" applyAlignment="1">
      <alignment horizontal="right"/>
    </xf>
    <xf numFmtId="0" fontId="75" fillId="0" borderId="14" xfId="28" applyFont="1" applyFill="1" applyBorder="1" applyAlignment="1">
      <alignment horizontal="right"/>
    </xf>
    <xf numFmtId="0" fontId="84" fillId="0" borderId="17" xfId="28" applyFont="1" applyFill="1" applyBorder="1" applyAlignment="1">
      <alignment horizontal="center" vertical="top"/>
    </xf>
    <xf numFmtId="0" fontId="75" fillId="0" borderId="13" xfId="28" applyFont="1" applyFill="1" applyBorder="1" applyAlignment="1">
      <alignment horizontal="center"/>
    </xf>
    <xf numFmtId="0" fontId="75" fillId="0" borderId="0" xfId="28" applyFont="1" applyFill="1" applyBorder="1" applyAlignment="1">
      <alignment horizontal="center"/>
    </xf>
    <xf numFmtId="0" fontId="75" fillId="0" borderId="14" xfId="28" applyFont="1" applyFill="1" applyBorder="1" applyAlignment="1">
      <alignment horizontal="center"/>
    </xf>
    <xf numFmtId="0" fontId="75" fillId="0" borderId="11" xfId="28" applyFont="1" applyFill="1" applyBorder="1" applyAlignment="1">
      <alignment horizontal="center"/>
    </xf>
    <xf numFmtId="0" fontId="75" fillId="0" borderId="16" xfId="28" applyFont="1" applyFill="1" applyBorder="1" applyAlignment="1">
      <alignment horizontal="center"/>
    </xf>
    <xf numFmtId="0" fontId="75" fillId="0" borderId="12" xfId="28" applyFont="1" applyFill="1" applyBorder="1" applyAlignment="1">
      <alignment horizontal="center"/>
    </xf>
    <xf numFmtId="0" fontId="75" fillId="0" borderId="16" xfId="28" applyFont="1" applyFill="1" applyBorder="1" applyAlignment="1">
      <alignment horizontal="left" wrapText="1"/>
    </xf>
    <xf numFmtId="0" fontId="75" fillId="0" borderId="9" xfId="28" applyFont="1" applyFill="1" applyBorder="1" applyAlignment="1">
      <alignment horizontal="center"/>
    </xf>
    <xf numFmtId="0" fontId="75" fillId="0" borderId="17" xfId="28" applyFont="1" applyFill="1" applyBorder="1" applyAlignment="1">
      <alignment horizontal="center"/>
    </xf>
    <xf numFmtId="0" fontId="75" fillId="0" borderId="10" xfId="28" applyFont="1" applyFill="1" applyBorder="1" applyAlignment="1">
      <alignment horizontal="center"/>
    </xf>
    <xf numFmtId="49" fontId="75" fillId="0" borderId="9" xfId="28" applyNumberFormat="1" applyFont="1" applyFill="1" applyBorder="1" applyAlignment="1">
      <alignment horizontal="center"/>
    </xf>
    <xf numFmtId="49" fontId="75" fillId="0" borderId="17" xfId="28" applyNumberFormat="1" applyFont="1" applyFill="1" applyBorder="1" applyAlignment="1">
      <alignment horizontal="center"/>
    </xf>
    <xf numFmtId="49" fontId="75" fillId="0" borderId="10" xfId="28" applyNumberFormat="1" applyFont="1" applyFill="1" applyBorder="1" applyAlignment="1">
      <alignment horizontal="center"/>
    </xf>
    <xf numFmtId="49" fontId="75" fillId="0" borderId="11" xfId="28" applyNumberFormat="1" applyFont="1" applyFill="1" applyBorder="1" applyAlignment="1">
      <alignment horizontal="center"/>
    </xf>
    <xf numFmtId="49" fontId="75" fillId="0" borderId="16" xfId="28" applyNumberFormat="1" applyFont="1" applyFill="1" applyBorder="1" applyAlignment="1">
      <alignment horizontal="center"/>
    </xf>
    <xf numFmtId="49" fontId="75" fillId="0" borderId="12" xfId="28" applyNumberFormat="1" applyFont="1" applyFill="1" applyBorder="1" applyAlignment="1">
      <alignment horizontal="center"/>
    </xf>
    <xf numFmtId="0" fontId="75" fillId="0" borderId="0" xfId="28" applyFont="1" applyFill="1" applyAlignment="1">
      <alignment horizontal="left" wrapText="1"/>
    </xf>
    <xf numFmtId="0" fontId="70" fillId="0" borderId="0" xfId="28" applyFont="1" applyFill="1" applyAlignment="1">
      <alignment horizontal="right"/>
    </xf>
    <xf numFmtId="0" fontId="75" fillId="0" borderId="3" xfId="28" quotePrefix="1" applyFont="1" applyFill="1" applyBorder="1" applyAlignment="1">
      <alignment horizontal="center"/>
    </xf>
    <xf numFmtId="0" fontId="75" fillId="0" borderId="4" xfId="28" quotePrefix="1" applyFont="1" applyFill="1" applyBorder="1" applyAlignment="1">
      <alignment horizontal="center"/>
    </xf>
    <xf numFmtId="0" fontId="75" fillId="0" borderId="5" xfId="28" quotePrefix="1" applyFont="1" applyFill="1" applyBorder="1" applyAlignment="1">
      <alignment horizontal="center"/>
    </xf>
    <xf numFmtId="169" fontId="25" fillId="0" borderId="0" xfId="21" applyNumberFormat="1" applyFont="1" applyFill="1" applyAlignment="1">
      <alignment horizontal="right"/>
    </xf>
    <xf numFmtId="0" fontId="92" fillId="0" borderId="16" xfId="21" applyFont="1" applyFill="1" applyBorder="1" applyAlignment="1">
      <alignment horizontal="right"/>
    </xf>
    <xf numFmtId="3" fontId="75" fillId="0" borderId="3" xfId="44" applyNumberFormat="1" applyFont="1" applyFill="1" applyBorder="1" applyAlignment="1">
      <alignment horizontal="right" wrapText="1"/>
    </xf>
    <xf numFmtId="3" fontId="75" fillId="0" borderId="5" xfId="44" applyNumberFormat="1" applyFont="1" applyFill="1" applyBorder="1" applyAlignment="1">
      <alignment horizontal="right" wrapText="1"/>
    </xf>
    <xf numFmtId="4" fontId="75" fillId="0" borderId="3" xfId="44" applyNumberFormat="1" applyFont="1" applyFill="1" applyBorder="1" applyAlignment="1">
      <alignment horizontal="right" wrapText="1"/>
    </xf>
    <xf numFmtId="4" fontId="75" fillId="0" borderId="5" xfId="44" applyNumberFormat="1" applyFont="1" applyFill="1" applyBorder="1" applyAlignment="1">
      <alignment horizontal="right" wrapText="1"/>
    </xf>
    <xf numFmtId="173" fontId="75" fillId="0" borderId="3" xfId="44" applyNumberFormat="1" applyFont="1" applyFill="1" applyBorder="1" applyAlignment="1">
      <alignment horizontal="right" wrapText="1"/>
    </xf>
    <xf numFmtId="173" fontId="75" fillId="0" borderId="5" xfId="44" applyNumberFormat="1" applyFont="1" applyFill="1" applyBorder="1" applyAlignment="1">
      <alignment horizontal="right" wrapText="1"/>
    </xf>
    <xf numFmtId="173" fontId="75" fillId="0" borderId="3" xfId="44" applyNumberFormat="1" applyFont="1" applyFill="1" applyBorder="1" applyAlignment="1">
      <alignment horizontal="center" wrapText="1"/>
    </xf>
    <xf numFmtId="173" fontId="75" fillId="0" borderId="5" xfId="44" applyNumberFormat="1" applyFont="1" applyFill="1" applyBorder="1" applyAlignment="1">
      <alignment horizontal="center" wrapText="1"/>
    </xf>
    <xf numFmtId="170" fontId="91" fillId="0" borderId="3" xfId="44" applyNumberFormat="1" applyFont="1" applyFill="1" applyBorder="1" applyAlignment="1">
      <alignment horizontal="right" wrapText="1"/>
    </xf>
    <xf numFmtId="170" fontId="91" fillId="0" borderId="5" xfId="44" applyNumberFormat="1" applyFont="1" applyFill="1" applyBorder="1" applyAlignment="1">
      <alignment horizontal="right" wrapText="1"/>
    </xf>
    <xf numFmtId="0" fontId="82" fillId="0" borderId="3" xfId="21" applyFont="1" applyFill="1" applyBorder="1" applyAlignment="1">
      <alignment horizontal="left" vertical="center" wrapText="1"/>
    </xf>
    <xf numFmtId="0" fontId="82" fillId="0" borderId="4" xfId="21" applyFont="1" applyFill="1" applyBorder="1" applyAlignment="1">
      <alignment horizontal="left" vertical="center" wrapText="1"/>
    </xf>
    <xf numFmtId="3" fontId="85" fillId="0" borderId="3" xfId="44" applyNumberFormat="1" applyFont="1" applyFill="1" applyBorder="1" applyAlignment="1">
      <alignment horizontal="right" vertical="center"/>
    </xf>
    <xf numFmtId="3" fontId="85" fillId="0" borderId="5" xfId="44" applyNumberFormat="1" applyFont="1" applyFill="1" applyBorder="1" applyAlignment="1">
      <alignment horizontal="right" vertical="center"/>
    </xf>
    <xf numFmtId="4" fontId="85" fillId="0" borderId="3" xfId="44" applyNumberFormat="1" applyFont="1" applyFill="1" applyBorder="1" applyAlignment="1">
      <alignment horizontal="right" vertical="center"/>
    </xf>
    <xf numFmtId="4" fontId="85" fillId="0" borderId="5" xfId="44" applyNumberFormat="1" applyFont="1" applyFill="1" applyBorder="1" applyAlignment="1">
      <alignment horizontal="right" vertical="center"/>
    </xf>
    <xf numFmtId="3" fontId="75" fillId="0" borderId="3" xfId="44" quotePrefix="1" applyNumberFormat="1" applyFont="1" applyFill="1" applyBorder="1" applyAlignment="1">
      <alignment horizontal="right" wrapText="1"/>
    </xf>
    <xf numFmtId="3" fontId="75" fillId="0" borderId="5" xfId="44" quotePrefix="1" applyNumberFormat="1" applyFont="1" applyFill="1" applyBorder="1" applyAlignment="1">
      <alignment horizontal="right" wrapText="1"/>
    </xf>
    <xf numFmtId="4" fontId="75" fillId="0" borderId="3" xfId="44" quotePrefix="1" applyNumberFormat="1" applyFont="1" applyFill="1" applyBorder="1" applyAlignment="1">
      <alignment horizontal="right" wrapText="1"/>
    </xf>
    <xf numFmtId="4" fontId="75" fillId="0" borderId="5" xfId="44" quotePrefix="1" applyNumberFormat="1" applyFont="1" applyFill="1" applyBorder="1" applyAlignment="1">
      <alignment horizontal="right" wrapText="1"/>
    </xf>
    <xf numFmtId="0" fontId="92" fillId="0" borderId="16" xfId="4" applyFont="1" applyFill="1" applyBorder="1" applyAlignment="1">
      <alignment horizontal="left" wrapText="1"/>
    </xf>
    <xf numFmtId="49" fontId="72" fillId="0" borderId="17" xfId="83" applyNumberFormat="1" applyFont="1" applyFill="1" applyBorder="1" applyAlignment="1">
      <alignment horizontal="left" vertical="top"/>
    </xf>
    <xf numFmtId="0" fontId="72" fillId="0" borderId="17" xfId="4" applyFont="1" applyFill="1" applyBorder="1" applyAlignment="1">
      <alignment horizontal="right"/>
    </xf>
    <xf numFmtId="0" fontId="70" fillId="0" borderId="0" xfId="22" applyFont="1" applyFill="1"/>
    <xf numFmtId="4" fontId="71" fillId="0" borderId="0" xfId="28" applyNumberFormat="1" applyFont="1" applyFill="1"/>
    <xf numFmtId="0" fontId="70" fillId="0" borderId="0" xfId="72" applyFont="1" applyFill="1" applyAlignment="1">
      <alignment horizontal="right"/>
    </xf>
    <xf numFmtId="0" fontId="72" fillId="0" borderId="0" xfId="73" applyFont="1" applyFill="1" applyAlignment="1">
      <alignment horizontal="right"/>
    </xf>
    <xf numFmtId="0" fontId="70" fillId="0" borderId="3" xfId="28" applyFont="1" applyFill="1" applyBorder="1" applyAlignment="1">
      <alignment horizontal="center"/>
    </xf>
    <xf numFmtId="0" fontId="70" fillId="0" borderId="5" xfId="28" applyFont="1" applyFill="1" applyBorder="1" applyAlignment="1">
      <alignment horizontal="center"/>
    </xf>
    <xf numFmtId="4" fontId="73" fillId="0" borderId="0" xfId="74" applyNumberFormat="1" applyFont="1" applyFill="1"/>
    <xf numFmtId="0" fontId="74" fillId="0" borderId="0" xfId="74" applyFont="1" applyFill="1"/>
    <xf numFmtId="0" fontId="70" fillId="0" borderId="0" xfId="75" applyFont="1" applyFill="1"/>
    <xf numFmtId="0" fontId="70" fillId="0" borderId="0" xfId="76" applyFont="1" applyFill="1"/>
    <xf numFmtId="0" fontId="70" fillId="0" borderId="3" xfId="28" quotePrefix="1" applyFont="1" applyFill="1" applyBorder="1" applyAlignment="1">
      <alignment horizontal="center"/>
    </xf>
    <xf numFmtId="0" fontId="70" fillId="0" borderId="5" xfId="28" quotePrefix="1" applyFont="1" applyFill="1" applyBorder="1" applyAlignment="1">
      <alignment horizontal="center"/>
    </xf>
    <xf numFmtId="0" fontId="75" fillId="0" borderId="16" xfId="75" applyFont="1" applyFill="1" applyBorder="1" applyAlignment="1">
      <alignment horizontal="left" wrapText="1"/>
    </xf>
    <xf numFmtId="49" fontId="70" fillId="0" borderId="9" xfId="28" applyNumberFormat="1" applyFont="1" applyFill="1" applyBorder="1" applyAlignment="1">
      <alignment horizontal="center"/>
    </xf>
    <xf numFmtId="49" fontId="70" fillId="0" borderId="10" xfId="28" applyNumberFormat="1" applyFont="1" applyFill="1" applyBorder="1" applyAlignment="1">
      <alignment horizontal="center"/>
    </xf>
    <xf numFmtId="0" fontId="70" fillId="0" borderId="16" xfId="28" applyFont="1" applyFill="1" applyBorder="1" applyAlignment="1">
      <alignment horizontal="left" vertical="top" wrapText="1"/>
    </xf>
    <xf numFmtId="49" fontId="70" fillId="0" borderId="11" xfId="28" applyNumberFormat="1" applyFont="1" applyFill="1" applyBorder="1" applyAlignment="1">
      <alignment horizontal="center"/>
    </xf>
    <xf numFmtId="49" fontId="70" fillId="0" borderId="12" xfId="28" applyNumberFormat="1" applyFont="1" applyFill="1" applyBorder="1" applyAlignment="1">
      <alignment horizontal="center"/>
    </xf>
    <xf numFmtId="0" fontId="70" fillId="0" borderId="17" xfId="28" applyFont="1" applyFill="1" applyBorder="1" applyAlignment="1">
      <alignment horizontal="center" vertical="top" wrapText="1"/>
    </xf>
    <xf numFmtId="0" fontId="70" fillId="0" borderId="0" xfId="28" applyFont="1" applyFill="1" applyBorder="1" applyAlignment="1">
      <alignment vertical="top"/>
    </xf>
    <xf numFmtId="0" fontId="70" fillId="0" borderId="9" xfId="28" applyFont="1" applyFill="1" applyBorder="1" applyAlignment="1">
      <alignment horizontal="center"/>
    </xf>
    <xf numFmtId="0" fontId="70" fillId="0" borderId="10" xfId="28" applyFont="1" applyFill="1" applyBorder="1" applyAlignment="1">
      <alignment horizontal="center"/>
    </xf>
    <xf numFmtId="0" fontId="70" fillId="0" borderId="0" xfId="28" applyFont="1" applyFill="1" applyBorder="1" applyAlignment="1">
      <alignment vertical="top" wrapText="1"/>
    </xf>
    <xf numFmtId="0" fontId="70" fillId="0" borderId="11" xfId="28" applyFont="1" applyFill="1" applyBorder="1" applyAlignment="1">
      <alignment horizontal="center"/>
    </xf>
    <xf numFmtId="0" fontId="70" fillId="0" borderId="12" xfId="28" applyFont="1" applyFill="1" applyBorder="1" applyAlignment="1">
      <alignment horizontal="center"/>
    </xf>
    <xf numFmtId="0" fontId="70" fillId="0" borderId="17" xfId="28" applyFont="1" applyFill="1" applyBorder="1" applyAlignment="1">
      <alignment horizontal="center" vertical="top"/>
    </xf>
    <xf numFmtId="0" fontId="70" fillId="0" borderId="0" xfId="28" applyFont="1" applyFill="1" applyBorder="1" applyAlignment="1"/>
    <xf numFmtId="4" fontId="71" fillId="0" borderId="0" xfId="75" applyNumberFormat="1" applyFont="1" applyFill="1"/>
    <xf numFmtId="0" fontId="70" fillId="0" borderId="0" xfId="40" applyFont="1" applyFill="1"/>
    <xf numFmtId="0" fontId="70" fillId="0" borderId="1" xfId="28" applyFont="1" applyFill="1" applyBorder="1" applyAlignment="1">
      <alignment horizontal="center"/>
    </xf>
    <xf numFmtId="0" fontId="70" fillId="0" borderId="9" xfId="28" applyFont="1" applyFill="1" applyBorder="1" applyAlignment="1">
      <alignment horizontal="center"/>
    </xf>
    <xf numFmtId="4" fontId="71" fillId="0" borderId="0" xfId="40" applyNumberFormat="1" applyFont="1" applyFill="1"/>
    <xf numFmtId="0" fontId="70" fillId="0" borderId="3" xfId="28" applyFont="1" applyFill="1" applyBorder="1" applyAlignment="1">
      <alignment horizontal="center"/>
    </xf>
    <xf numFmtId="14" fontId="70" fillId="0" borderId="1" xfId="28" applyNumberFormat="1" applyFont="1" applyFill="1" applyBorder="1" applyAlignment="1">
      <alignment horizontal="center"/>
    </xf>
    <xf numFmtId="0" fontId="70" fillId="0" borderId="2" xfId="22" applyFont="1" applyFill="1" applyBorder="1" applyAlignment="1">
      <alignment horizontal="center" vertical="center" wrapText="1"/>
    </xf>
    <xf numFmtId="0" fontId="70" fillId="0" borderId="2" xfId="22" applyFont="1" applyFill="1" applyBorder="1" applyAlignment="1">
      <alignment horizontal="center" vertical="center" wrapText="1"/>
    </xf>
    <xf numFmtId="0" fontId="70" fillId="0" borderId="3" xfId="22" applyFont="1" applyFill="1" applyBorder="1" applyAlignment="1">
      <alignment horizontal="center" vertical="center" wrapText="1"/>
    </xf>
    <xf numFmtId="0" fontId="70" fillId="0" borderId="5" xfId="22" applyFont="1" applyFill="1" applyBorder="1" applyAlignment="1">
      <alignment horizontal="center" vertical="center" wrapText="1"/>
    </xf>
    <xf numFmtId="0" fontId="70" fillId="0" borderId="6" xfId="22" applyFont="1" applyFill="1" applyBorder="1" applyAlignment="1">
      <alignment horizontal="center" vertical="center" wrapText="1"/>
    </xf>
    <xf numFmtId="0" fontId="70" fillId="0" borderId="6" xfId="22" applyFont="1" applyFill="1" applyBorder="1" applyAlignment="1">
      <alignment horizontal="center" vertical="center" wrapText="1"/>
    </xf>
    <xf numFmtId="0" fontId="70" fillId="0" borderId="9" xfId="22" applyFont="1" applyFill="1" applyBorder="1" applyAlignment="1">
      <alignment horizontal="center" vertical="center" wrapText="1"/>
    </xf>
    <xf numFmtId="0" fontId="72" fillId="0" borderId="2" xfId="22" applyFont="1" applyFill="1" applyBorder="1" applyAlignment="1">
      <alignment horizontal="center" vertical="center" wrapText="1"/>
    </xf>
    <xf numFmtId="0" fontId="70" fillId="0" borderId="0" xfId="77" applyFont="1" applyFill="1"/>
    <xf numFmtId="0" fontId="76" fillId="0" borderId="0" xfId="77" applyFont="1" applyFill="1" applyAlignment="1">
      <alignment horizontal="center"/>
    </xf>
    <xf numFmtId="4" fontId="70" fillId="0" borderId="0" xfId="77" applyNumberFormat="1" applyFont="1" applyFill="1" applyBorder="1" applyAlignment="1">
      <alignment horizontal="center"/>
    </xf>
    <xf numFmtId="0" fontId="70" fillId="0" borderId="0" xfId="77" applyFont="1" applyFill="1" applyBorder="1" applyAlignment="1">
      <alignment horizontal="center"/>
    </xf>
    <xf numFmtId="4" fontId="71" fillId="0" borderId="0" xfId="36" applyNumberFormat="1" applyFont="1" applyFill="1"/>
    <xf numFmtId="0" fontId="70" fillId="0" borderId="0" xfId="36" applyFont="1" applyFill="1"/>
    <xf numFmtId="0" fontId="77" fillId="0" borderId="0" xfId="77" applyFont="1" applyFill="1" applyAlignment="1">
      <alignment horizontal="center" vertical="center" wrapText="1"/>
    </xf>
    <xf numFmtId="0" fontId="77" fillId="0" borderId="0" xfId="77" applyFont="1" applyFill="1" applyAlignment="1">
      <alignment horizontal="center" vertical="center"/>
    </xf>
    <xf numFmtId="0" fontId="78" fillId="0" borderId="0" xfId="77" applyFont="1" applyFill="1" applyAlignment="1">
      <alignment horizontal="center" vertical="center" wrapText="1"/>
    </xf>
    <xf numFmtId="0" fontId="78" fillId="0" borderId="0" xfId="77" applyFont="1" applyFill="1" applyAlignment="1">
      <alignment horizontal="center" vertical="center"/>
    </xf>
    <xf numFmtId="0" fontId="70" fillId="0" borderId="18" xfId="77" applyFont="1" applyFill="1" applyBorder="1" applyAlignment="1">
      <alignment horizontal="center" vertical="center" wrapText="1"/>
    </xf>
    <xf numFmtId="0" fontId="71" fillId="0" borderId="19" xfId="77" applyFont="1" applyFill="1" applyBorder="1" applyAlignment="1">
      <alignment horizontal="center" vertical="center" wrapText="1"/>
    </xf>
    <xf numFmtId="0" fontId="71" fillId="0" borderId="20" xfId="77" applyFont="1" applyFill="1" applyBorder="1" applyAlignment="1">
      <alignment horizontal="center" vertical="center"/>
    </xf>
    <xf numFmtId="0" fontId="71" fillId="0" borderId="21" xfId="77" applyFont="1" applyFill="1" applyBorder="1" applyAlignment="1">
      <alignment horizontal="center" vertical="center"/>
    </xf>
    <xf numFmtId="0" fontId="71" fillId="0" borderId="22" xfId="77" applyFont="1" applyFill="1" applyBorder="1" applyAlignment="1">
      <alignment horizontal="center" vertical="center"/>
    </xf>
    <xf numFmtId="0" fontId="70" fillId="0" borderId="23" xfId="77" applyFont="1" applyFill="1" applyBorder="1" applyAlignment="1">
      <alignment horizontal="center" vertical="center" wrapText="1"/>
    </xf>
    <xf numFmtId="0" fontId="71" fillId="0" borderId="24" xfId="77" applyFont="1" applyFill="1" applyBorder="1" applyAlignment="1">
      <alignment horizontal="center" vertical="center" wrapText="1"/>
    </xf>
    <xf numFmtId="0" fontId="71" fillId="0" borderId="25" xfId="77" applyFont="1" applyFill="1" applyBorder="1" applyAlignment="1">
      <alignment horizontal="center" vertical="center" wrapText="1"/>
    </xf>
    <xf numFmtId="0" fontId="71" fillId="0" borderId="26" xfId="77" applyFont="1" applyFill="1" applyBorder="1" applyAlignment="1">
      <alignment horizontal="center" vertical="center" wrapText="1"/>
    </xf>
    <xf numFmtId="4" fontId="79" fillId="0" borderId="0" xfId="36" applyNumberFormat="1" applyFont="1" applyFill="1"/>
    <xf numFmtId="164" fontId="70" fillId="0" borderId="0" xfId="36" applyNumberFormat="1" applyFont="1" applyFill="1"/>
    <xf numFmtId="0" fontId="71" fillId="0" borderId="27" xfId="77" applyFont="1" applyFill="1" applyBorder="1" applyAlignment="1">
      <alignment horizontal="center" vertical="center" wrapText="1"/>
    </xf>
    <xf numFmtId="0" fontId="71" fillId="0" borderId="28" xfId="77" applyFont="1" applyFill="1" applyBorder="1" applyAlignment="1">
      <alignment horizontal="center" vertical="center" wrapText="1"/>
    </xf>
    <xf numFmtId="4" fontId="71" fillId="0" borderId="28" xfId="77" applyNumberFormat="1" applyFont="1" applyFill="1" applyBorder="1" applyAlignment="1">
      <alignment horizontal="center" vertical="center" wrapText="1"/>
    </xf>
    <xf numFmtId="0" fontId="70" fillId="0" borderId="29" xfId="77" applyFont="1" applyFill="1" applyBorder="1" applyAlignment="1">
      <alignment horizontal="center" vertical="center" wrapText="1"/>
    </xf>
    <xf numFmtId="0" fontId="71" fillId="0" borderId="30" xfId="77" applyFont="1" applyFill="1" applyBorder="1" applyAlignment="1">
      <alignment horizontal="center" vertical="center" wrapText="1"/>
    </xf>
    <xf numFmtId="0" fontId="71" fillId="0" borderId="31" xfId="77" applyFont="1" applyFill="1" applyBorder="1" applyAlignment="1">
      <alignment horizontal="center" vertical="center" wrapText="1"/>
    </xf>
    <xf numFmtId="4" fontId="71" fillId="0" borderId="32" xfId="77" applyNumberFormat="1" applyFont="1" applyFill="1" applyBorder="1" applyAlignment="1">
      <alignment horizontal="center" vertical="center" wrapText="1"/>
    </xf>
    <xf numFmtId="4" fontId="71" fillId="0" borderId="33" xfId="77" applyNumberFormat="1" applyFont="1" applyFill="1" applyBorder="1" applyAlignment="1">
      <alignment horizontal="center" vertical="center" wrapText="1"/>
    </xf>
    <xf numFmtId="49" fontId="71" fillId="0" borderId="0" xfId="36" applyNumberFormat="1" applyFont="1" applyFill="1"/>
    <xf numFmtId="3" fontId="70" fillId="0" borderId="34" xfId="77" applyNumberFormat="1" applyFont="1" applyFill="1" applyBorder="1" applyAlignment="1">
      <alignment horizontal="center" vertical="center"/>
    </xf>
    <xf numFmtId="3" fontId="70" fillId="0" borderId="20" xfId="77" applyNumberFormat="1" applyFont="1" applyFill="1" applyBorder="1" applyAlignment="1">
      <alignment horizontal="center" vertical="center"/>
    </xf>
    <xf numFmtId="3" fontId="70" fillId="0" borderId="22" xfId="77" applyNumberFormat="1" applyFont="1" applyFill="1" applyBorder="1" applyAlignment="1">
      <alignment horizontal="center" vertical="center"/>
    </xf>
    <xf numFmtId="4" fontId="71" fillId="0" borderId="0" xfId="36" applyNumberFormat="1" applyFont="1" applyFill="1" applyBorder="1"/>
    <xf numFmtId="49" fontId="70" fillId="0" borderId="0" xfId="36" applyNumberFormat="1" applyFont="1" applyFill="1"/>
    <xf numFmtId="0" fontId="70" fillId="0" borderId="19" xfId="77" applyFont="1" applyFill="1" applyBorder="1" applyAlignment="1">
      <alignment vertical="center" wrapText="1"/>
    </xf>
    <xf numFmtId="164" fontId="70" fillId="0" borderId="1" xfId="36" applyNumberFormat="1" applyFont="1" applyFill="1" applyBorder="1"/>
    <xf numFmtId="171" fontId="70" fillId="0" borderId="0" xfId="36" applyNumberFormat="1" applyFont="1" applyFill="1"/>
    <xf numFmtId="171" fontId="71" fillId="0" borderId="39" xfId="77" applyNumberFormat="1" applyFont="1" applyFill="1" applyBorder="1" applyAlignment="1">
      <alignment vertical="center"/>
    </xf>
    <xf numFmtId="171" fontId="71" fillId="0" borderId="40" xfId="77" applyNumberFormat="1" applyFont="1" applyFill="1" applyBorder="1" applyAlignment="1">
      <alignment vertical="center"/>
    </xf>
    <xf numFmtId="171" fontId="71" fillId="0" borderId="35" xfId="77" applyNumberFormat="1" applyFont="1" applyFill="1" applyBorder="1" applyAlignment="1">
      <alignment vertical="center"/>
    </xf>
    <xf numFmtId="171" fontId="71" fillId="0" borderId="44" xfId="77" applyNumberFormat="1" applyFont="1" applyFill="1" applyBorder="1" applyAlignment="1">
      <alignment vertical="center"/>
    </xf>
    <xf numFmtId="171" fontId="71" fillId="0" borderId="37" xfId="77" applyNumberFormat="1" applyFont="1" applyFill="1" applyBorder="1" applyAlignment="1">
      <alignment vertical="center"/>
    </xf>
    <xf numFmtId="171" fontId="71" fillId="0" borderId="45" xfId="77" applyNumberFormat="1" applyFont="1" applyFill="1" applyBorder="1" applyAlignment="1">
      <alignment vertical="center"/>
    </xf>
    <xf numFmtId="0" fontId="70" fillId="0" borderId="34" xfId="77" applyNumberFormat="1" applyFont="1" applyFill="1" applyBorder="1" applyAlignment="1">
      <alignment horizontal="center" vertical="center"/>
    </xf>
    <xf numFmtId="4" fontId="76" fillId="0" borderId="55" xfId="77" applyNumberFormat="1" applyFont="1" applyFill="1" applyBorder="1" applyAlignment="1">
      <alignment vertical="center" wrapText="1"/>
    </xf>
    <xf numFmtId="0" fontId="70" fillId="0" borderId="0" xfId="36" applyFont="1" applyFill="1" applyBorder="1" applyAlignment="1">
      <alignment vertical="center"/>
    </xf>
    <xf numFmtId="0" fontId="70" fillId="0" borderId="53" xfId="36" applyFont="1" applyFill="1" applyBorder="1" applyAlignment="1">
      <alignment vertical="center"/>
    </xf>
    <xf numFmtId="0" fontId="70" fillId="0" borderId="56" xfId="36" applyFont="1" applyFill="1" applyBorder="1" applyAlignment="1">
      <alignment vertical="center"/>
    </xf>
    <xf numFmtId="0" fontId="70" fillId="0" borderId="57" xfId="36" applyFont="1" applyFill="1" applyBorder="1" applyAlignment="1">
      <alignment vertical="center"/>
    </xf>
    <xf numFmtId="4" fontId="71" fillId="0" borderId="1" xfId="36" applyNumberFormat="1" applyFont="1" applyFill="1" applyBorder="1"/>
    <xf numFmtId="171" fontId="71" fillId="0" borderId="19" xfId="77" applyNumberFormat="1" applyFont="1" applyFill="1" applyBorder="1" applyAlignment="1">
      <alignment vertical="center"/>
    </xf>
    <xf numFmtId="171" fontId="71" fillId="0" borderId="24" xfId="77" applyNumberFormat="1" applyFont="1" applyFill="1" applyBorder="1" applyAlignment="1">
      <alignment vertical="center"/>
    </xf>
    <xf numFmtId="171" fontId="71" fillId="0" borderId="30" xfId="77" applyNumberFormat="1" applyFont="1" applyFill="1" applyBorder="1" applyAlignment="1">
      <alignment vertical="center"/>
    </xf>
    <xf numFmtId="4" fontId="70" fillId="0" borderId="0" xfId="77" applyNumberFormat="1" applyFont="1" applyFill="1"/>
    <xf numFmtId="0" fontId="71" fillId="0" borderId="0" xfId="36" applyFont="1" applyFill="1"/>
    <xf numFmtId="0" fontId="82" fillId="0" borderId="0" xfId="36" applyFont="1" applyFill="1" applyAlignment="1">
      <alignment horizontal="left" vertical="top" wrapText="1"/>
    </xf>
    <xf numFmtId="0" fontId="71" fillId="0" borderId="0" xfId="37" applyFont="1" applyFill="1"/>
    <xf numFmtId="2" fontId="83" fillId="0" borderId="0" xfId="78" applyNumberFormat="1" applyFont="1" applyFill="1"/>
    <xf numFmtId="0" fontId="71" fillId="0" borderId="0" xfId="12" applyFont="1" applyFill="1" applyAlignment="1">
      <alignment vertical="center" wrapText="1"/>
    </xf>
    <xf numFmtId="0" fontId="71" fillId="0" borderId="0" xfId="79" applyFont="1" applyFill="1" applyAlignment="1">
      <alignment horizontal="center" vertical="top" wrapText="1"/>
    </xf>
    <xf numFmtId="0" fontId="71" fillId="0" borderId="0" xfId="79" applyFont="1" applyFill="1" applyAlignment="1">
      <alignment vertical="top" wrapText="1"/>
    </xf>
    <xf numFmtId="0" fontId="82" fillId="0" borderId="0" xfId="37" applyFont="1" applyFill="1"/>
    <xf numFmtId="0" fontId="0" fillId="0" borderId="0" xfId="0" applyFont="1" applyFill="1"/>
    <xf numFmtId="169" fontId="28" fillId="0" borderId="0" xfId="0" applyNumberFormat="1" applyFont="1" applyFill="1" applyBorder="1" applyAlignment="1">
      <alignment horizontal="right"/>
    </xf>
    <xf numFmtId="0" fontId="25" fillId="0" borderId="15" xfId="0" applyFont="1" applyFill="1" applyBorder="1" applyAlignment="1">
      <alignment horizontal="left" wrapText="1"/>
    </xf>
    <xf numFmtId="0" fontId="25" fillId="0" borderId="15" xfId="0" applyFont="1" applyFill="1" applyBorder="1" applyAlignment="1">
      <alignment horizontal="left" wrapText="1"/>
    </xf>
    <xf numFmtId="0" fontId="25" fillId="0" borderId="9" xfId="0" applyFont="1" applyFill="1" applyBorder="1" applyAlignment="1">
      <alignment horizontal="center" vertical="center" wrapText="1"/>
    </xf>
    <xf numFmtId="0" fontId="25" fillId="0" borderId="10" xfId="0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horizontal="center" vertical="center" wrapText="1"/>
    </xf>
    <xf numFmtId="0" fontId="25" fillId="0" borderId="11" xfId="0" applyFont="1" applyFill="1" applyBorder="1" applyAlignment="1">
      <alignment horizontal="center" vertical="center" wrapText="1"/>
    </xf>
    <xf numFmtId="0" fontId="25" fillId="0" borderId="12" xfId="0" applyFont="1" applyFill="1" applyBorder="1" applyAlignment="1">
      <alignment horizontal="center" vertical="center" wrapText="1"/>
    </xf>
    <xf numFmtId="0" fontId="25" fillId="0" borderId="7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5" fillId="0" borderId="6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9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horizontal="left" vertical="top"/>
    </xf>
    <xf numFmtId="0" fontId="25" fillId="0" borderId="0" xfId="0" applyFont="1" applyFill="1" applyAlignment="1">
      <alignment horizontal="left" vertical="top" wrapText="1"/>
    </xf>
    <xf numFmtId="0" fontId="31" fillId="0" borderId="0" xfId="0" applyFont="1" applyFill="1" applyAlignment="1">
      <alignment horizontal="right" wrapText="1"/>
    </xf>
    <xf numFmtId="0" fontId="25" fillId="0" borderId="0" xfId="0" applyFont="1" applyFill="1" applyAlignment="1">
      <alignment horizontal="right"/>
    </xf>
    <xf numFmtId="168" fontId="25" fillId="0" borderId="0" xfId="0" applyNumberFormat="1" applyFont="1" applyFill="1" applyAlignment="1">
      <alignment horizontal="right"/>
    </xf>
    <xf numFmtId="0" fontId="25" fillId="0" borderId="0" xfId="0" applyFont="1" applyFill="1" applyAlignment="1">
      <alignment horizontal="right" wrapText="1"/>
    </xf>
    <xf numFmtId="169" fontId="25" fillId="0" borderId="0" xfId="0" applyNumberFormat="1" applyFont="1" applyFill="1" applyAlignment="1">
      <alignment horizontal="right"/>
    </xf>
    <xf numFmtId="169" fontId="31" fillId="0" borderId="0" xfId="0" applyNumberFormat="1" applyFont="1" applyFill="1" applyAlignment="1">
      <alignment horizontal="right"/>
    </xf>
    <xf numFmtId="0" fontId="25" fillId="0" borderId="15" xfId="0" applyFont="1" applyFill="1" applyBorder="1" applyAlignment="1">
      <alignment horizontal="left" vertical="top"/>
    </xf>
    <xf numFmtId="0" fontId="25" fillId="0" borderId="15" xfId="0" applyFont="1" applyFill="1" applyBorder="1" applyAlignment="1">
      <alignment horizontal="left" vertical="top" wrapText="1"/>
    </xf>
    <xf numFmtId="0" fontId="31" fillId="0" borderId="15" xfId="0" applyFont="1" applyFill="1" applyBorder="1" applyAlignment="1">
      <alignment horizontal="right" wrapText="1"/>
    </xf>
    <xf numFmtId="0" fontId="25" fillId="0" borderId="15" xfId="0" applyFont="1" applyFill="1" applyBorder="1" applyAlignment="1">
      <alignment horizontal="right"/>
    </xf>
    <xf numFmtId="168" fontId="25" fillId="0" borderId="15" xfId="0" applyNumberFormat="1" applyFont="1" applyFill="1" applyBorder="1" applyAlignment="1">
      <alignment horizontal="right"/>
    </xf>
    <xf numFmtId="0" fontId="25" fillId="0" borderId="15" xfId="0" applyFont="1" applyFill="1" applyBorder="1" applyAlignment="1">
      <alignment horizontal="right" wrapText="1"/>
    </xf>
    <xf numFmtId="169" fontId="25" fillId="0" borderId="15" xfId="0" applyNumberFormat="1" applyFont="1" applyFill="1" applyBorder="1" applyAlignment="1">
      <alignment horizontal="right"/>
    </xf>
    <xf numFmtId="0" fontId="28" fillId="0" borderId="0" xfId="0" applyFont="1" applyFill="1"/>
    <xf numFmtId="169" fontId="28" fillId="0" borderId="0" xfId="0" applyNumberFormat="1" applyFont="1" applyFill="1" applyBorder="1" applyAlignment="1">
      <alignment horizontal="right"/>
    </xf>
    <xf numFmtId="169" fontId="0" fillId="0" borderId="0" xfId="0" applyNumberFormat="1" applyFont="1" applyFill="1"/>
    <xf numFmtId="0" fontId="25" fillId="0" borderId="0" xfId="0" applyFont="1" applyFill="1" applyAlignment="1">
      <alignment horizontal="right" shrinkToFit="1"/>
    </xf>
    <xf numFmtId="0" fontId="0" fillId="0" borderId="8" xfId="0" applyFont="1" applyFill="1" applyBorder="1"/>
    <xf numFmtId="0" fontId="28" fillId="0" borderId="8" xfId="0" applyFont="1" applyFill="1" applyBorder="1"/>
    <xf numFmtId="169" fontId="28" fillId="0" borderId="8" xfId="0" applyNumberFormat="1" applyFont="1" applyFill="1" applyBorder="1" applyAlignment="1">
      <alignment horizontal="right"/>
    </xf>
    <xf numFmtId="0" fontId="43" fillId="0" borderId="15" xfId="0" applyFont="1" applyFill="1" applyBorder="1" applyAlignment="1">
      <alignment horizontal="left" vertical="top"/>
    </xf>
    <xf numFmtId="0" fontId="43" fillId="0" borderId="15" xfId="0" applyFont="1" applyFill="1" applyBorder="1" applyAlignment="1">
      <alignment horizontal="left" vertical="top" wrapText="1"/>
    </xf>
    <xf numFmtId="0" fontId="45" fillId="0" borderId="15" xfId="0" applyFont="1" applyFill="1" applyBorder="1" applyAlignment="1">
      <alignment horizontal="right" wrapText="1"/>
    </xf>
    <xf numFmtId="0" fontId="43" fillId="0" borderId="15" xfId="0" applyFont="1" applyFill="1" applyBorder="1" applyAlignment="1">
      <alignment horizontal="right"/>
    </xf>
    <xf numFmtId="168" fontId="43" fillId="0" borderId="15" xfId="0" applyNumberFormat="1" applyFont="1" applyFill="1" applyBorder="1" applyAlignment="1">
      <alignment horizontal="right"/>
    </xf>
    <xf numFmtId="0" fontId="43" fillId="0" borderId="15" xfId="0" applyFont="1" applyFill="1" applyBorder="1" applyAlignment="1">
      <alignment horizontal="right" wrapText="1"/>
    </xf>
    <xf numFmtId="169" fontId="43" fillId="0" borderId="15" xfId="0" applyNumberFormat="1" applyFont="1" applyFill="1" applyBorder="1" applyAlignment="1">
      <alignment horizontal="right"/>
    </xf>
    <xf numFmtId="0" fontId="46" fillId="0" borderId="0" xfId="0" applyFont="1" applyFill="1"/>
    <xf numFmtId="0" fontId="46" fillId="0" borderId="8" xfId="0" applyFont="1" applyFill="1" applyBorder="1"/>
    <xf numFmtId="0" fontId="47" fillId="0" borderId="8" xfId="0" applyFont="1" applyFill="1" applyBorder="1"/>
    <xf numFmtId="169" fontId="47" fillId="0" borderId="8" xfId="0" applyNumberFormat="1" applyFont="1" applyFill="1" applyBorder="1" applyAlignment="1">
      <alignment horizontal="right"/>
    </xf>
    <xf numFmtId="169" fontId="46" fillId="0" borderId="0" xfId="0" applyNumberFormat="1" applyFont="1" applyFill="1"/>
    <xf numFmtId="169" fontId="28" fillId="0" borderId="0" xfId="0" applyNumberFormat="1" applyFont="1" applyFill="1" applyAlignment="1">
      <alignment horizontal="right"/>
    </xf>
    <xf numFmtId="0" fontId="28" fillId="0" borderId="0" xfId="0" applyFont="1" applyFill="1" applyAlignment="1">
      <alignment horizontal="right"/>
    </xf>
    <xf numFmtId="169" fontId="25" fillId="0" borderId="0" xfId="0" applyNumberFormat="1" applyFont="1" applyFill="1" applyAlignment="1">
      <alignment horizontal="right"/>
    </xf>
    <xf numFmtId="169" fontId="43" fillId="0" borderId="0" xfId="0" applyNumberFormat="1" applyFont="1" applyFill="1" applyAlignment="1">
      <alignment horizontal="right"/>
    </xf>
    <xf numFmtId="167" fontId="0" fillId="0" borderId="0" xfId="0" applyNumberFormat="1" applyFont="1" applyFill="1"/>
    <xf numFmtId="4" fontId="0" fillId="0" borderId="0" xfId="0" applyNumberFormat="1" applyFont="1" applyFill="1" applyAlignment="1">
      <alignment horizontal="right"/>
    </xf>
    <xf numFmtId="49" fontId="0" fillId="0" borderId="0" xfId="0" applyNumberFormat="1" applyFill="1"/>
    <xf numFmtId="0" fontId="93" fillId="0" borderId="0" xfId="0" applyFont="1" applyFill="1"/>
    <xf numFmtId="169" fontId="28" fillId="0" borderId="15" xfId="0" applyNumberFormat="1" applyFont="1" applyFill="1" applyBorder="1" applyAlignment="1">
      <alignment horizontal="right"/>
    </xf>
    <xf numFmtId="0" fontId="56" fillId="0" borderId="16" xfId="0" applyFont="1" applyFill="1" applyBorder="1" applyAlignment="1">
      <alignment horizontal="left" vertical="top"/>
    </xf>
    <xf numFmtId="0" fontId="56" fillId="0" borderId="16" xfId="0" applyFont="1" applyFill="1" applyBorder="1" applyAlignment="1">
      <alignment horizontal="left" vertical="top" wrapText="1"/>
    </xf>
    <xf numFmtId="0" fontId="57" fillId="0" borderId="16" xfId="0" applyFont="1" applyFill="1" applyBorder="1" applyAlignment="1">
      <alignment horizontal="right" wrapText="1"/>
    </xf>
    <xf numFmtId="0" fontId="56" fillId="0" borderId="16" xfId="0" applyFont="1" applyFill="1" applyBorder="1" applyAlignment="1">
      <alignment horizontal="right"/>
    </xf>
    <xf numFmtId="169" fontId="56" fillId="0" borderId="16" xfId="0" applyNumberFormat="1" applyFont="1" applyFill="1" applyBorder="1" applyAlignment="1">
      <alignment horizontal="right"/>
    </xf>
    <xf numFmtId="0" fontId="56" fillId="0" borderId="16" xfId="0" applyFont="1" applyFill="1" applyBorder="1" applyAlignment="1">
      <alignment horizontal="right" wrapText="1"/>
    </xf>
    <xf numFmtId="4" fontId="93" fillId="0" borderId="0" xfId="0" applyNumberFormat="1" applyFont="1" applyFill="1"/>
    <xf numFmtId="43" fontId="0" fillId="0" borderId="0" xfId="50" applyFont="1" applyFill="1"/>
    <xf numFmtId="0" fontId="56" fillId="0" borderId="0" xfId="0" applyFont="1" applyFill="1" applyBorder="1" applyAlignment="1">
      <alignment horizontal="left" vertical="top"/>
    </xf>
    <xf numFmtId="0" fontId="56" fillId="0" borderId="0" xfId="0" applyFont="1" applyFill="1" applyBorder="1" applyAlignment="1">
      <alignment horizontal="left" vertical="top" wrapText="1"/>
    </xf>
    <xf numFmtId="0" fontId="31" fillId="0" borderId="16" xfId="0" applyFont="1" applyFill="1" applyBorder="1" applyAlignment="1">
      <alignment horizontal="right" wrapText="1"/>
    </xf>
    <xf numFmtId="0" fontId="25" fillId="0" borderId="16" xfId="0" applyFont="1" applyFill="1" applyBorder="1" applyAlignment="1">
      <alignment horizontal="right"/>
    </xf>
    <xf numFmtId="169" fontId="56" fillId="0" borderId="0" xfId="0" applyNumberFormat="1" applyFont="1" applyFill="1" applyBorder="1" applyAlignment="1">
      <alignment horizontal="right"/>
    </xf>
    <xf numFmtId="0" fontId="56" fillId="0" borderId="0" xfId="0" applyFont="1" applyFill="1" applyBorder="1" applyAlignment="1">
      <alignment horizontal="right" wrapText="1"/>
    </xf>
    <xf numFmtId="0" fontId="56" fillId="0" borderId="0" xfId="0" applyFont="1" applyFill="1" applyBorder="1" applyAlignment="1">
      <alignment horizontal="right"/>
    </xf>
    <xf numFmtId="0" fontId="58" fillId="0" borderId="17" xfId="0" applyFont="1" applyFill="1" applyBorder="1"/>
    <xf numFmtId="0" fontId="59" fillId="0" borderId="17" xfId="0" applyFont="1" applyFill="1" applyBorder="1"/>
    <xf numFmtId="169" fontId="59" fillId="0" borderId="17" xfId="0" applyNumberFormat="1" applyFont="1" applyFill="1" applyBorder="1" applyAlignment="1">
      <alignment horizontal="right"/>
    </xf>
    <xf numFmtId="168" fontId="56" fillId="0" borderId="16" xfId="0" applyNumberFormat="1" applyFont="1" applyFill="1" applyBorder="1" applyAlignment="1">
      <alignment horizontal="right"/>
    </xf>
    <xf numFmtId="43" fontId="93" fillId="0" borderId="0" xfId="50" applyFont="1" applyFill="1"/>
    <xf numFmtId="168" fontId="25" fillId="0" borderId="0" xfId="0" applyNumberFormat="1" applyFont="1" applyFill="1" applyBorder="1" applyAlignment="1">
      <alignment horizontal="right"/>
    </xf>
    <xf numFmtId="0" fontId="25" fillId="0" borderId="16" xfId="0" applyFont="1" applyFill="1" applyBorder="1" applyAlignment="1">
      <alignment horizontal="left" vertical="top"/>
    </xf>
    <xf numFmtId="0" fontId="25" fillId="0" borderId="16" xfId="0" applyFont="1" applyFill="1" applyBorder="1" applyAlignment="1">
      <alignment horizontal="left" vertical="top" wrapText="1"/>
    </xf>
    <xf numFmtId="168" fontId="25" fillId="0" borderId="16" xfId="0" applyNumberFormat="1" applyFont="1" applyFill="1" applyBorder="1" applyAlignment="1">
      <alignment horizontal="right"/>
    </xf>
    <xf numFmtId="0" fontId="25" fillId="0" borderId="16" xfId="0" applyFont="1" applyFill="1" applyBorder="1" applyAlignment="1">
      <alignment horizontal="right" wrapText="1"/>
    </xf>
    <xf numFmtId="169" fontId="25" fillId="0" borderId="16" xfId="0" applyNumberFormat="1" applyFont="1" applyFill="1" applyBorder="1" applyAlignment="1">
      <alignment horizontal="right"/>
    </xf>
    <xf numFmtId="0" fontId="25" fillId="0" borderId="0" xfId="0" applyFont="1" applyFill="1" applyBorder="1" applyAlignment="1">
      <alignment horizontal="left" vertical="top"/>
    </xf>
    <xf numFmtId="0" fontId="25" fillId="0" borderId="0" xfId="0" applyFont="1" applyFill="1" applyBorder="1" applyAlignment="1">
      <alignment horizontal="left" vertical="top" wrapText="1"/>
    </xf>
    <xf numFmtId="0" fontId="25" fillId="0" borderId="0" xfId="0" applyFont="1" applyFill="1" applyBorder="1" applyAlignment="1">
      <alignment horizontal="right" wrapText="1"/>
    </xf>
    <xf numFmtId="0" fontId="25" fillId="0" borderId="0" xfId="0" applyFont="1" applyFill="1" applyBorder="1" applyAlignment="1">
      <alignment horizontal="right"/>
    </xf>
    <xf numFmtId="169" fontId="25" fillId="0" borderId="0" xfId="0" applyNumberFormat="1" applyFont="1" applyFill="1" applyBorder="1" applyAlignment="1">
      <alignment horizontal="right"/>
    </xf>
    <xf numFmtId="0" fontId="0" fillId="0" borderId="17" xfId="0" applyFont="1" applyFill="1" applyBorder="1"/>
    <xf numFmtId="0" fontId="28" fillId="0" borderId="17" xfId="0" applyFont="1" applyFill="1" applyBorder="1"/>
    <xf numFmtId="169" fontId="28" fillId="0" borderId="17" xfId="0" applyNumberFormat="1" applyFont="1" applyFill="1" applyBorder="1" applyAlignment="1">
      <alignment horizontal="right"/>
    </xf>
    <xf numFmtId="164" fontId="93" fillId="0" borderId="0" xfId="0" applyNumberFormat="1" applyFont="1" applyFill="1"/>
    <xf numFmtId="0" fontId="38" fillId="0" borderId="0" xfId="84" applyFont="1" applyFill="1"/>
    <xf numFmtId="0" fontId="15" fillId="0" borderId="0" xfId="84" applyFill="1"/>
  </cellXfs>
  <cellStyles count="85">
    <cellStyle name="Normal 2" xfId="60"/>
    <cellStyle name="Обычный" xfId="0" builtinId="0"/>
    <cellStyle name="Обычный 10" xfId="5"/>
    <cellStyle name="Обычный 10 10 2" xfId="41"/>
    <cellStyle name="Обычный 10 3 2" xfId="28"/>
    <cellStyle name="Обычный 10 95" xfId="54"/>
    <cellStyle name="Обычный 100 2 2 3 3 2 3" xfId="74"/>
    <cellStyle name="Обычный 107 3 2 2 2 2" xfId="40"/>
    <cellStyle name="Обычный 11" xfId="6"/>
    <cellStyle name="Обычный 12" xfId="7"/>
    <cellStyle name="Обычный 13" xfId="24"/>
    <cellStyle name="Обычный 13 2" xfId="26"/>
    <cellStyle name="Обычный 14" xfId="25"/>
    <cellStyle name="Обычный 14 2" xfId="27"/>
    <cellStyle name="Обычный 15" xfId="48"/>
    <cellStyle name="Обычный 16" xfId="68"/>
    <cellStyle name="Обычный 16 2" xfId="84"/>
    <cellStyle name="Обычный 2" xfId="1"/>
    <cellStyle name="Обычный 2 13 11 2 2" xfId="21"/>
    <cellStyle name="Обычный 2 13 2" xfId="36"/>
    <cellStyle name="Обычный 2 19" xfId="3"/>
    <cellStyle name="Обычный 2 2" xfId="2"/>
    <cellStyle name="Обычный 2 2 2" xfId="34"/>
    <cellStyle name="Обычный 2 2 2 2" xfId="63"/>
    <cellStyle name="Обычный 2 2 2 2 2" xfId="20"/>
    <cellStyle name="Обычный 2 3" xfId="8"/>
    <cellStyle name="Обычный 2 3 2" xfId="56"/>
    <cellStyle name="Обычный 2 3 2 3 2" xfId="77"/>
    <cellStyle name="Обычный 2 4" xfId="38"/>
    <cellStyle name="Обычный 2 4 2" xfId="78"/>
    <cellStyle name="Обычный 2 5" xfId="39"/>
    <cellStyle name="Обычный 2 5 2" xfId="61"/>
    <cellStyle name="Обычный 2 6" xfId="43"/>
    <cellStyle name="Обычный 2 7" xfId="49"/>
    <cellStyle name="Обычный 2 8" xfId="57"/>
    <cellStyle name="Обычный 22 2" xfId="46"/>
    <cellStyle name="Обычный 233" xfId="53"/>
    <cellStyle name="Обычный 234 2" xfId="55"/>
    <cellStyle name="Обычный 24" xfId="45"/>
    <cellStyle name="Обычный 3" xfId="9"/>
    <cellStyle name="Обычный 3 13" xfId="10"/>
    <cellStyle name="Обычный 3 2" xfId="11"/>
    <cellStyle name="Обычный 3 2 2" xfId="35"/>
    <cellStyle name="Обычный 3 2 2 2" xfId="33"/>
    <cellStyle name="Обычный 3 2 3" xfId="79"/>
    <cellStyle name="Обычный 3 2 36 2" xfId="67"/>
    <cellStyle name="Обычный 3 2 36 2 2" xfId="75"/>
    <cellStyle name="Обычный 3 3" xfId="12"/>
    <cellStyle name="Обычный 3 4" xfId="73"/>
    <cellStyle name="Обычный 3 4 2" xfId="22"/>
    <cellStyle name="Обычный 325 2" xfId="80"/>
    <cellStyle name="Обычный 4" xfId="13"/>
    <cellStyle name="Обычный 4 2 2" xfId="23"/>
    <cellStyle name="Обычный 44" xfId="14"/>
    <cellStyle name="Обычный 5" xfId="4"/>
    <cellStyle name="Обычный 5 2" xfId="70"/>
    <cellStyle name="Обычный 5 2 2 2" xfId="76"/>
    <cellStyle name="Обычный 6" xfId="15"/>
    <cellStyle name="Обычный 7" xfId="16"/>
    <cellStyle name="Обычный 8" xfId="17"/>
    <cellStyle name="Обычный 8 2 2" xfId="58"/>
    <cellStyle name="Обычный 8 8 3" xfId="29"/>
    <cellStyle name="Обычный 8 8 3 2" xfId="64"/>
    <cellStyle name="Обычный 9" xfId="18"/>
    <cellStyle name="Обычный 9 2" xfId="19"/>
    <cellStyle name="Обычный 9 2 2" xfId="37"/>
    <cellStyle name="Обычный_1933-Вариант ПМС 2" xfId="71"/>
    <cellStyle name="Обычный_РЕЕСТРЫ-внешний" xfId="51"/>
    <cellStyle name="Обычный_Ф2_Ф3_07_Андропов" xfId="72"/>
    <cellStyle name="Обычный_Ф3" xfId="83"/>
    <cellStyle name="Обычный_Ф-3 и реестр БНТ СМТ-БТС 2 2" xfId="81"/>
    <cellStyle name="Финансовый" xfId="50" builtinId="3"/>
    <cellStyle name="Финансовый 12 2 3" xfId="42"/>
    <cellStyle name="Финансовый 13 2" xfId="44"/>
    <cellStyle name="Финансовый 2" xfId="59"/>
    <cellStyle name="Финансовый 2 2" xfId="47"/>
    <cellStyle name="Финансовый 2 2 2" xfId="62"/>
    <cellStyle name="Финансовый 2 3" xfId="69"/>
    <cellStyle name="Финансовый 2 3 2" xfId="31"/>
    <cellStyle name="Финансовый 2 3 2 2" xfId="66"/>
    <cellStyle name="Финансовый 3" xfId="52"/>
    <cellStyle name="Финансовый 3 2" xfId="32"/>
    <cellStyle name="Финансовый 4" xfId="82"/>
    <cellStyle name="Финансовый 5" xfId="30"/>
    <cellStyle name="Финансовый 5 2" xfId="65"/>
  </cellStyles>
  <dxfs count="0"/>
  <tableStyles count="0" defaultTableStyle="TableStyleMedium9" defaultPivotStyle="PivotStyleLight16"/>
  <colors>
    <mruColors>
      <color rgb="FFBAE18F"/>
      <color rgb="FFF672F9"/>
      <color rgb="FFD8EEC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8.xml"/><Relationship Id="rId21" Type="http://schemas.openxmlformats.org/officeDocument/2006/relationships/externalLink" Target="externalLinks/externalLink13.xml"/><Relationship Id="rId34" Type="http://schemas.openxmlformats.org/officeDocument/2006/relationships/externalLink" Target="externalLinks/externalLink26.xml"/><Relationship Id="rId42" Type="http://schemas.openxmlformats.org/officeDocument/2006/relationships/externalLink" Target="externalLinks/externalLink34.xml"/><Relationship Id="rId47" Type="http://schemas.openxmlformats.org/officeDocument/2006/relationships/externalLink" Target="externalLinks/externalLink39.xml"/><Relationship Id="rId50" Type="http://schemas.openxmlformats.org/officeDocument/2006/relationships/externalLink" Target="externalLinks/externalLink42.xml"/><Relationship Id="rId55" Type="http://schemas.openxmlformats.org/officeDocument/2006/relationships/externalLink" Target="externalLinks/externalLink47.xml"/><Relationship Id="rId63" Type="http://schemas.openxmlformats.org/officeDocument/2006/relationships/externalLink" Target="externalLinks/externalLink55.xml"/><Relationship Id="rId68" Type="http://schemas.openxmlformats.org/officeDocument/2006/relationships/externalLink" Target="externalLinks/externalLink60.xml"/><Relationship Id="rId76" Type="http://schemas.openxmlformats.org/officeDocument/2006/relationships/externalLink" Target="externalLinks/externalLink68.xml"/><Relationship Id="rId84" Type="http://schemas.openxmlformats.org/officeDocument/2006/relationships/externalLink" Target="externalLinks/externalLink76.xml"/><Relationship Id="rId89" Type="http://schemas.openxmlformats.org/officeDocument/2006/relationships/externalLink" Target="externalLinks/externalLink81.xml"/><Relationship Id="rId97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63.xml"/><Relationship Id="rId92" Type="http://schemas.openxmlformats.org/officeDocument/2006/relationships/externalLink" Target="externalLinks/externalLink8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9" Type="http://schemas.openxmlformats.org/officeDocument/2006/relationships/externalLink" Target="externalLinks/externalLink21.xml"/><Relationship Id="rId11" Type="http://schemas.openxmlformats.org/officeDocument/2006/relationships/externalLink" Target="externalLinks/externalLink3.xml"/><Relationship Id="rId24" Type="http://schemas.openxmlformats.org/officeDocument/2006/relationships/externalLink" Target="externalLinks/externalLink16.xml"/><Relationship Id="rId32" Type="http://schemas.openxmlformats.org/officeDocument/2006/relationships/externalLink" Target="externalLinks/externalLink24.xml"/><Relationship Id="rId37" Type="http://schemas.openxmlformats.org/officeDocument/2006/relationships/externalLink" Target="externalLinks/externalLink29.xml"/><Relationship Id="rId40" Type="http://schemas.openxmlformats.org/officeDocument/2006/relationships/externalLink" Target="externalLinks/externalLink32.xml"/><Relationship Id="rId45" Type="http://schemas.openxmlformats.org/officeDocument/2006/relationships/externalLink" Target="externalLinks/externalLink37.xml"/><Relationship Id="rId53" Type="http://schemas.openxmlformats.org/officeDocument/2006/relationships/externalLink" Target="externalLinks/externalLink45.xml"/><Relationship Id="rId58" Type="http://schemas.openxmlformats.org/officeDocument/2006/relationships/externalLink" Target="externalLinks/externalLink50.xml"/><Relationship Id="rId66" Type="http://schemas.openxmlformats.org/officeDocument/2006/relationships/externalLink" Target="externalLinks/externalLink58.xml"/><Relationship Id="rId74" Type="http://schemas.openxmlformats.org/officeDocument/2006/relationships/externalLink" Target="externalLinks/externalLink66.xml"/><Relationship Id="rId79" Type="http://schemas.openxmlformats.org/officeDocument/2006/relationships/externalLink" Target="externalLinks/externalLink71.xml"/><Relationship Id="rId87" Type="http://schemas.openxmlformats.org/officeDocument/2006/relationships/externalLink" Target="externalLinks/externalLink79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53.xml"/><Relationship Id="rId82" Type="http://schemas.openxmlformats.org/officeDocument/2006/relationships/externalLink" Target="externalLinks/externalLink74.xml"/><Relationship Id="rId90" Type="http://schemas.openxmlformats.org/officeDocument/2006/relationships/externalLink" Target="externalLinks/externalLink82.xml"/><Relationship Id="rId95" Type="http://schemas.openxmlformats.org/officeDocument/2006/relationships/styles" Target="styles.xml"/><Relationship Id="rId19" Type="http://schemas.openxmlformats.org/officeDocument/2006/relationships/externalLink" Target="externalLinks/externalLink11.xml"/><Relationship Id="rId14" Type="http://schemas.openxmlformats.org/officeDocument/2006/relationships/externalLink" Target="externalLinks/externalLink6.xml"/><Relationship Id="rId22" Type="http://schemas.openxmlformats.org/officeDocument/2006/relationships/externalLink" Target="externalLinks/externalLink14.xml"/><Relationship Id="rId27" Type="http://schemas.openxmlformats.org/officeDocument/2006/relationships/externalLink" Target="externalLinks/externalLink19.xml"/><Relationship Id="rId30" Type="http://schemas.openxmlformats.org/officeDocument/2006/relationships/externalLink" Target="externalLinks/externalLink22.xml"/><Relationship Id="rId35" Type="http://schemas.openxmlformats.org/officeDocument/2006/relationships/externalLink" Target="externalLinks/externalLink27.xml"/><Relationship Id="rId43" Type="http://schemas.openxmlformats.org/officeDocument/2006/relationships/externalLink" Target="externalLinks/externalLink35.xml"/><Relationship Id="rId48" Type="http://schemas.openxmlformats.org/officeDocument/2006/relationships/externalLink" Target="externalLinks/externalLink40.xml"/><Relationship Id="rId56" Type="http://schemas.openxmlformats.org/officeDocument/2006/relationships/externalLink" Target="externalLinks/externalLink48.xml"/><Relationship Id="rId64" Type="http://schemas.openxmlformats.org/officeDocument/2006/relationships/externalLink" Target="externalLinks/externalLink56.xml"/><Relationship Id="rId69" Type="http://schemas.openxmlformats.org/officeDocument/2006/relationships/externalLink" Target="externalLinks/externalLink61.xml"/><Relationship Id="rId77" Type="http://schemas.openxmlformats.org/officeDocument/2006/relationships/externalLink" Target="externalLinks/externalLink69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43.xml"/><Relationship Id="rId72" Type="http://schemas.openxmlformats.org/officeDocument/2006/relationships/externalLink" Target="externalLinks/externalLink64.xml"/><Relationship Id="rId80" Type="http://schemas.openxmlformats.org/officeDocument/2006/relationships/externalLink" Target="externalLinks/externalLink72.xml"/><Relationship Id="rId85" Type="http://schemas.openxmlformats.org/officeDocument/2006/relationships/externalLink" Target="externalLinks/externalLink77.xml"/><Relationship Id="rId93" Type="http://schemas.openxmlformats.org/officeDocument/2006/relationships/externalLink" Target="externalLinks/externalLink85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externalLink" Target="externalLinks/externalLink17.xml"/><Relationship Id="rId33" Type="http://schemas.openxmlformats.org/officeDocument/2006/relationships/externalLink" Target="externalLinks/externalLink25.xml"/><Relationship Id="rId38" Type="http://schemas.openxmlformats.org/officeDocument/2006/relationships/externalLink" Target="externalLinks/externalLink30.xml"/><Relationship Id="rId46" Type="http://schemas.openxmlformats.org/officeDocument/2006/relationships/externalLink" Target="externalLinks/externalLink38.xml"/><Relationship Id="rId59" Type="http://schemas.openxmlformats.org/officeDocument/2006/relationships/externalLink" Target="externalLinks/externalLink51.xml"/><Relationship Id="rId67" Type="http://schemas.openxmlformats.org/officeDocument/2006/relationships/externalLink" Target="externalLinks/externalLink59.xml"/><Relationship Id="rId20" Type="http://schemas.openxmlformats.org/officeDocument/2006/relationships/externalLink" Target="externalLinks/externalLink12.xml"/><Relationship Id="rId41" Type="http://schemas.openxmlformats.org/officeDocument/2006/relationships/externalLink" Target="externalLinks/externalLink33.xml"/><Relationship Id="rId54" Type="http://schemas.openxmlformats.org/officeDocument/2006/relationships/externalLink" Target="externalLinks/externalLink46.xml"/><Relationship Id="rId62" Type="http://schemas.openxmlformats.org/officeDocument/2006/relationships/externalLink" Target="externalLinks/externalLink54.xml"/><Relationship Id="rId70" Type="http://schemas.openxmlformats.org/officeDocument/2006/relationships/externalLink" Target="externalLinks/externalLink62.xml"/><Relationship Id="rId75" Type="http://schemas.openxmlformats.org/officeDocument/2006/relationships/externalLink" Target="externalLinks/externalLink67.xml"/><Relationship Id="rId83" Type="http://schemas.openxmlformats.org/officeDocument/2006/relationships/externalLink" Target="externalLinks/externalLink75.xml"/><Relationship Id="rId88" Type="http://schemas.openxmlformats.org/officeDocument/2006/relationships/externalLink" Target="externalLinks/externalLink80.xml"/><Relationship Id="rId91" Type="http://schemas.openxmlformats.org/officeDocument/2006/relationships/externalLink" Target="externalLinks/externalLink83.xml"/><Relationship Id="rId9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7.xml"/><Relationship Id="rId23" Type="http://schemas.openxmlformats.org/officeDocument/2006/relationships/externalLink" Target="externalLinks/externalLink15.xml"/><Relationship Id="rId28" Type="http://schemas.openxmlformats.org/officeDocument/2006/relationships/externalLink" Target="externalLinks/externalLink20.xml"/><Relationship Id="rId36" Type="http://schemas.openxmlformats.org/officeDocument/2006/relationships/externalLink" Target="externalLinks/externalLink28.xml"/><Relationship Id="rId49" Type="http://schemas.openxmlformats.org/officeDocument/2006/relationships/externalLink" Target="externalLinks/externalLink41.xml"/><Relationship Id="rId57" Type="http://schemas.openxmlformats.org/officeDocument/2006/relationships/externalLink" Target="externalLinks/externalLink49.xml"/><Relationship Id="rId10" Type="http://schemas.openxmlformats.org/officeDocument/2006/relationships/externalLink" Target="externalLinks/externalLink2.xml"/><Relationship Id="rId31" Type="http://schemas.openxmlformats.org/officeDocument/2006/relationships/externalLink" Target="externalLinks/externalLink23.xml"/><Relationship Id="rId44" Type="http://schemas.openxmlformats.org/officeDocument/2006/relationships/externalLink" Target="externalLinks/externalLink36.xml"/><Relationship Id="rId52" Type="http://schemas.openxmlformats.org/officeDocument/2006/relationships/externalLink" Target="externalLinks/externalLink44.xml"/><Relationship Id="rId60" Type="http://schemas.openxmlformats.org/officeDocument/2006/relationships/externalLink" Target="externalLinks/externalLink52.xml"/><Relationship Id="rId65" Type="http://schemas.openxmlformats.org/officeDocument/2006/relationships/externalLink" Target="externalLinks/externalLink57.xml"/><Relationship Id="rId73" Type="http://schemas.openxmlformats.org/officeDocument/2006/relationships/externalLink" Target="externalLinks/externalLink65.xml"/><Relationship Id="rId78" Type="http://schemas.openxmlformats.org/officeDocument/2006/relationships/externalLink" Target="externalLinks/externalLink70.xml"/><Relationship Id="rId81" Type="http://schemas.openxmlformats.org/officeDocument/2006/relationships/externalLink" Target="externalLinks/externalLink73.xml"/><Relationship Id="rId86" Type="http://schemas.openxmlformats.org/officeDocument/2006/relationships/externalLink" Target="externalLinks/externalLink78.xml"/><Relationship Id="rId9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9" Type="http://schemas.openxmlformats.org/officeDocument/2006/relationships/externalLink" Target="externalLinks/externalLink3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-file-server\&#1087;&#1088;&#1086;\&#1054;&#1041;&#1066;&#1045;&#1050;&#1058;&#1067;\281%20&#1082;&#1084;%20&#1051;&#1080;&#1093;&#1072;&#1103;\2007\281%20&#1082;&#1084;%20-%20&#1057;&#1077;&#1085;&#1090;&#1103;&#1073;&#1088;&#1100;,%202007%20&#1075;%20&#1073;&#1077;&#1079;%20&#1072;&#1088;&#1077;&#1085;&#1076;&#1099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&#1057;&#1084;&#1077;&#1090;&#1099;2\Smeta%202001\SM117&#1072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98_3\c\&#1052;&#1086;&#1080;%20&#1076;&#1086;&#1082;&#1091;&#1084;&#1077;&#1085;&#1090;&#1099;\&#1057;&#1084;&#1077;&#1090;&#1099;\&#1057;&#1084;&#1077;&#1090;&#1099;2\SMETA\SM13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216%20&#1052;&#1086;&#1089;&#1090;%20&#1074;%20&#1089;.%20&#1065;&#1091;&#1095;&#1100;&#1077;%20&#1082;&#1084;%202+400%20(&#1042;&#1086;&#1088;.%20&#1086;&#1073;&#1083;.)\&#1041;&#1072;&#1079;&#1072;%2091&#1065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208%20&#1052;&#1086;&#1089;&#1090;%20&#1050;&#1088;&#1072;&#1089;&#1085;&#1072;&#1103;%20&#1082;&#1084;%20567%20(&#1042;&#1086;&#1088;.&#1086;&#1073;&#1083;.)\&#1041;&#1072;&#1079;&#1072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181%20%20&#1056;&#1077;&#1084;&#1086;&#1085;&#1090;%2046&#1050;&#1052;(&#1082;&#1072;&#1090;&#1072;&#1083;&#1086;&#1075;%20&#1052;.&#1086;&#1073;&#1083;.)\SM110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-file-server\&#1087;&#1088;&#1086;\Users\&#1050;&#1080;&#1095;&#1080;&#1075;&#1080;&#1085;&#1072;&#1045;\&#1052;&#1086;&#1080;%20&#1076;&#1086;&#1082;&#1091;&#1084;&#1077;&#1085;&#1090;&#1099;\&#1057;&#1084;&#1077;&#1090;&#1099;\273%20&#1057;&#1086;&#1076;.&#1084;&#1086;&#1089;&#1090;%20&#1088;.&#1057;.&#1044;&#1086;&#1085;&#1077;&#1094;\SM116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eta2\d\&#1057;&#1084;&#1077;&#1090;&#1099;2\SMETA\SM145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&#1057;&#1084;&#1077;&#1090;&#1099;2\Smeta%202001\SM97%20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200&#1056;&#1052;%20&#1052;&#1086;&#1089;&#1090;%20&#1055;&#1086;&#1075;&#1072;&#1088;&#1097;&#1080;&#1085;&#1072;%20&#1082;&#1084;%2037+146\&#1041;&#1072;&#1079;&#1072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&#1057;&#1084;&#1077;&#1090;&#1099;2\Smeta%202001\SM6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02\users\&#1055;&#1069;&#1054;\&#1055;&#1088;&#1086;&#1095;&#1080;&#1077;%20&#1057;&#1058;&#1056;&#1054;&#1049;-&#1058;&#1056;&#1045;&#1057;&#1058;\&#1055;&#1088;&#1086;&#1095;&#1080;&#1077;%202011\&#1050;&#1057;-2%20&#1053;&#1054;&#1071;&#1041;&#1056;&#1068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208%20&#1052;&#1086;&#1089;&#1090;%20&#1050;&#1088;&#1072;&#1089;&#1085;&#1072;&#1103;%20&#1082;&#1084;%20567%20(&#1042;&#1086;&#1088;.&#1086;&#1073;&#1083;.)\&#1041;&#1072;&#1079;&#1072;%209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M6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eta2\d\EXCEL\SMETA\SM74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eta2\d\&#1057;&#1084;&#1077;&#1090;&#1099;2\SMETA\SM9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M448&#1058;O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188%20&#1052;&#1086;&#1089;&#1090;%20&#1058;&#1091;&#1088;&#1076;&#1077;&#1081;%20&#1082;&#1084;%20284&#1082;&#1084;%20(&#1058;&#1091;&#1083;.&#1086;&#1073;&#1083;.)\&#1073;&#1072;&#1079;84%20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M59B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-file-server\&#1087;&#1088;&#1086;\&#1052;&#1086;&#1080;%20&#1076;&#1086;&#1082;&#1091;&#1084;&#1077;&#1085;&#1090;&#1099;\&#1057;&#1084;&#1077;&#1090;&#1099;\222%20&#1052;&#1086;&#1089;&#1090;%20&#1063;&#1077;&#1088;&#1085;&#1072;&#1103;%20&#1050;&#1072;&#1083;&#1080;&#1090;&#1074;&#1072;%20&#1082;&#1084;%20209+780%20(&#1042;&#1086;&#1088;.&#1086;&#1073;&#1083;.)\198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205%20&#1052;&#1086;&#1089;&#1090;%20&#1055;&#1090;&#1072;&#1085;&#1100;%20&#1082;&#1084;%20123+100%20(&#1051;&#1080;&#1087;.&#1086;&#1073;&#1083;.)\&#1073;&#1072;&#1079;.91&#1072;&#1073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212%20&#1052;&#1086;&#1089;&#1090;%20&#1041;&#1077;&#1088;&#1077;&#1079;&#1086;&#1074;&#1082;&#1072;%20(&#1051;&#1080;&#1087;&#1077;&#1094;&#1082;&#1072;&#1103;%20&#1086;&#1073;&#1083;.)\&#1073;&#1072;&#1079;.91&#1041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ANDREEA%20CHITU\Bible%20prix\BASE%20DE%20DONNEES%20PRIX%20ANDREEA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187%20&#1052;&#1086;&#1089;&#1090;%20&#1042;&#1086;&#1088;&#1086;&#1085;&#1077;&#1078;%20302+725%20(&#1051;&#1080;&#1087;.&#1086;&#1073;&#1083;.)\&#1073;&#1072;&#1079;.91&#1057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M750A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181%20%20&#1056;&#1077;&#1084;&#1086;&#1085;&#1090;%2046&#1050;&#1052;(&#1082;&#1072;&#1090;&#1072;&#1083;&#1086;&#1075;%20&#1052;.&#1086;&#1073;&#1083;.)\SM130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205%20&#1052;&#1086;&#1089;&#1090;%20&#1055;&#1090;&#1072;&#1085;&#1100;%20&#1082;&#1084;%20123+100%20(&#1051;&#1080;&#1087;.&#1086;&#1073;&#1083;.)\&#1058;&#1077;&#1082;&#1091;&#1097;.&#1076;&#1077;&#1082;&#1072;&#1073;&#1088;&#1100;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-file-server\&#1087;&#1088;&#1086;\&#1057;&#1084;&#1077;&#1090;&#1099;\&#1057;&#1084;&#1077;&#1090;&#1099;%20&#1074;%20Excel\&#1040;&#1085;&#1076;&#1088;&#1077;&#1077;&#1074;%20&#1053;.&#1041;\300%20&#1082;&#1084;%20&#1055;&#1050;1%20&#1091;&#1095;-&#1082;&#1072;%20&#1041;&#1072;&#1083;&#1072;&#1096;&#1086;&#1074;-&#1048;&#1083;&#1100;&#1084;&#1077;&#1085;&#1100;%20(&#1042;&#1086;&#1083;&#1075;&#1086;&#1075;&#1088;&#1072;&#1076;&#1089;&#1082;&#1072;&#1103;%20&#1086;&#1073;&#1083;.)\&#1056;&#1072;&#1089;&#1095;&#1077;&#1090;&#1099;1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eta2\d\&#1057;&#1084;&#1077;&#1090;&#1099;%201\130-&#1084;.&#1087;.&#1054;&#1089;&#1082;&#1086;&#1083;%20-%20&#1072;.&#1076;.&#1063;&#1077;&#1088;&#1085;&#1103;&#1085;&#1082;&#1072;\&#1092;&#1086;&#1088;&#1084;&#1072;%203&#1084;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eretennikova_s\&#1089;&#1077;&#1090;&#1100;\Documents%20and%20Settings\&#1055;&#1088;&#1086;&#1080;&#1079;&#1074;&#1086;&#1076;&#1089;&#1090;.-&#1090;&#1077;&#1093;.%20&#1086;&#1090;&#1076;\&#1052;&#1086;&#1080;%20&#1076;&#1086;&#1082;&#1091;&#1084;&#1077;&#1085;&#1090;&#1099;\&#1042;&#1099;&#1087;&#1086;&#1083;&#1085;&#1077;&#1085;&#1080;&#1077;\2004%20&#1075;&#1086;&#1076;\&#1054;&#1082;&#1090;&#1103;&#1073;&#1088;&#1100;%202004%20&#1075;\&#1054;&#1082;&#1090;&#1103;&#1073;&#1088;&#1100;1\&#1050;&#1091;&#1081;&#1073;&#1099;&#1096;&#1077;&#1074;&#1089;&#1082;&#1072;&#1103;%20&#1078;&#1076;\2004%20&#1075;&#1086;&#1076;\&#1054;&#1082;&#1090;&#1103;&#1073;&#1088;&#1100;%202004%20&#1075;\561-562%20&#1082;&#1084;%20-2001%20&#1075;.%20-%20&#1057;&#1077;&#1085;&#1090;&#1103;&#1073;&#1088;&#1100;,%202004%20&#1075;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30ED5A1\1741-1742%20&#1050;&#1073;&#1096;.&#1078;.&#1076;.%20-%20&#1057;&#1077;&#1085;&#1090;&#1103;&#1073;&#1088;&#1100;,%202004%20&#1075;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eta2\d\&#1057;&#1084;&#1077;&#1090;&#1099;2\SMETA\SM142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eta2\d\&#1057;&#1084;&#1077;&#1090;&#1099;2\SMETA\SM16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udit-server\sp$\Documents%20and%20Settings\&#1045;&#1083;&#1077;&#1085;&#1072;\&#1056;&#1072;&#1073;&#1086;&#1095;&#1080;&#1081;%20&#1089;&#1090;&#1086;&#1083;\&#1042;&#1067;&#1055;&#1054;&#1051;&#1053;&#1045;&#1053;&#1048;&#1045;%20&#1053;&#1054;&#1071;&#1041;&#1056;&#1068;\&#1050;&#1057;-2%20&#1086;&#1082;&#1090;&#1103;&#1073;&#1088;&#1100;_&#1085;&#1086;&#1103;&#1073;&#1088;&#1100;_EXEL\&#1089;&#1074;&#1086;&#1076;&#1085;&#1099;&#1081;%20&#1050;&#1057;-2_&#1086;&#1082;&#1090;&#1103;&#1073;&#1088;&#1100;_&#1085;&#1086;&#1103;&#1073;&#1088;&#1100;_2&#1080;&#1089;&#1087;&#1088;.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eta2\d\&#1057;&#1084;&#1077;&#1090;&#1099;%201\130-&#1084;.&#1087;.&#1054;&#1089;&#1082;&#1086;&#1083;%20-%20&#1072;.&#1076;.&#1063;&#1077;&#1088;&#1085;&#1103;&#1085;&#1082;&#1072;\&#1052;&#1072;&#1088;&#1100;&#1077;&#1074;&#1082;&#1072;%20&#1101;&#1082;&#1089;.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ackup\economists\&#1054;&#1090;&#1076;&#1077;&#1083;%20&#1087;&#1086;%20&#1088;&#1072;&#1073;&#1086;&#1090;&#1077;%20&#1089;%20&#1047;%20&#1080;%20&#1055;\&#1042;&#1099;&#1093;&#1080;&#1085;&#1086;-&#1046;&#1091;&#1083;&#1077;&#1073;&#1080;&#1085;&#1086;\&#1055;&#1056;&#1054;&#1063;&#1048;&#1045;\&#1055;&#1056;&#1054;&#1063;&#1048;&#1045;%20&#1076;&#1083;&#1103;%20&#1052;&#1048;&#1055;\&#1070;&#1043;&#1057;&#1050;\&#1055;&#1088;&#1086;&#1077;&#1082;&#1090;%20&#1088;&#1072;&#1089;&#1095;&#1077;&#1090;&#1072;%20&#1042;&#1072;&#1093;&#1090;&#1086;&#1074;&#1086;&#1075;&#1086;%20&#1084;&#1077;&#1090;&#1086;&#1076;&#1072;%20(&#1072;&#1074;&#1075;&#1091;&#1089;&#1090;%202011-&#1084;&#1072;&#1081;%202012).xlsm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188%20&#1052;&#1086;&#1089;&#1090;%20&#1058;&#1091;&#1088;&#1076;&#1077;&#1081;%20&#1082;&#1084;%20284&#1082;&#1084;%20(&#1058;&#1091;&#1083;.&#1086;&#1073;&#1083;.)\&#1042;&#1040;&#1061;&#1058;&#1040;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57;&#1084;&#1077;&#1090;&#1072;%20&#1057;&#1052;&#1056;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eta2\d\&#1057;&#1084;&#1077;&#1090;&#1099;2\SMETA\SM171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eta2\d\&#1057;&#1084;&#1077;&#1090;&#1099;2\SMETA\SM155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microsoft.com/office/2006/relationships/xlExternalLinkPath/xlPathMissing" Target="92107%20&#1086;&#1089;&#1074;&#1077;&#1097;&#1077;&#1085;&#1080;&#1077;%20-%20&#1050;&#1057;-3%20(&#1057;&#1073;&#1086;&#1088;&#1082;&#1072;%20&#1087;&#1086;%20&#1050;&#1057;-2)1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o_natalia\&#1084;&#1086;&#1080;%20&#1076;&#1086;&#1082;&#1091;&#1084;&#1077;&#1085;&#1090;\EKK\P4_DY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86&#1082;%20&#1056;&#1077;&#1084;&#1086;&#1085;&#1090;%20&#1051;&#1080;&#1087;&#1077;&#1094;&#1082;-10%20&#1096;&#1072;&#1093;&#1090;&#1072;\SM130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PK\&#1054;&#1090;&#1076;&#1077;&#1083;%20&#1089;&#1090;&#1086;&#1080;&#1084;&#1086;&#1089;&#1090;&#1085;&#1086;&#1075;&#1086;%20&#1080;&#1085;&#1078;&#1080;&#1085;&#1080;&#1088;&#1080;&#1085;&#1075;&#1072;\&#1050;&#1086;&#1085;&#1090;&#1088;&#1072;&#1082;&#1090;%202\&#1040;&#1083;&#1084;&#1072;-&#1040;&#1090;&#1080;&#1085;&#1089;&#1082;&#1072;&#1103;\&#1056;&#1040;&#1057;&#1063;&#1045;&#1058;&#1067;\&#1055;&#1088;&#1086;&#1090;&#1086;&#1082;&#1086;&#1083;%20&#1044;&#1062;%20&#1089;%20&#1088;&#1072;&#1089;&#1095;&#1077;&#1090;&#1086;&#1084;%20(&#1056;&#1045;&#1047;&#1045;&#1056;&#1042;%20&#1044;&#1040;&#1063;&#1040;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udit-server\sp$\Documents%20and%20Settings\&#1054;&#1083;&#1100;&#1075;&#1072;%20&#1056;\&#1056;&#1072;&#1073;&#1086;&#1095;&#1080;&#1081;%20&#1089;&#1090;&#1086;&#1083;\&#1079;&#1077;&#1084;&#1083;&#1077;&#1091;&#1089;&#1090;&#1088;&#1086;&#1081;&#1089;&#1090;&#1074;&#1086;\&#1089;&#1074;&#1086;&#1076;&#1085;&#1099;&#1081;%20&#1050;&#1057;-2_&#1086;&#1082;&#1090;&#1103;&#1073;&#1088;&#1100;_&#1085;&#1086;&#1103;&#1073;&#1088;&#1100;_2&#1080;&#1089;&#1087;&#1088;.1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98_3\c\&#1052;&#1086;&#1080;%20&#1076;&#1086;&#1082;&#1091;&#1084;&#1077;&#1085;&#1090;&#1099;\&#1057;&#1084;&#1077;&#1090;&#1099;\&#1057;&#1084;&#1077;&#1090;&#1099;2\SMETA\SM161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86&#1082;%20&#1056;&#1077;&#1084;&#1086;&#1085;&#1090;%20&#1051;&#1080;&#1087;&#1077;&#1094;&#1082;-10%20&#1096;&#1072;&#1093;&#1090;&#1072;\SM155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97%20&#1043;&#1091;&#1073;&#1082;&#1080;&#1085;\SM97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eta2\d\EXCEL\SMETA\SM86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226%20&#1052;&#1086;&#1089;&#1090;&#1086;&#1074;&#1086;&#1075;&#1086;%20&#1089;&#1086;&#1086;&#1088;&#1091;&#1078;.%20&#1082;&#1084;%20276+645%20(&#1042;&#1086;&#1088;.&#1086;&#1073;&#1083;.)\&#1073;&#1072;&#1079;.1991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eta2\d\&#1057;&#1084;&#1077;&#1090;&#1099;2\SMETA\SM97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50;&#1057;-3%20(&#1057;&#1073;&#1086;&#1088;&#1085;&#1072;&#1103;%20&#1087;&#1086;%20&#1050;&#1057;-2)%20v6%20-%20&#1082;&#1086;&#1087;&#1080;&#1103;1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eretennikova_s\&#1089;&#1077;&#1090;&#1100;\Documents%20and%20Settings\&#1053;&#1072;&#1090;&#1072;\&#1052;&#1086;&#1080;%20&#1076;&#1086;&#1082;&#1091;&#1084;&#1077;&#1085;&#1090;&#1099;\2006%20&#1075;&#1086;&#1076;\1741-1742%20&#1050;&#1073;&#1096;%20&#1078;%20&#1076;%20%20-%20&#1071;&#1085;&#1074;&#1072;&#1088;&#1100;%20%202006%20&#1075;%20&#1057;%20&#1056;&#1045;&#1045;&#1057;&#1058;&#1056;&#1054;&#1052;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d\&#1057;&#1084;&#1077;&#1090;&#1099;2\SMETA\SM159&#1076;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M7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98_3\c\&#1052;&#1086;&#1080;%20&#1076;&#1086;&#1082;&#1091;&#1084;&#1077;&#1085;&#1090;&#1099;\&#1057;&#1084;&#1077;&#1090;&#1099;\&#1057;&#1084;&#1077;&#1090;&#1099;2\SMETA\SM159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200&#1056;&#1052;%20&#1052;&#1086;&#1089;&#1090;%20&#1055;&#1086;&#1075;&#1072;&#1088;&#1097;&#1080;&#1085;&#1072;%20&#1082;&#1084;%2037+146\SM171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207%20&#1052;&#1086;&#1089;&#1090;%20&#1056;&#1077;&#1087;&#1077;&#1094;%20&#1082;&#1084;%20434(&#1051;&#1080;&#1087;.%20&#1086;&#1073;&#1083;.)\&#1073;&#1072;&#1079;.91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eta2\d\&#1057;&#1084;&#1077;&#1090;&#1099;2\SMETA\SM162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-file-server\&#1087;&#1088;&#1086;\&#1052;&#1086;&#1080;%20&#1076;&#1086;&#1082;&#1091;&#1084;&#1077;&#1085;&#1090;&#1099;\&#1057;&#1084;&#1077;&#1090;&#1099;\259%20&#1052;&#1086;&#1089;&#1090;&#1086;&#1074;&#1086;&#1077;%20&#1089;&#1086;&#1086;&#1088;&#1091;&#1078;.%20&#1082;&#1084;296+242%20(&#1042;&#1086;&#1088;.&#1086;&#1073;&#1083;)\&#1073;&#1072;&#1079;.1991%20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181%20%20&#1056;&#1077;&#1084;&#1086;&#1085;&#1090;%2046&#1050;&#1052;(&#1082;&#1072;&#1090;&#1072;&#1083;&#1086;&#1075;%20&#1052;.&#1086;&#1073;&#1083;.)\SM162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&#1057;&#1084;&#1077;&#1090;&#1099;2\Smeta%202001\SM16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175%20222&#1082;&#1084;\&#1058;&#1077;&#1082;&#1091;&#1097;.&#1094;&#1077;&#1085;&#1072;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&#1057;&#1084;&#1077;&#1090;&#1099;2\Smeta%202001\SM%200428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eretennikova_s\&#1089;&#1077;&#1090;&#1100;\Documents%20and%20Settings\&#1055;&#1088;&#1086;&#1080;&#1079;&#1074;&#1086;&#1076;&#1089;&#1090;.-&#1090;&#1077;&#1093;.%20&#1086;&#1090;&#1076;\&#1052;&#1086;&#1080;%20&#1076;&#1086;&#1082;&#1091;&#1084;&#1077;&#1085;&#1090;&#1099;\&#1042;&#1099;&#1087;&#1086;&#1083;&#1085;&#1077;&#1085;&#1080;&#1077;\2004%20&#1075;&#1086;&#1076;\&#1054;&#1082;&#1090;&#1103;&#1073;&#1088;&#1100;%202004%20&#1075;\462%20&#1082;&#1084;%20%20&#1055;&#1050;3-&#1055;&#1050;6%20-%20&#1057;&#1077;&#1085;&#1090;&#1103;&#1073;&#1088;&#1100;,%202004%20&#1075;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-file-server\&#1087;&#1088;&#1086;\&#1052;&#1086;&#1080;%20&#1076;&#1086;&#1082;&#1091;&#1084;&#1077;&#1085;&#1090;&#1099;\&#1057;&#1084;&#1077;&#1090;&#1099;\290%20&#1040;&#1074;&#1090;&#1086;&#1076;&#1086;&#1088;&#1086;&#1075;&#1072;%20&#1042;&#1077;&#1089;&#1077;&#1083;&#1086;&#1074;&#1082;&#1072;(&#1056;&#1086;&#1089;&#1090;&#1086;&#1074;&#1089;&#1082;&#1072;&#1103;%20&#1086;&#1073;&#1083;)\&#1090;&#1077;&#1082;%202003&#1075;&#1044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&#1057;&#1084;&#1077;&#1090;&#1099;2\SMETA\SM159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-file-server\&#1087;&#1088;&#1086;\Documents%20and%20Settings\&#1055;&#1088;&#1086;&#1080;&#1079;&#1074;&#1086;&#1076;&#1089;&#1090;.-&#1090;&#1077;&#1093;.%20&#1086;&#1090;&#1076;\&#1052;&#1086;&#1080;%20&#1076;&#1086;&#1082;&#1091;&#1084;&#1077;&#1085;&#1090;&#1099;\&#1042;&#1099;&#1087;&#1086;&#1083;&#1085;&#1077;&#1085;&#1080;&#1077;\2004%20&#1075;&#1086;&#1076;\&#1054;&#1082;&#1090;&#1103;&#1073;&#1088;&#1100;%202004%20&#1075;\&#1054;&#1082;&#1090;&#1103;&#1073;&#1088;&#1100;1\&#1055;&#1088;&#1080;&#1074;&#1086;&#1083;&#1078;&#1089;&#1082;&#1072;&#1103;%20&#1078;&#1076;\2004%20&#1075;&#1086;&#1076;\&#1054;&#1082;&#1090;&#1103;&#1073;&#1088;&#1100;%202004%20&#1075;\274%20&#1082;&#1084;-2001%20&#1075;.%20(&#1082;&#1086;&#1088;&#1088;&#1077;&#1082;&#1090;)%20(&#1050;&#1086;&#1087;&#1080;&#1103;)%20-%20&#1057;&#1077;&#1085;&#1090;&#1103;&#1073;&#1088;&#1100;,%202004%20&#1075;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86&#1082;%20&#1056;&#1077;&#1084;&#1086;&#1085;&#1090;%20&#1051;&#1080;&#1087;&#1077;&#1094;&#1082;-10%20&#1096;&#1072;&#1093;&#1090;&#1072;\SM174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210%20&#1052;&#1086;&#1089;&#1090;%20442%20&#1082;&#1084;%20(&#1051;&#1080;&#1087;&#1077;&#1094;&#1082;&#1072;&#1103;%20&#1086;&#1073;&#1083;.)\&#1073;&#1072;&#1079;.91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-file-server\&#1087;&#1088;&#1086;\Documents%20and%20Settings\&#1055;&#1088;&#1086;&#1080;&#1079;&#1074;&#1086;&#1076;&#1089;&#1090;.-&#1090;&#1077;&#1093;.%20&#1086;&#1090;&#1076;\&#1052;&#1086;&#1080;%20&#1076;&#1086;&#1082;&#1091;&#1084;&#1077;&#1085;&#1090;&#1099;\&#1042;&#1099;&#1087;&#1086;&#1083;&#1085;&#1077;&#1085;&#1080;&#1077;\2004%20&#1075;&#1086;&#1076;\&#1054;&#1082;&#1090;&#1103;&#1073;&#1088;&#1100;%202004%20&#1075;\&#1054;&#1082;&#1090;&#1103;&#1073;&#1088;&#1100;1\&#1055;&#1088;&#1080;&#1074;&#1086;&#1083;&#1078;&#1089;&#1082;&#1072;&#1103;%20&#1078;&#1076;\2004%20&#1075;&#1086;&#1076;\&#1054;&#1082;&#1090;&#1103;&#1073;&#1088;&#1100;%202004%20&#1075;\1069&#1082;&#1084;%20&#1055;&#1050;9-1070&#1082;&#1084;&#1055;&#1050;7%20-%20&#1057;&#1077;&#1085;&#1090;&#1103;&#1073;&#1088;&#1100;,%202004%20&#1075;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200&#1056;&#1052;%20&#1052;&#1086;&#1089;&#1090;%20&#1055;&#1086;&#1075;&#1072;&#1088;&#1097;&#1080;&#1085;&#1072;%20&#1082;&#1084;%2037+146\&#1050;&#1086;&#1087;&#1080;&#1103;%20&#1058;&#1077;&#1082;&#1091;&#1097;&#1072;&#1103;%20&#1094;&#1077;&#1085;&#1072;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208%20&#1052;&#1086;&#1089;&#1090;%20&#1050;&#1088;&#1072;&#1089;&#1085;&#1072;&#1103;%20&#1082;&#1084;%20567%20(&#1042;&#1086;&#1088;.&#1086;&#1073;&#1083;.)\&#1090;&#1077;&#1082;%20&#1050;&#1088;&#1072;&#1089;&#1085;&#1072;&#1103;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-file-server\&#1087;&#1072;&#1087;&#1082;&#1072;%20&#1086;&#1073;&#1084;&#1077;&#1085;&#1072;\Documents%20and%20Settings\&#1055;&#1080;&#1079;&#1080;&#1095;&#1040;&#1055;\Desktop\16&#1082;&#1084;%20&#1076;&#1083;&#1103;%20&#1055;&#1080;&#1079;&#1080;&#1095;&#1072;%20&#1040;\&#1057;&#1084;&#1077;&#1090;&#1099;%20&#1087;&#1086;%2016%20&#1082;&#1084;\&#1051;&#1086;&#1082;%20&#1089;&#1084;&#1077;&#1090;&#1072;%201-14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2557F43\&#1051;&#1086;&#1082;%20&#1089;&#1084;&#1077;&#1090;&#1072;%201-14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&#1052;&#1048;&#1055;-&#1057;&#1090;&#1088;&#1086;&#1081;%20&#8470;1\&#1057;&#1052;&#1045;&#1058;&#1053;&#1067;&#1049;%20&#1054;&#1058;&#1044;&#1045;&#1051;\&#1057;&#1091;&#1083;&#1080;&#1084;&#1072;\8%20&#1070;&#1047;%20&#1058;&#1055;&#1050;%20262-0619\&#1042;&#1099;&#1087;&#1086;&#1083;&#1085;&#1077;&#1085;&#1080;&#1077;\&#1050;&#1057;-3%20&#8470;%2022%20&#1060;&#1077;&#1074;&#1088;&#1072;&#1083;&#1100;%2021\&#1088;.10.4%20(&#1082;-0,2)%2048482-&#1058;&#1055;&#1050;_5-0569-&#1088;-&#1089;&#1089;&#1088;2%20%2012-40%20-%20&#1048;&#1102;&#1085;&#1100;,%202020%20&#1075;.%20-3%20&#1075;&#1072;&#1088;&#1072;&#1085;&#1090;&#1080;&#1103;%20&#1057;&#1090;&#1088;&#1086;&#1081;&#1084;&#1086;&#1085;&#1090;&#1072;&#1078;%202002.xlsx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&#1052;&#1048;&#1055;-&#1057;&#1090;&#1088;&#1086;&#1081;%20&#8470;1\&#1057;&#1052;&#1045;&#1058;&#1053;&#1067;&#1049;%20&#1054;&#1058;&#1044;&#1045;&#1051;\&#1057;&#1091;&#1083;&#1080;&#1084;&#1072;\8%20&#1070;&#1047;%20&#1058;&#1055;&#1050;%20262-0619\&#1042;&#1099;&#1087;&#1086;&#1083;&#1085;&#1077;&#1085;&#1080;&#1077;\&#1050;&#1057;-3%20&#8470;%2022%20&#1060;&#1077;&#1074;&#1088;&#1072;&#1083;&#1100;%2021\&#1088;.10.8%20(&#1082;-0,2)%2048701-&#1058;&#1055;&#1050;_5-0647-&#1056;-&#1057;&#1057;&#1056;2%2012-401%20-%20&#1048;&#1102;&#1085;&#1100;,%202020%20&#1075;.%20-%203%20&#1075;&#1072;&#1088;&#1072;&#1085;&#1090;&#1080;&#1103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&#1057;&#1084;&#1077;&#1090;&#1099;2\Smeta%202001\SM120&#1072;.xls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&#1052;&#1048;&#1055;-&#1057;&#1090;&#1088;&#1086;&#1081;%20&#8470;1\&#1057;&#1052;&#1045;&#1058;&#1053;&#1067;&#1049;%20&#1054;&#1058;&#1044;&#1045;&#1051;\&#1057;&#1091;&#1083;&#1080;&#1084;&#1072;\8%20&#1070;&#1047;%20&#1058;&#1055;&#1050;%20262-0619\&#1042;&#1099;&#1087;&#1086;&#1083;&#1085;&#1077;&#1085;&#1080;&#1077;\2021\&#1050;&#1057;-3%20&#8470;21%20(&#1086;&#1090;&#1087;&#1088;&#1072;&#1074;&#1083;&#1077;&#1085;&#1086;)\&#1056;.17.96_(48701%20&#1076;&#1086;&#1087;.1)%2012-4017-&#1051;-&#1056;-11.4%20-%20&#1040;&#1087;&#1088;&#1077;&#1083;&#1100;,%202020%20&#1075;.,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&#1052;&#1048;&#1055;-&#1057;&#1090;&#1088;&#1086;&#1081;%20&#8470;1\&#1057;&#1052;&#1045;&#1058;&#1053;&#1067;&#1049;%20&#1054;&#1058;&#1044;&#1045;&#1051;\&#1057;&#1091;&#1083;&#1080;&#1084;&#1072;\8%20&#1070;&#1047;%20&#1058;&#1055;&#1050;%20262-0619\&#1042;&#1099;&#1087;&#1086;&#1083;&#1085;&#1077;&#1085;&#1080;&#1077;\&#1050;&#1057;-3%20&#8470;%2022%20&#1060;&#1077;&#1074;&#1088;&#1072;&#1083;&#1100;%2021\&#1088;.10.14%20(&#1082;-0,2)%2049109-&#1058;&#1055;&#1050;_5-0867-&#1056;-&#1057;&#1057;&#1056;2%20&#1080;&#1079;&#1084;.%201%20-%20%20&#1048;&#1102;&#1085;&#1100;,%202020%20&#1075;.%20-5%20&#1075;&#1072;&#1088;&#1072;&#1085;&#1090;&#1080;&#1103;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1040;&#1084;&#1080;&#1085;&#1100;&#1077;&#1074;&#1089;&#1082;&#1086;&#1077;\&#1057;&#1091;&#1073;&#1087;&#1086;&#1076;&#1088;&#1103;&#1076;\&#1071;&#1085;&#1074;&#1072;&#1088;&#1100;%202021%202\779%20&#1071;&#1085;&#1074;&#1072;&#1088;&#1100;%202021.%20!(&#1086;&#1073;&#1098;&#1077;&#1076;.)%20-%20&#1080;&#1079;&#1084;.0%20&#1079;&#1072;&#1084;&#1077;&#1095;&#1072;&#1085;&#1080;&#1103;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054;&#1073;&#1098;&#1077;&#1082;&#1090;&#1099;\&#1040;&#1084;&#1080;&#1085;&#1100;&#1077;&#1074;&#1089;&#1082;&#1086;&#1077;\&#1042;&#1099;&#1087;&#1086;&#1083;&#1085;&#1077;&#1085;&#1080;&#1077;%2014.05.2020\12-4017-&#1051;-&#1056;-8.3.1-&#1042;&#1050;-&#1057;&#1052;1%20&#1048;&#1085;&#1078;&#1077;&#1085;%20-%20&#1052;&#1072;&#1081;,%202020%20&#1075;..xlsx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&#1052;&#1048;&#1055;-&#1057;&#1090;&#1088;&#1086;&#1081;%20&#8470;1\&#1057;&#1052;&#1045;&#1058;&#1053;&#1067;&#1049;%20&#1054;&#1058;&#1044;&#1045;&#1051;\&#1057;&#1091;&#1083;&#1080;&#1084;&#1072;\8%20&#1070;&#1047;%20&#1058;&#1055;&#1050;%20262-0619\&#1042;&#1099;&#1087;&#1086;&#1083;&#1085;&#1077;&#1085;&#1080;&#1077;\&#1050;&#1057;-3%20&#8470;%2022%20&#1060;&#1077;&#1074;&#1088;&#1072;&#1083;&#1100;%2021\&#1088;.17.55%2004.12%2048837-&#1058;&#1055;&#1050;_5-0699-&#1056;-&#1057;&#1057;&#1056;2%20%2012-40%20-%20&#1044;&#1077;&#1082;&#1072;&#1073;&#1088;&#1100;,%202020%20&#1075;.%20&#1057;&#1090;&#1088;&#1086;&#1081;&#1084;&#1086;&#1085;&#1090;&#1072;&#1078;%202002%2004-12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&#1052;&#1048;&#1055;-&#1057;&#1090;&#1088;&#1086;&#1081;%20&#8470;1\&#1057;&#1052;&#1045;&#1058;&#1053;&#1067;&#1049;%20&#1054;&#1058;&#1044;&#1045;&#1051;\&#1057;&#1091;&#1083;&#1080;&#1084;&#1072;\8%20&#1070;&#1047;%20&#1058;&#1055;&#1050;%20262-0619\&#1042;&#1099;&#1087;&#1086;&#1083;&#1085;&#1077;&#1085;&#1080;&#1077;\&#1050;&#1057;-3%20&#8470;%2022%20&#1060;&#1077;&#1074;&#1088;&#1072;&#1083;&#1100;%2021\&#1088;.17.55&#1076;&#1086;&#1087;2%2048837-&#1058;&#1055;&#1050;_5-0699-&#1056;-&#1057;&#1057;&#1056;2%20&#1080;&#1079;&#1084;.%201%20-%20&#1054;&#1054;&#1054;%20_&#1057;&#1058;&#1056;&#1054;&#1049;-&#1052;&#1054;&#1053;&#1058;&#1040;&#1046;%202002_,%20&#1060;&#1077;&#1074;&#1088;&#1072;&#1083;&#1100;,%202021%20&#1075;.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98_3\c\&#1052;&#1086;&#1080;%20&#1076;&#1086;&#1082;&#1091;&#1084;&#1077;&#1085;&#1090;&#1099;\&#1057;&#1084;&#1077;&#1090;&#1099;\&#1057;&#1084;&#1077;&#1090;&#1099;2\SMETA\SM16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С-2"/>
      <sheetName val="Source"/>
      <sheetName val="реестр новый "/>
      <sheetName val="КС-3 "/>
      <sheetName val="ВПДМ Май 2019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атрын"/>
      <sheetName val="зп мост"/>
      <sheetName val="зпподходы"/>
      <sheetName val="К.С.М."/>
      <sheetName val="Тр."/>
      <sheetName val="ПИР"/>
      <sheetName val="C.с"/>
      <sheetName val="П.з"/>
      <sheetName val="зим,"/>
      <sheetName val="эл"/>
      <sheetName val="ком"/>
      <sheetName val="C.с (р)"/>
      <sheetName val="П.з (2)"/>
      <sheetName val="сод"/>
      <sheetName val="Тр.(ж.д.)"/>
      <sheetName val="ч. щ. 2"/>
    </sheetNames>
    <sheetDataSet>
      <sheetData sheetId="0"/>
      <sheetData sheetId="1"/>
      <sheetData sheetId="2"/>
      <sheetData sheetId="3"/>
      <sheetData sheetId="4">
        <row r="36">
          <cell r="H36">
            <v>1.83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(дор.+мост)"/>
      <sheetName val="Тр.(дор.)"/>
      <sheetName val="Тр.  (мост)"/>
      <sheetName val="Сод.л.см"/>
      <sheetName val="Сод.р.в."/>
      <sheetName val="П.з.р.в"/>
      <sheetName val="П.з.л.см"/>
      <sheetName val="C.с"/>
      <sheetName val="В.ст.дор"/>
      <sheetName val="В.ст.мост"/>
      <sheetName val="Вр"/>
      <sheetName val="зим"/>
      <sheetName val="эл"/>
      <sheetName val="ПИРб"/>
      <sheetName val="ПИРт"/>
      <sheetName val="Тр."/>
      <sheetName val="FS_05"/>
      <sheetName val="2012(КСЛ) (2)"/>
      <sheetName val="12"/>
      <sheetName val="Тр.(ж.д.)"/>
      <sheetName val="ч. щ. 2"/>
    </sheetNames>
    <sheetDataSet>
      <sheetData sheetId="0"/>
      <sheetData sheetId="1">
        <row r="77">
          <cell r="H77">
            <v>497.25</v>
          </cell>
        </row>
      </sheetData>
      <sheetData sheetId="2"/>
      <sheetData sheetId="3"/>
      <sheetData sheetId="4">
        <row r="30">
          <cell r="P30">
            <v>10.14</v>
          </cell>
        </row>
      </sheetData>
      <sheetData sheetId="5"/>
      <sheetData sheetId="6"/>
      <sheetData sheetId="7"/>
      <sheetData sheetId="8"/>
      <sheetData sheetId="9">
        <row r="39">
          <cell r="D39">
            <v>6.12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тр "/>
      <sheetName val="зимБ"/>
      <sheetName val="C.с  Б"/>
      <sheetName val="вахта Б"/>
      <sheetName val="ПИР"/>
      <sheetName val="сод.л.см."/>
      <sheetName val="ч. щ. 1"/>
      <sheetName val="ч. щ. 2"/>
      <sheetName val="П.з"/>
      <sheetName val="Тр.  (мост)"/>
      <sheetName val="Тр.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тр "/>
      <sheetName val="C.с баз"/>
      <sheetName val="зим"/>
      <sheetName val="П.з"/>
      <sheetName val="сод.л.см."/>
      <sheetName val="ПИР"/>
      <sheetName val="об.смДБаз."/>
      <sheetName val="зимДБаз."/>
      <sheetName val="об.см.ДБаз.(1э)"/>
      <sheetName val="зим ДБаз.(1э)"/>
      <sheetName val="об.см.ДТек (1э)"/>
      <sheetName val="об.смДТек"/>
      <sheetName val="зим ДТек"/>
      <sheetName val="зимДТек(1э)"/>
      <sheetName val="Сод. к л.см.(1э)"/>
      <sheetName val="Сод. к л.см."/>
      <sheetName val="вах"/>
      <sheetName val="вр"/>
      <sheetName val="C.с"/>
      <sheetName val="Тр.  (мост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К.С.М. (2)"/>
      <sheetName val="Тр. "/>
      <sheetName val="вск1"/>
      <sheetName val="Р1"/>
      <sheetName val="ПИР"/>
      <sheetName val="П.з "/>
      <sheetName val="зим"/>
      <sheetName val="C.с"/>
      <sheetName val="C.с1п"/>
      <sheetName val="зим 1п"/>
      <sheetName val="Сод.р.в."/>
      <sheetName val="П.з.р.в."/>
      <sheetName val="тр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К.С.М. (2)"/>
      <sheetName val="Тр. "/>
      <sheetName val="вск1"/>
      <sheetName val="Р1"/>
      <sheetName val="ПИР"/>
      <sheetName val="П.з "/>
      <sheetName val="C.с"/>
      <sheetName val="зим"/>
    </sheetNames>
    <sheetDataSet>
      <sheetData sheetId="0"/>
      <sheetData sheetId="1"/>
      <sheetData sheetId="2"/>
      <sheetData sheetId="3">
        <row r="49">
          <cell r="P49">
            <v>33.584000000000003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"/>
      <sheetName val="К"/>
      <sheetName val="ч. щ. 1"/>
      <sheetName val="ч. щ. 2"/>
      <sheetName val="К.С.М."/>
      <sheetName val="Тр."/>
      <sheetName val="зим."/>
      <sheetName val="вах"/>
      <sheetName val="вр"/>
      <sheetName val="C.с"/>
      <sheetName val="П.з.л.см"/>
      <sheetName val="П.з.р.в"/>
      <sheetName val="Сод.л.см"/>
      <sheetName val="Сод.р.в."/>
      <sheetName val="К.С.М. (2)"/>
      <sheetName val="Приложение 15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>
        <row r="17">
          <cell r="F17">
            <v>23154</v>
          </cell>
        </row>
      </sheetData>
      <sheetData sheetId="8" refreshError="1">
        <row r="33">
          <cell r="G33">
            <v>60.84</v>
          </cell>
        </row>
      </sheetData>
      <sheetData sheetId="9" refreshError="1">
        <row r="28">
          <cell r="I28">
            <v>3.23</v>
          </cell>
        </row>
        <row r="58">
          <cell r="E58">
            <v>3.96</v>
          </cell>
        </row>
      </sheetData>
      <sheetData sheetId="10"/>
      <sheetData sheetId="11"/>
      <sheetData sheetId="12"/>
      <sheetData sheetId="13"/>
      <sheetData sheetId="14" refreshError="1"/>
      <sheetData sheetId="15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Тр."/>
      <sheetName val="Тр. (2)"/>
      <sheetName val="C.с "/>
      <sheetName val="C.с  (2)"/>
      <sheetName val="C.сбаз.и"/>
      <sheetName val="Р1 (2)"/>
      <sheetName val="Р1 (И)"/>
      <sheetName val="П.з "/>
      <sheetName val="сод"/>
      <sheetName val="сод (2)"/>
      <sheetName val="сод р.в."/>
      <sheetName val="П.з  (2)"/>
      <sheetName val="П.з  (3)"/>
      <sheetName val="К.С.М. (2)"/>
      <sheetName val="C.с"/>
      <sheetName val="вах"/>
      <sheetName val="вр"/>
      <sheetName val="зим."/>
      <sheetName val="mutual"/>
    </sheetNames>
    <sheetDataSet>
      <sheetData sheetId="0"/>
      <sheetData sheetId="1"/>
      <sheetData sheetId="2">
        <row r="42">
          <cell r="P42">
            <v>15.75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тр "/>
      <sheetName val="об.смДБаз."/>
      <sheetName val="зимДБаз."/>
      <sheetName val="об.см.ДБаз.(1э)"/>
      <sheetName val="зим ДБаз.(1э)"/>
      <sheetName val="об.см.ДТек (1э)"/>
      <sheetName val="об.смДТек"/>
      <sheetName val="зим ДТек"/>
      <sheetName val="зимДТек(1э)"/>
      <sheetName val="Сод. к л.см.(1э)"/>
      <sheetName val="Сод. к л.см."/>
      <sheetName val="вах"/>
      <sheetName val="вр"/>
      <sheetName val="C.с"/>
      <sheetName val="зим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ТР"/>
      <sheetName val="вск1"/>
      <sheetName val="Р1"/>
      <sheetName val="ПИР"/>
      <sheetName val="П.з "/>
      <sheetName val="C.с"/>
      <sheetName val="C.с (3)"/>
      <sheetName val="C.с (2)"/>
      <sheetName val="зим"/>
      <sheetName val="Рокно"/>
      <sheetName val="П.з  (2)"/>
      <sheetName val="C.с (4)"/>
      <sheetName val="вр"/>
      <sheetName val="Lots1127"/>
    </sheetNames>
    <sheetDataSet>
      <sheetData sheetId="0"/>
      <sheetData sheetId="1"/>
      <sheetData sheetId="2">
        <row r="18">
          <cell r="P18">
            <v>15.080000000000002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Эл.энергия"/>
      <sheetName val="аренда флота"/>
      <sheetName val="Эл.энергия без 100 кВт"/>
    </sheetNames>
    <sheetDataSet>
      <sheetData sheetId="0"/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тр "/>
      <sheetName val="C.с баз"/>
      <sheetName val="зим"/>
      <sheetName val="П.з"/>
      <sheetName val="сод.л.см."/>
      <sheetName val="ПИР"/>
      <sheetName val="Фрез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.С.М."/>
      <sheetName val="Ф"/>
      <sheetName val="Bendra"/>
    </sheetNames>
    <sheetDataSet>
      <sheetData sheetId="0">
        <row r="113">
          <cell r="P113">
            <v>24.96</v>
          </cell>
        </row>
      </sheetData>
      <sheetData sheetId="1" refreshError="1"/>
      <sheetData sheetId="2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Ер"/>
      <sheetName val="К"/>
      <sheetName val="Ф"/>
      <sheetName val="К.С.М."/>
      <sheetName val="Тр."/>
      <sheetName val="Тр. (2)"/>
      <sheetName val="а.б. 1 м"/>
      <sheetName val="битум"/>
      <sheetName val="Р1 "/>
      <sheetName val="ПИР"/>
      <sheetName val="C.с "/>
      <sheetName val="Р2"/>
      <sheetName val="П.з "/>
      <sheetName val="C.с  (2)"/>
      <sheetName val="C.с  (4)"/>
      <sheetName val="К.С.М. (2)"/>
    </sheetNames>
    <sheetDataSet>
      <sheetData sheetId="0"/>
      <sheetData sheetId="1"/>
      <sheetData sheetId="2"/>
      <sheetData sheetId="3">
        <row r="192">
          <cell r="P192">
            <v>26.808000000000003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Е.р."/>
      <sheetName val="К"/>
      <sheetName val="Ф"/>
      <sheetName val="К.С.М."/>
      <sheetName val="Тр."/>
      <sheetName val="ПИР"/>
      <sheetName val="C.с"/>
      <sheetName val="Р1"/>
      <sheetName val="Р2"/>
      <sheetName val="Р2 (2)"/>
      <sheetName val="Р3"/>
      <sheetName val="C.с (2)"/>
      <sheetName val="C.с (3)"/>
      <sheetName val="П.з"/>
      <sheetName val="сод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 refreshError="1"/>
      <sheetData sheetId="14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С.с"/>
      <sheetName val="С.с (2)"/>
      <sheetName val="Р1"/>
      <sheetName val="Р2"/>
      <sheetName val="П.з"/>
      <sheetName val="ПИР"/>
      <sheetName val="об"/>
      <sheetName val="мат"/>
      <sheetName val="К.С.М."/>
      <sheetName val="Ф"/>
    </sheetNames>
    <sheetDataSet>
      <sheetData sheetId="0"/>
      <sheetData sheetId="1"/>
      <sheetData sheetId="2">
        <row r="155">
          <cell r="K155">
            <v>585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Тр."/>
      <sheetName val="Тр.ж.д."/>
      <sheetName val="Тр.ж.д. (1)"/>
      <sheetName val="ПИР"/>
      <sheetName val="C.с баз"/>
      <sheetName val="зим Б"/>
      <sheetName val="вах"/>
      <sheetName val="эл"/>
      <sheetName val="П.з"/>
      <sheetName val="сод"/>
      <sheetName val="сод.л.см."/>
      <sheetName val="сод.л.р.в.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"/>
      <sheetName val="КС-2"/>
      <sheetName val="3"/>
      <sheetName val="Inf"/>
    </sheetNames>
    <sheetDataSet>
      <sheetData sheetId="0">
        <row r="48">
          <cell r="H48">
            <v>65.84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Тр. ж.д."/>
      <sheetName val="сод"/>
      <sheetName val="ПИРБ"/>
      <sheetName val="C.с  Б"/>
      <sheetName val="зимБ"/>
      <sheetName val="вах"/>
      <sheetName val="Тр.(пут)"/>
      <sheetName val="Фм"/>
      <sheetName val="К.С.М. (ПУТ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C.с баз"/>
      <sheetName val="Тр."/>
      <sheetName val="зим Б"/>
      <sheetName val="сод.л.см."/>
      <sheetName val="П.з"/>
      <sheetName val="Об.см."/>
      <sheetName val="вах"/>
      <sheetName val="ПИР"/>
      <sheetName val="Тр.(пут)"/>
    </sheetNames>
    <sheetDataSet>
      <sheetData sheetId="0" refreshError="1"/>
      <sheetData sheetId="1"/>
      <sheetData sheetId="2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Тр."/>
      <sheetName val="C.с баз"/>
      <sheetName val="зим Б"/>
      <sheetName val="сод.л.см."/>
      <sheetName val="П.з"/>
      <sheetName val="ПИР"/>
      <sheetName val="вах"/>
      <sheetName val="Об.см."/>
      <sheetName val="ТрМ. "/>
      <sheetName val="К.С.М. м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urnisseurs"/>
      <sheetName val="Catégories"/>
      <sheetName val="Diffuseurs"/>
      <sheetName val="Terminaux clim"/>
      <sheetName val="AERAULIQUE"/>
      <sheetName val="HYDRAULIQUE"/>
      <sheetName val="Source"/>
    </sheetNames>
    <sheetDataSet>
      <sheetData sheetId="0" refreshError="1"/>
      <sheetData sheetId="1">
        <row r="5">
          <cell r="B5" t="str">
            <v>Diffuseurs filtres</v>
          </cell>
        </row>
        <row r="6">
          <cell r="B6" t="str">
            <v>Diffuseurs petit débit</v>
          </cell>
        </row>
        <row r="7">
          <cell r="B7" t="str">
            <v>Diffuseurs à induction interne</v>
          </cell>
        </row>
        <row r="8">
          <cell r="B8" t="str">
            <v>Diffuseurs plafonniers perforés</v>
          </cell>
        </row>
        <row r="9">
          <cell r="B9" t="str">
            <v>Diffuseurs longue portée</v>
          </cell>
        </row>
        <row r="10">
          <cell r="B10" t="str">
            <v>Diffuseurs de sol/contre marche pour salle de spectacle</v>
          </cell>
        </row>
        <row r="11">
          <cell r="B11" t="str">
            <v>Buses de soufflages</v>
          </cell>
        </row>
        <row r="12">
          <cell r="B12" t="str">
            <v>Diffuseurs circulaires</v>
          </cell>
        </row>
        <row r="13">
          <cell r="B13" t="str">
            <v>Diffuseurs architecturaux</v>
          </cell>
        </row>
        <row r="14">
          <cell r="B14" t="str">
            <v>Diffuseurs à jets rotatif</v>
          </cell>
        </row>
        <row r="15">
          <cell r="B15" t="str">
            <v>Diffuseurs linéaires</v>
          </cell>
        </row>
        <row r="16">
          <cell r="B16" t="str">
            <v>Diffuseurs pour locaux de grandes hauteur</v>
          </cell>
        </row>
        <row r="17">
          <cell r="B17" t="str">
            <v>Diffuseurs à déplacements</v>
          </cell>
        </row>
        <row r="20">
          <cell r="B20" t="str">
            <v>Catégories de pompes</v>
          </cell>
        </row>
        <row r="22">
          <cell r="B22" t="str">
            <v>Pompes simples</v>
          </cell>
        </row>
        <row r="23">
          <cell r="B23" t="str">
            <v>Pompes doubles</v>
          </cell>
        </row>
        <row r="27">
          <cell r="B27" t="str">
            <v>Catégories de splits</v>
          </cell>
        </row>
        <row r="28">
          <cell r="B28" t="str">
            <v>Monosplit</v>
          </cell>
        </row>
        <row r="29">
          <cell r="B29" t="str">
            <v>Multisplit</v>
          </cell>
        </row>
        <row r="32">
          <cell r="B32" t="str">
            <v>Catégories d'échangeurs à plaques</v>
          </cell>
        </row>
        <row r="33">
          <cell r="B33" t="str">
            <v>465kW</v>
          </cell>
        </row>
        <row r="34">
          <cell r="B34" t="str">
            <v>950kW</v>
          </cell>
        </row>
        <row r="36">
          <cell r="B36" t="str">
            <v>Catégories de ventilo-convecteurs (VC)</v>
          </cell>
        </row>
        <row r="37">
          <cell r="B37" t="str">
            <v>2 tuyaux</v>
          </cell>
        </row>
        <row r="38">
          <cell r="B38" t="str">
            <v>4 tuyaux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Тр."/>
      <sheetName val="C.с баз"/>
      <sheetName val="зим Б"/>
      <sheetName val="ПИР б"/>
      <sheetName val="сод.л.см."/>
      <sheetName val="П.з"/>
      <sheetName val="Тр.(ж.д.)"/>
      <sheetName val="ч. щ. 2"/>
      <sheetName val="BDR02"/>
    </sheetNames>
    <sheetDataSet>
      <sheetData sheetId="0" refreshError="1"/>
      <sheetData sheetId="1">
        <row r="97">
          <cell r="H97">
            <v>6.27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"/>
      <sheetName val="Тр."/>
      <sheetName val="3"/>
    </sheetNames>
    <sheetDataSet>
      <sheetData sheetId="0">
        <row r="28">
          <cell r="H28">
            <v>238.77899999999997</v>
          </cell>
        </row>
      </sheetData>
      <sheetData sheetId="1" refreshError="1"/>
      <sheetData sheetId="2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(дор.+мост)"/>
      <sheetName val="Тр.(дор.)"/>
      <sheetName val="Тр.  (мост)"/>
      <sheetName val="Сод.л.см"/>
      <sheetName val="Сод.р.в."/>
      <sheetName val="П.з.р.в"/>
      <sheetName val="П.з.л.см"/>
      <sheetName val="C.с"/>
      <sheetName val="В.ст.дор"/>
      <sheetName val="В.ст.мост"/>
      <sheetName val="Вр"/>
      <sheetName val="зим"/>
      <sheetName val="эл"/>
      <sheetName val="ПИРб"/>
      <sheetName val="ПИРт"/>
      <sheetName val="FS_05"/>
    </sheetNames>
    <sheetDataSet>
      <sheetData sheetId="0"/>
      <sheetData sheetId="1">
        <row r="77">
          <cell r="H77">
            <v>497.25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2"/>
      <sheetName val="сод.т.ц."/>
      <sheetName val="Возврат"/>
      <sheetName val="C.с "/>
      <sheetName val="зим "/>
      <sheetName val="эл т"/>
      <sheetName val="Об.см."/>
      <sheetName val="ПИР"/>
      <sheetName val="тр "/>
      <sheetName val="К.С.М."/>
      <sheetName val="Ф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им "/>
      <sheetName val="эл"/>
      <sheetName val="экспертиза"/>
      <sheetName val="содт"/>
      <sheetName val="июнь ТО-45"/>
      <sheetName val="Ф"/>
    </sheetNames>
    <sheetDataSet>
      <sheetData sheetId="0">
        <row r="31">
          <cell r="F31">
            <v>61643.700000000004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има"/>
      <sheetName val="Зима тек."/>
      <sheetName val="ф3"/>
      <sheetName val="ф3д"/>
      <sheetName val="ф3м"/>
      <sheetName val="Вр"/>
      <sheetName val="Вр тек"/>
      <sheetName val="эл"/>
      <sheetName val="эл т"/>
      <sheetName val="Макрос1"/>
      <sheetName val="Макрос2"/>
      <sheetName val="Макрос3"/>
      <sheetName val="для расчёта"/>
      <sheetName val="Февраль"/>
      <sheetName val="зим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естр"/>
      <sheetName val="Лист1"/>
      <sheetName val="Source"/>
      <sheetName val="SmtRes"/>
      <sheetName val="ClcRes"/>
      <sheetName val="зим 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2 (2)"/>
      <sheetName val="Лист2"/>
      <sheetName val="Лист1"/>
      <sheetName val="Source"/>
      <sheetName val="SmtRes"/>
      <sheetName val="ClcRes"/>
      <sheetName val="Зима"/>
    </sheet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Ер"/>
      <sheetName val="К"/>
      <sheetName val="Ф"/>
      <sheetName val="К.С.М."/>
      <sheetName val="Тр(мост)"/>
      <sheetName val="Тр(дор.)"/>
      <sheetName val="C.с "/>
      <sheetName val="зим"/>
      <sheetName val="П.з. л. c"/>
      <sheetName val="П.з.р.в."/>
      <sheetName val="ПИРб"/>
      <sheetName val="ПИРт"/>
      <sheetName val="Сод р.в."/>
      <sheetName val="Сод.л.см"/>
      <sheetName val="Лист1"/>
      <sheetName val="Зима"/>
      <sheetName val="XRate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21">
          <cell r="D21">
            <v>54.33</v>
          </cell>
        </row>
        <row r="25">
          <cell r="D25">
            <v>1.04</v>
          </cell>
        </row>
        <row r="28">
          <cell r="D28">
            <v>6.99</v>
          </cell>
        </row>
        <row r="36">
          <cell r="F36">
            <v>2.89</v>
          </cell>
        </row>
        <row r="39">
          <cell r="I39">
            <v>36.840000000000003</v>
          </cell>
        </row>
        <row r="49">
          <cell r="D49">
            <v>15.42</v>
          </cell>
        </row>
        <row r="52">
          <cell r="D52">
            <v>9.6999999999999993</v>
          </cell>
        </row>
        <row r="69">
          <cell r="D69">
            <v>159.82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.с  (2)"/>
      <sheetName val="ПИРб"/>
      <sheetName val="ПИРтек"/>
      <sheetName val="П.з.р.в."/>
      <sheetName val="К"/>
      <sheetName val="Ф"/>
      <sheetName val="К.С.М."/>
      <sheetName val="Тр."/>
      <sheetName val="Сод.кор."/>
      <sheetName val="Сод р.в."/>
      <sheetName val="Сод.л.см"/>
      <sheetName val="зим (2)"/>
      <sheetName val="вах (2)"/>
      <sheetName val="зим"/>
      <sheetName val="C.с "/>
      <sheetName val="вах"/>
      <sheetName val="ГИБДД"/>
      <sheetName val="эл"/>
      <sheetName val="П.з. л. c"/>
      <sheetName val="П.з. л. c (2)"/>
      <sheetName val="Лист1"/>
      <sheetName val="Зуевка,Прил 4."/>
      <sheetName val="Page1"/>
      <sheetName val="12"/>
      <sheetName val="C.с"/>
      <sheetName val="контрагенты"/>
    </sheetNames>
    <sheetDataSet>
      <sheetData sheetId="0">
        <row r="44">
          <cell r="H44">
            <v>46.16</v>
          </cell>
        </row>
        <row r="80">
          <cell r="I80">
            <v>1135.92</v>
          </cell>
        </row>
      </sheetData>
      <sheetData sheetId="1"/>
      <sheetData sheetId="2">
        <row r="52">
          <cell r="H52">
            <v>58.765040000000006</v>
          </cell>
        </row>
      </sheetData>
      <sheetData sheetId="3">
        <row r="51">
          <cell r="P51">
            <v>8.94</v>
          </cell>
        </row>
      </sheetData>
      <sheetData sheetId="4">
        <row r="35">
          <cell r="H35">
            <v>9.33</v>
          </cell>
        </row>
      </sheetData>
      <sheetData sheetId="5">
        <row r="52">
          <cell r="H52">
            <v>58.765040000000006</v>
          </cell>
        </row>
      </sheetData>
      <sheetData sheetId="6">
        <row r="51">
          <cell r="P51">
            <v>8.94</v>
          </cell>
        </row>
      </sheetData>
      <sheetData sheetId="7">
        <row r="35">
          <cell r="H35">
            <v>9.33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ЭН1_БНС"/>
      <sheetName val="ЭН2_БНС"/>
      <sheetName val="ЭН14_БНС"/>
      <sheetName val="1-1-4"/>
      <sheetName val="8-4_времен.дорога А-В"/>
      <sheetName val="2-4-9_дорога 3"/>
      <sheetName val="1-1-11_Зем.работы площадки"/>
      <sheetName val="1-1-8_островки"/>
      <sheetName val="9 навМОСТОВИК"/>
      <sheetName val="Эл.энергия без 100 кВт"/>
      <sheetName val="М2_БНС"/>
      <sheetName val="ЭН14_Ростверк"/>
      <sheetName val="ЭН14_СВСиУ"/>
      <sheetName val="ЭН15_БНС"/>
      <sheetName val="ЭН13_БНС"/>
      <sheetName val="ЭН13_СВСиУ"/>
      <sheetName val="ЭН3_БНС"/>
      <sheetName val="ЭН16_БНС"/>
      <sheetName val="Ф-2 надбавка ДВ%"/>
      <sheetName val="Ф-2 вах.метод"/>
      <sheetName val="перебазировка"/>
      <sheetName val="Аренда флота"/>
      <sheetName val="КС-3"/>
      <sheetName val="КС-3_ноябрь полная"/>
      <sheetName val="КС-3_ноябрь"/>
      <sheetName val="Реестр актов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 общих данных"/>
      <sheetName val="Лист1"/>
      <sheetName val="Объектн.смета"/>
      <sheetName val="Зима"/>
      <sheetName val="Прочие"/>
      <sheetName val="Врем.здания"/>
      <sheetName val="Сметный расчет стоимости"/>
      <sheetName val="Отпускн.цена"/>
      <sheetName val="Кальк.тр.расх."/>
      <sheetName val="Кальк.стоим."/>
      <sheetName val="Форма прямых затрат"/>
      <sheetName val="Каталог"/>
      <sheetName val="Озеленение"/>
      <sheetName val="Вертик.планировка"/>
      <sheetName val="Автопавильон"/>
      <sheetName val="Пересечения и примыкания"/>
      <sheetName val=" Подготовительные работы"/>
      <sheetName val="Рекультивация"/>
      <sheetName val="Земляное полотно"/>
      <sheetName val="Дорожная одежда"/>
      <sheetName val="Объездные дороги"/>
      <sheetName val="Обстановка дороги"/>
      <sheetName val="Искусственные сооружения"/>
      <sheetName val="C.с "/>
      <sheetName val="зим "/>
    </sheetNames>
    <sheetDataSet>
      <sheetData sheetId="0" refreshError="1"/>
      <sheetData sheetId="1" refreshError="1"/>
      <sheetData sheetId="2" refreshError="1"/>
      <sheetData sheetId="3" refreshError="1">
        <row r="16">
          <cell r="E16">
            <v>6905</v>
          </cell>
        </row>
      </sheetData>
      <sheetData sheetId="4" refreshError="1"/>
      <sheetData sheetId="5" refreshError="1">
        <row r="11">
          <cell r="G11">
            <v>11835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40">
          <cell r="AJ40">
            <v>547</v>
          </cell>
        </row>
      </sheetData>
      <sheetData sheetId="13" refreshError="1">
        <row r="32">
          <cell r="AJ32">
            <v>104</v>
          </cell>
        </row>
      </sheetData>
      <sheetData sheetId="14" refreshError="1">
        <row r="133">
          <cell r="AJ133">
            <v>2055</v>
          </cell>
        </row>
      </sheetData>
      <sheetData sheetId="15" refreshError="1">
        <row r="58">
          <cell r="AJ58">
            <v>24880</v>
          </cell>
        </row>
      </sheetData>
      <sheetData sheetId="16" refreshError="1">
        <row r="15">
          <cell r="AJ15">
            <v>111</v>
          </cell>
        </row>
        <row r="20">
          <cell r="AJ20">
            <v>28</v>
          </cell>
        </row>
        <row r="26">
          <cell r="AJ26">
            <v>1520</v>
          </cell>
        </row>
        <row r="71">
          <cell r="AJ71">
            <v>39</v>
          </cell>
        </row>
      </sheetData>
      <sheetData sheetId="17" refreshError="1">
        <row r="24">
          <cell r="AJ24">
            <v>300</v>
          </cell>
        </row>
        <row r="51">
          <cell r="AJ51">
            <v>4809</v>
          </cell>
        </row>
      </sheetData>
      <sheetData sheetId="18" refreshError="1">
        <row r="49">
          <cell r="AJ49">
            <v>8292</v>
          </cell>
        </row>
        <row r="70">
          <cell r="AJ70">
            <v>5087</v>
          </cell>
        </row>
      </sheetData>
      <sheetData sheetId="19" refreshError="1">
        <row r="30">
          <cell r="AJ30">
            <v>166825</v>
          </cell>
        </row>
        <row r="51">
          <cell r="AJ51">
            <v>6450</v>
          </cell>
        </row>
        <row r="75">
          <cell r="AJ75">
            <v>10305</v>
          </cell>
        </row>
      </sheetData>
      <sheetData sheetId="20" refreshError="1">
        <row r="41">
          <cell r="AJ41">
            <v>4442</v>
          </cell>
        </row>
      </sheetData>
      <sheetData sheetId="21" refreshError="1">
        <row r="24">
          <cell r="AJ24">
            <v>476</v>
          </cell>
        </row>
        <row r="42">
          <cell r="AJ42">
            <v>1797</v>
          </cell>
        </row>
        <row r="66">
          <cell r="AJ66">
            <v>6532</v>
          </cell>
        </row>
        <row r="103">
          <cell r="AJ103">
            <v>1440</v>
          </cell>
        </row>
        <row r="121">
          <cell r="AJ121">
            <v>303</v>
          </cell>
        </row>
      </sheetData>
      <sheetData sheetId="22" refreshError="1">
        <row r="182">
          <cell r="AJ182">
            <v>30439</v>
          </cell>
        </row>
      </sheetData>
      <sheetData sheetId="23" refreshError="1"/>
      <sheetData sheetId="24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8.2011"/>
      <sheetName val="09.2011"/>
      <sheetName val="10.2011"/>
      <sheetName val="11.2011"/>
      <sheetName val="12.2011"/>
      <sheetName val="01.2012"/>
      <sheetName val="02.2012"/>
      <sheetName val="03.2012"/>
      <sheetName val="04.2012"/>
      <sheetName val="05.2012"/>
      <sheetName val="06.2012"/>
      <sheetName val="07.2012"/>
      <sheetName val="08.2012"/>
      <sheetName val="09.2012"/>
      <sheetName val="05.2013"/>
      <sheetName val="06.2013"/>
      <sheetName val="07.2013"/>
      <sheetName val="08.2013"/>
      <sheetName val="09.2013"/>
      <sheetName val="Лист1"/>
      <sheetName val="Лист2"/>
      <sheetName val="Обстановка дороги"/>
      <sheetName val="Автопавильон"/>
      <sheetName val="Дорожная одежда"/>
      <sheetName val="Вертик.планировка"/>
      <sheetName val=" Подготовительные работы"/>
      <sheetName val="Врем.здания"/>
      <sheetName val="Земляное полотно"/>
      <sheetName val="Зима"/>
      <sheetName val="Объездные дороги"/>
      <sheetName val="Озеленение"/>
      <sheetName val="Пересечения и примыкания"/>
      <sheetName val="Рекультивация"/>
      <sheetName val="Искусственные сооружения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418">
          <cell r="C418" t="str">
            <v>Воробьев Борис Олегович</v>
          </cell>
          <cell r="D418" t="str">
            <v xml:space="preserve">мастер горный </v>
          </cell>
          <cell r="E418" t="str">
            <v>ЕВ20101156 937196</v>
          </cell>
          <cell r="F418">
            <v>2587</v>
          </cell>
          <cell r="G418">
            <v>2192.73</v>
          </cell>
          <cell r="H418">
            <v>0</v>
          </cell>
        </row>
        <row r="419">
          <cell r="C419" t="str">
            <v>Довбня Владислав Сергеевич</v>
          </cell>
          <cell r="D419" t="str">
            <v>маркшейдер</v>
          </cell>
          <cell r="E419" t="str">
            <v>ГВ2010105 484666</v>
          </cell>
          <cell r="F419">
            <v>1776.4</v>
          </cell>
          <cell r="G419">
            <v>1505.77</v>
          </cell>
          <cell r="H419">
            <v>0</v>
          </cell>
        </row>
        <row r="420">
          <cell r="C420" t="str">
            <v>Коротун Павел Владимирович</v>
          </cell>
          <cell r="D420" t="str">
            <v xml:space="preserve">мастер горный </v>
          </cell>
          <cell r="E420" t="str">
            <v>ВЛ2010086 112755</v>
          </cell>
          <cell r="F420">
            <v>1567.5</v>
          </cell>
          <cell r="G420">
            <v>1328.74</v>
          </cell>
          <cell r="H420">
            <v>1121.96</v>
          </cell>
        </row>
        <row r="421">
          <cell r="E421" t="str">
            <v>ВЛ2010086 115206</v>
          </cell>
          <cell r="F421">
            <v>1323.5</v>
          </cell>
          <cell r="G421">
            <v>1121.96</v>
          </cell>
          <cell r="H421">
            <v>0</v>
          </cell>
        </row>
        <row r="422">
          <cell r="C422" t="str">
            <v>Криворотов Сергей Александрович</v>
          </cell>
          <cell r="D422" t="str">
            <v>помощник электромеханика</v>
          </cell>
          <cell r="E422">
            <v>67061257322652</v>
          </cell>
          <cell r="F422">
            <v>1933.4</v>
          </cell>
          <cell r="G422">
            <v>1638.47</v>
          </cell>
          <cell r="H422">
            <v>0</v>
          </cell>
        </row>
        <row r="423">
          <cell r="C423" t="str">
            <v>Петров Андрей Юрьевич</v>
          </cell>
          <cell r="D423" t="str">
            <v>маркшейдер</v>
          </cell>
          <cell r="E423" t="str">
            <v>ВЛ2010086 036508</v>
          </cell>
          <cell r="F423">
            <v>997</v>
          </cell>
          <cell r="G423">
            <v>845.26</v>
          </cell>
          <cell r="H423">
            <v>1328.73</v>
          </cell>
        </row>
        <row r="424">
          <cell r="E424" t="str">
            <v>ВБ2010078 340498</v>
          </cell>
          <cell r="F424">
            <v>1567.5</v>
          </cell>
          <cell r="G424">
            <v>1328.73</v>
          </cell>
          <cell r="H424">
            <v>0</v>
          </cell>
        </row>
        <row r="425">
          <cell r="C425" t="str">
            <v>Рыбчак Евгений Васильевич</v>
          </cell>
          <cell r="D425" t="str">
            <v>маркшейдер</v>
          </cell>
          <cell r="E425" t="str">
            <v>ГВ2010105 484666</v>
          </cell>
          <cell r="F425">
            <v>2090</v>
          </cell>
          <cell r="G425">
            <v>1771.49</v>
          </cell>
          <cell r="H425">
            <v>0</v>
          </cell>
        </row>
        <row r="426">
          <cell r="H426">
            <v>0</v>
          </cell>
        </row>
        <row r="427">
          <cell r="C427" t="str">
            <v>Агарков Евгений Григорьевич</v>
          </cell>
          <cell r="D427" t="str">
            <v>электрогазосварщик занятый на резке и ручной сварке о/г.р.</v>
          </cell>
          <cell r="E427" t="str">
            <v>ЯИ2010707 201951</v>
          </cell>
          <cell r="F427">
            <v>1567.5</v>
          </cell>
          <cell r="G427">
            <v>1328.73</v>
          </cell>
          <cell r="H427">
            <v>1638.82</v>
          </cell>
        </row>
        <row r="428">
          <cell r="E428" t="str">
            <v>РЖ2007013875451</v>
          </cell>
          <cell r="F428">
            <v>1933.4</v>
          </cell>
          <cell r="G428">
            <v>1638.82</v>
          </cell>
          <cell r="H428">
            <v>0</v>
          </cell>
        </row>
        <row r="429">
          <cell r="C429" t="str">
            <v>Акимов Сергей Владимирович</v>
          </cell>
          <cell r="D429" t="str">
            <v>электросварщик ручной сварки о/г.р.</v>
          </cell>
          <cell r="E429" t="str">
            <v>ЮЭ2010697 044257</v>
          </cell>
          <cell r="F429">
            <v>997</v>
          </cell>
          <cell r="G429">
            <v>845.26</v>
          </cell>
          <cell r="H429">
            <v>1121.96</v>
          </cell>
        </row>
        <row r="430">
          <cell r="E430" t="str">
            <v>ЕВ2010156 935749</v>
          </cell>
          <cell r="F430">
            <v>1323.5</v>
          </cell>
          <cell r="G430">
            <v>1121.96</v>
          </cell>
          <cell r="H430">
            <v>0</v>
          </cell>
        </row>
        <row r="431">
          <cell r="C431" t="str">
            <v>Алексеев Александр Борисович</v>
          </cell>
          <cell r="D431" t="str">
            <v>проходчик на поверхностных работах</v>
          </cell>
          <cell r="E431">
            <v>304848</v>
          </cell>
          <cell r="F431">
            <v>1000</v>
          </cell>
          <cell r="G431">
            <v>847.46</v>
          </cell>
          <cell r="H431">
            <v>847.46</v>
          </cell>
        </row>
        <row r="432">
          <cell r="E432">
            <v>84440</v>
          </cell>
          <cell r="F432">
            <v>1000</v>
          </cell>
          <cell r="G432">
            <v>847.46</v>
          </cell>
          <cell r="H432">
            <v>0</v>
          </cell>
        </row>
        <row r="433">
          <cell r="C433" t="str">
            <v>Алексеев Юрий Семенович</v>
          </cell>
          <cell r="D433" t="str">
            <v>проходчик на поверхностных работах</v>
          </cell>
          <cell r="E433" t="str">
            <v>АИ2010032 717580</v>
          </cell>
          <cell r="F433">
            <v>1428.1</v>
          </cell>
          <cell r="G433">
            <v>1210.6099999999999</v>
          </cell>
          <cell r="H433">
            <v>0</v>
          </cell>
        </row>
        <row r="434">
          <cell r="C434" t="str">
            <v>Андреев Максим Николаевич</v>
          </cell>
          <cell r="D434" t="str">
            <v>электрослесарь (слесарь) дежурный и по ремонту оборудования</v>
          </cell>
          <cell r="E434" t="str">
            <v>ЮЭ2010697 947958</v>
          </cell>
          <cell r="F434">
            <v>1079.5999999999999</v>
          </cell>
          <cell r="G434">
            <v>915.27</v>
          </cell>
          <cell r="H434">
            <v>1195.5999999999999</v>
          </cell>
        </row>
        <row r="435">
          <cell r="E435" t="str">
            <v>АП2010037 985201</v>
          </cell>
          <cell r="F435">
            <v>1410.4</v>
          </cell>
          <cell r="G435">
            <v>1195.5999999999999</v>
          </cell>
          <cell r="H435">
            <v>0</v>
          </cell>
        </row>
        <row r="436">
          <cell r="C436" t="str">
            <v>Андрющенко Алексей Федорович</v>
          </cell>
          <cell r="D436" t="str">
            <v>электрогазосварщик занятый на резке и ручной сварке о/г.р.</v>
          </cell>
          <cell r="E436" t="str">
            <v>ГВ2010105 564922</v>
          </cell>
          <cell r="F436">
            <v>1567.5</v>
          </cell>
          <cell r="G436">
            <v>1328.73</v>
          </cell>
          <cell r="H436">
            <v>1638.82</v>
          </cell>
        </row>
        <row r="437">
          <cell r="E437" t="str">
            <v>АП2010037 926474</v>
          </cell>
          <cell r="F437">
            <v>1933.4</v>
          </cell>
          <cell r="G437">
            <v>1638.82</v>
          </cell>
          <cell r="H437">
            <v>0</v>
          </cell>
        </row>
        <row r="438">
          <cell r="C438" t="str">
            <v>Анкудинов Василий Юрьевич</v>
          </cell>
          <cell r="D438" t="str">
            <v>электрогазосварщик занятый на резке и ручной сварке о/г.р.</v>
          </cell>
          <cell r="E438" t="str">
            <v>ЧБ2010571 782752</v>
          </cell>
          <cell r="F438">
            <v>2090.3000000000002</v>
          </cell>
          <cell r="G438">
            <v>1771.79</v>
          </cell>
          <cell r="H438">
            <v>0</v>
          </cell>
        </row>
        <row r="439">
          <cell r="C439" t="str">
            <v>Апарович Виталий Геннадьевич</v>
          </cell>
          <cell r="D439" t="str">
            <v xml:space="preserve">горнорабочий </v>
          </cell>
          <cell r="E439" t="str">
            <v>ВЕ2010082 594261</v>
          </cell>
          <cell r="F439">
            <v>997</v>
          </cell>
          <cell r="G439">
            <v>845.26</v>
          </cell>
          <cell r="H439">
            <v>915.27</v>
          </cell>
        </row>
        <row r="440">
          <cell r="E440" t="str">
            <v>ГМ2010113 442850</v>
          </cell>
          <cell r="F440">
            <v>1079.5999999999999</v>
          </cell>
          <cell r="G440">
            <v>915.27</v>
          </cell>
          <cell r="H440">
            <v>0</v>
          </cell>
        </row>
        <row r="441">
          <cell r="C441" t="str">
            <v>Арнаутов Александр Александрович</v>
          </cell>
          <cell r="D441" t="str">
            <v>электрослесарь (слесарь) дежурный и по ремонту оборудования</v>
          </cell>
          <cell r="E441" t="str">
            <v>ВЛ2010086 113339</v>
          </cell>
          <cell r="F441">
            <v>1079.5999999999999</v>
          </cell>
          <cell r="G441">
            <v>915.27</v>
          </cell>
          <cell r="H441">
            <v>0</v>
          </cell>
        </row>
        <row r="442">
          <cell r="C442" t="str">
            <v>Базулин Александр Васильевич</v>
          </cell>
          <cell r="D442" t="str">
            <v>электрослесарь (слесарь) дежурный и по ремонту оборудования</v>
          </cell>
          <cell r="E442" t="str">
            <v>АИ2010032 739055</v>
          </cell>
          <cell r="F442">
            <v>1567.5</v>
          </cell>
          <cell r="G442">
            <v>1328.73</v>
          </cell>
          <cell r="H442">
            <v>1638.82</v>
          </cell>
        </row>
        <row r="443">
          <cell r="E443" t="str">
            <v>АИ2010032 739056</v>
          </cell>
          <cell r="F443">
            <v>1933.4</v>
          </cell>
          <cell r="G443">
            <v>1638.82</v>
          </cell>
          <cell r="H443">
            <v>0</v>
          </cell>
        </row>
        <row r="444">
          <cell r="C444" t="str">
            <v>Баклаженко Артем Сергеевич</v>
          </cell>
          <cell r="D444" t="str">
            <v>электрогазосварщик занятый на резке и ручной сварке о/г.р.</v>
          </cell>
          <cell r="E444" t="str">
            <v>ЩН2010633 911801</v>
          </cell>
          <cell r="F444">
            <v>1567.5</v>
          </cell>
          <cell r="G444">
            <v>1328.73</v>
          </cell>
          <cell r="H444">
            <v>1647.39</v>
          </cell>
        </row>
        <row r="445">
          <cell r="E445" t="str">
            <v>АП2010037 946007</v>
          </cell>
          <cell r="F445">
            <v>1943.5</v>
          </cell>
          <cell r="G445">
            <v>1647.39</v>
          </cell>
          <cell r="H445">
            <v>0</v>
          </cell>
        </row>
        <row r="446">
          <cell r="C446" t="str">
            <v>Белоусов Павел Анатольевич</v>
          </cell>
          <cell r="D446" t="str">
            <v>электрослесарь (слесарь) дежурный и по ремонту оборудования</v>
          </cell>
          <cell r="E446" t="str">
            <v>АК2010033 066391</v>
          </cell>
          <cell r="F446">
            <v>1567.5</v>
          </cell>
          <cell r="G446">
            <v>1328.73</v>
          </cell>
          <cell r="H446">
            <v>1328.73</v>
          </cell>
        </row>
        <row r="447">
          <cell r="E447" t="str">
            <v>ГВ2010105 484918</v>
          </cell>
          <cell r="F447">
            <v>1567.5</v>
          </cell>
          <cell r="G447">
            <v>1328.73</v>
          </cell>
          <cell r="H447">
            <v>0</v>
          </cell>
        </row>
        <row r="448">
          <cell r="C448" t="str">
            <v>Бида Андрей Александрович</v>
          </cell>
          <cell r="D448" t="str">
            <v>электросварщик ручной сварки</v>
          </cell>
          <cell r="E448" t="str">
            <v>ЕВ2010156 949692</v>
          </cell>
          <cell r="F448">
            <v>1079.5999999999999</v>
          </cell>
          <cell r="G448">
            <v>915.27</v>
          </cell>
          <cell r="H448">
            <v>0</v>
          </cell>
        </row>
        <row r="449">
          <cell r="C449" t="str">
            <v>Билалов Сергей Владимирович</v>
          </cell>
          <cell r="D449" t="str">
            <v>электрогазосварщик занятый на резке и ручной сварке о/г.р.</v>
          </cell>
          <cell r="E449" t="str">
            <v>ЮЭ2010697 915756</v>
          </cell>
          <cell r="F449">
            <v>1079.5999999999999</v>
          </cell>
          <cell r="G449">
            <v>915.27</v>
          </cell>
          <cell r="H449">
            <v>1121.96</v>
          </cell>
        </row>
        <row r="450">
          <cell r="E450" t="str">
            <v>ЕВ2010156 933744</v>
          </cell>
          <cell r="F450">
            <v>1323.5</v>
          </cell>
          <cell r="G450">
            <v>1121.96</v>
          </cell>
          <cell r="H450">
            <v>0</v>
          </cell>
        </row>
        <row r="451">
          <cell r="C451" t="str">
            <v>Богосов Аркадий Николаевич</v>
          </cell>
          <cell r="D451" t="str">
            <v>горнорабочий о/г.р</v>
          </cell>
          <cell r="E451" t="str">
            <v>ЧБ2010571 838105</v>
          </cell>
          <cell r="F451">
            <v>1567.5</v>
          </cell>
          <cell r="G451">
            <v>1328.73</v>
          </cell>
          <cell r="H451">
            <v>2303.4899999999998</v>
          </cell>
        </row>
        <row r="452">
          <cell r="E452" t="str">
            <v>ЧБ2010571 838101</v>
          </cell>
          <cell r="F452">
            <v>2717.7</v>
          </cell>
          <cell r="G452">
            <v>2303.4899999999998</v>
          </cell>
          <cell r="H452">
            <v>0</v>
          </cell>
        </row>
        <row r="453">
          <cell r="C453" t="str">
            <v>Бондарев Иван Викторович</v>
          </cell>
          <cell r="D453" t="str">
            <v>горнорабочий о/г.р</v>
          </cell>
          <cell r="E453" t="str">
            <v>ЕВ2010156 929750</v>
          </cell>
          <cell r="F453">
            <v>1149</v>
          </cell>
          <cell r="G453">
            <v>974.08</v>
          </cell>
          <cell r="H453">
            <v>0</v>
          </cell>
        </row>
        <row r="454">
          <cell r="C454" t="str">
            <v>Вальков Виктор Анатольевич</v>
          </cell>
          <cell r="D454" t="str">
            <v>электрослесарь (слесарь) дежурный и по ремонту оборудования</v>
          </cell>
          <cell r="E454" t="str">
            <v>ВЛ2010086 291148</v>
          </cell>
          <cell r="F454">
            <v>1567.5</v>
          </cell>
          <cell r="G454">
            <v>1328.73</v>
          </cell>
          <cell r="H454">
            <v>1638.82</v>
          </cell>
        </row>
        <row r="455">
          <cell r="E455" t="str">
            <v>ЕГ2010157 235219</v>
          </cell>
          <cell r="F455">
            <v>1933.4</v>
          </cell>
          <cell r="G455">
            <v>1638.82</v>
          </cell>
          <cell r="H455">
            <v>0</v>
          </cell>
        </row>
        <row r="456">
          <cell r="C456" t="str">
            <v>Ведерников Олег Владимирович</v>
          </cell>
          <cell r="D456" t="str">
            <v>проходчик на поверхностных работах</v>
          </cell>
          <cell r="E456" t="str">
            <v>АК2010033 139317</v>
          </cell>
          <cell r="F456">
            <v>1497.9</v>
          </cell>
          <cell r="G456">
            <v>1269.75</v>
          </cell>
          <cell r="H456">
            <v>0</v>
          </cell>
        </row>
        <row r="457">
          <cell r="C457" t="str">
            <v>Винников Алексей Николаевич</v>
          </cell>
          <cell r="D457" t="str">
            <v xml:space="preserve">горнорабочий </v>
          </cell>
          <cell r="E457" t="str">
            <v>ЮЭ2010697 915796</v>
          </cell>
          <cell r="F457">
            <v>1079.5999999999999</v>
          </cell>
          <cell r="G457">
            <v>915.27</v>
          </cell>
          <cell r="H457">
            <v>1121.96</v>
          </cell>
        </row>
        <row r="458">
          <cell r="E458" t="str">
            <v>ГЕ2010108 884777</v>
          </cell>
          <cell r="F458">
            <v>1323.5</v>
          </cell>
          <cell r="G458">
            <v>1121.96</v>
          </cell>
          <cell r="H458">
            <v>0</v>
          </cell>
        </row>
        <row r="459">
          <cell r="C459" t="str">
            <v>Винтоняк Алексей Николаевич</v>
          </cell>
          <cell r="D459" t="str">
            <v xml:space="preserve">горнорабочий </v>
          </cell>
          <cell r="E459" t="str">
            <v>ВЛ2010086 113338</v>
          </cell>
          <cell r="F459">
            <v>1079.5999999999999</v>
          </cell>
          <cell r="G459">
            <v>915.27</v>
          </cell>
          <cell r="H459">
            <v>915.27</v>
          </cell>
        </row>
        <row r="460">
          <cell r="E460" t="str">
            <v>ЕВ2010156 910420</v>
          </cell>
          <cell r="F460">
            <v>1079.5999999999999</v>
          </cell>
          <cell r="G460">
            <v>915.27</v>
          </cell>
          <cell r="H460">
            <v>0</v>
          </cell>
        </row>
        <row r="461">
          <cell r="C461" t="str">
            <v>Войнов Геннадий Викторович</v>
          </cell>
          <cell r="D461" t="str">
            <v xml:space="preserve">горнорабочий </v>
          </cell>
          <cell r="E461" t="str">
            <v>ЮЭ2010697 350911</v>
          </cell>
          <cell r="F461">
            <v>1497.9</v>
          </cell>
          <cell r="G461">
            <v>1269.75</v>
          </cell>
          <cell r="H461">
            <v>1774.5</v>
          </cell>
        </row>
        <row r="462">
          <cell r="E462" t="str">
            <v>РЖ2007013736492</v>
          </cell>
          <cell r="F462">
            <v>2093.5</v>
          </cell>
          <cell r="G462">
            <v>1774.5</v>
          </cell>
          <cell r="H462">
            <v>0</v>
          </cell>
        </row>
        <row r="463">
          <cell r="C463" t="str">
            <v>Галибин Сергей Валентинович</v>
          </cell>
          <cell r="D463" t="str">
            <v>электрослесарь (слесарь) дежурный и по ремонту оборудования</v>
          </cell>
          <cell r="E463" t="str">
            <v>ЮЭ2010697 016177</v>
          </cell>
          <cell r="F463">
            <v>1567.5</v>
          </cell>
          <cell r="G463">
            <v>1328.73</v>
          </cell>
          <cell r="H463">
            <v>1328.73</v>
          </cell>
        </row>
        <row r="464">
          <cell r="E464" t="str">
            <v>ГВ20101105 484858</v>
          </cell>
          <cell r="F464">
            <v>1567.5</v>
          </cell>
          <cell r="G464">
            <v>1328.73</v>
          </cell>
          <cell r="H464">
            <v>0</v>
          </cell>
        </row>
        <row r="465">
          <cell r="C465" t="str">
            <v>Гамидов Ардаш Юсифович</v>
          </cell>
          <cell r="D465" t="str">
            <v>проходчик на поверхностных работах</v>
          </cell>
          <cell r="E465" t="str">
            <v>ЧБ2010571 838108</v>
          </cell>
          <cell r="F465">
            <v>1567.5</v>
          </cell>
          <cell r="G465">
            <v>1328.73</v>
          </cell>
          <cell r="H465">
            <v>0</v>
          </cell>
        </row>
        <row r="466">
          <cell r="C466" t="str">
            <v>Гамидов Юсиф Ашраф Оглы</v>
          </cell>
          <cell r="D466" t="str">
            <v xml:space="preserve">горнорабочий </v>
          </cell>
          <cell r="E466" t="str">
            <v>ЧБ2010571 838106</v>
          </cell>
          <cell r="F466">
            <v>1567.5</v>
          </cell>
          <cell r="G466">
            <v>1328.73</v>
          </cell>
          <cell r="H466">
            <v>2303.4899999999998</v>
          </cell>
        </row>
        <row r="467">
          <cell r="E467" t="str">
            <v>ГЕ2010108 884914</v>
          </cell>
          <cell r="F467">
            <v>2717.7</v>
          </cell>
          <cell r="G467">
            <v>2303.4899999999998</v>
          </cell>
          <cell r="H467">
            <v>0</v>
          </cell>
        </row>
        <row r="468">
          <cell r="C468" t="str">
            <v>Ганусевич Олег Валерьевич</v>
          </cell>
          <cell r="D468" t="str">
            <v>электрослесарь (слесарь) дежурный и по ремонту оборудования</v>
          </cell>
          <cell r="E468" t="str">
            <v>ШГ2010599 055457</v>
          </cell>
          <cell r="F468">
            <v>1218.9000000000001</v>
          </cell>
          <cell r="G468">
            <v>1033.31</v>
          </cell>
          <cell r="H468">
            <v>887.8</v>
          </cell>
        </row>
        <row r="469">
          <cell r="E469">
            <v>72670400448801</v>
          </cell>
          <cell r="F469">
            <v>1047.5999999999999</v>
          </cell>
          <cell r="G469">
            <v>887.8</v>
          </cell>
          <cell r="H469">
            <v>0</v>
          </cell>
        </row>
        <row r="470">
          <cell r="C470" t="str">
            <v>Гладченко Виктор Иванович</v>
          </cell>
          <cell r="D470" t="str">
            <v>электрослесарь (слесарь) дежурный и по ремонту оборудования</v>
          </cell>
          <cell r="E470" t="str">
            <v>ГБ2010104 241427</v>
          </cell>
          <cell r="F470">
            <v>1149</v>
          </cell>
          <cell r="G470">
            <v>974.08</v>
          </cell>
          <cell r="H470">
            <v>1195.5999999999999</v>
          </cell>
        </row>
        <row r="471">
          <cell r="E471" t="str">
            <v>ШГ2010599 055905</v>
          </cell>
          <cell r="F471">
            <v>1410.4</v>
          </cell>
          <cell r="G471">
            <v>1195.5999999999999</v>
          </cell>
          <cell r="H471">
            <v>0</v>
          </cell>
        </row>
        <row r="472">
          <cell r="C472" t="str">
            <v>Гольченко Антон Николаевич</v>
          </cell>
          <cell r="D472" t="str">
            <v>электрогазосварщик занятый на резке и ручной сварке о/г.р.</v>
          </cell>
          <cell r="E472" t="str">
            <v>ЧБ2010571 780643</v>
          </cell>
          <cell r="F472">
            <v>1079.5999999999999</v>
          </cell>
          <cell r="G472">
            <v>915.27</v>
          </cell>
          <cell r="H472">
            <v>915.27</v>
          </cell>
        </row>
        <row r="473">
          <cell r="E473" t="str">
            <v>ЕВ2010156 910423</v>
          </cell>
          <cell r="F473">
            <v>1079.5999999999999</v>
          </cell>
          <cell r="G473">
            <v>915.27</v>
          </cell>
          <cell r="H473">
            <v>0</v>
          </cell>
        </row>
        <row r="474">
          <cell r="C474" t="str">
            <v>Гулов Руслан Викторович</v>
          </cell>
          <cell r="D474" t="str">
            <v xml:space="preserve">горнорабочий </v>
          </cell>
          <cell r="E474" t="str">
            <v>ЮЭ2010697 947117</v>
          </cell>
          <cell r="F474">
            <v>1079.5999999999999</v>
          </cell>
          <cell r="G474">
            <v>915.27</v>
          </cell>
          <cell r="H474">
            <v>0</v>
          </cell>
        </row>
        <row r="475">
          <cell r="C475" t="str">
            <v>Гуляев Валерий Александрович</v>
          </cell>
          <cell r="D475" t="str">
            <v>электрослесарь (слесарь) дежурный и по ремонту оборудования</v>
          </cell>
          <cell r="E475" t="str">
            <v>ЕВ2010156 932705</v>
          </cell>
          <cell r="F475">
            <v>978.2</v>
          </cell>
          <cell r="G475">
            <v>829.34</v>
          </cell>
          <cell r="H475">
            <v>0</v>
          </cell>
        </row>
        <row r="476">
          <cell r="C476" t="str">
            <v>Гусак Александр Леонидович</v>
          </cell>
          <cell r="D476" t="str">
            <v>электросварщик ручной сварки</v>
          </cell>
          <cell r="E476" t="str">
            <v>ШБ2010597 746109</v>
          </cell>
          <cell r="F476">
            <v>1567.5</v>
          </cell>
          <cell r="G476">
            <v>1328.73</v>
          </cell>
          <cell r="H476">
            <v>1638.82</v>
          </cell>
        </row>
        <row r="477">
          <cell r="E477" t="str">
            <v>ШБ2010597 746110</v>
          </cell>
          <cell r="F477">
            <v>1933.4</v>
          </cell>
          <cell r="G477">
            <v>1638.82</v>
          </cell>
          <cell r="H477">
            <v>0</v>
          </cell>
        </row>
        <row r="478">
          <cell r="C478" t="str">
            <v>Гущин Владимир Петрович</v>
          </cell>
          <cell r="D478" t="str">
            <v>электрослесарь (слесарь) дежурный и по ремонту оборудования</v>
          </cell>
          <cell r="E478" t="str">
            <v>ЮЭ2010697 915679</v>
          </cell>
          <cell r="F478">
            <v>1079.5999999999999</v>
          </cell>
          <cell r="G478">
            <v>915.27</v>
          </cell>
          <cell r="H478">
            <v>1121.96</v>
          </cell>
        </row>
        <row r="479">
          <cell r="E479" t="str">
            <v>АП2010037 917662</v>
          </cell>
          <cell r="F479">
            <v>1323.5</v>
          </cell>
          <cell r="G479">
            <v>1121.96</v>
          </cell>
          <cell r="H479">
            <v>0</v>
          </cell>
        </row>
        <row r="480">
          <cell r="C480" t="str">
            <v>Денщиков Алексей Владимирович</v>
          </cell>
          <cell r="D480" t="str">
            <v>электрогазосварщик, занятый на резке и ручной сварке</v>
          </cell>
          <cell r="E480" t="str">
            <v>АИ2010032 739054</v>
          </cell>
          <cell r="F480">
            <v>1567.5</v>
          </cell>
          <cell r="G480">
            <v>1328.73</v>
          </cell>
          <cell r="H480">
            <v>1638.82</v>
          </cell>
        </row>
        <row r="481">
          <cell r="E481" t="str">
            <v>ГМ2010113 481488</v>
          </cell>
          <cell r="F481">
            <v>1933.4</v>
          </cell>
          <cell r="G481">
            <v>1638.82</v>
          </cell>
          <cell r="H481">
            <v>0</v>
          </cell>
        </row>
        <row r="482">
          <cell r="C482" t="str">
            <v>Дзюба Сергей Александрович</v>
          </cell>
          <cell r="D482" t="str">
            <v>электросварщик ручной сварки</v>
          </cell>
          <cell r="E482" t="str">
            <v>АП2010037 900163</v>
          </cell>
          <cell r="F482">
            <v>1009.6</v>
          </cell>
          <cell r="G482">
            <v>855.94</v>
          </cell>
          <cell r="H482">
            <v>0</v>
          </cell>
        </row>
        <row r="483">
          <cell r="C483" t="str">
            <v>Доценко Сергей Григорьевич</v>
          </cell>
          <cell r="D483" t="str">
            <v>электрогазосварщик, занятый на резке и ручной сварке</v>
          </cell>
          <cell r="E483" t="str">
            <v>АК2010033 047159</v>
          </cell>
          <cell r="F483">
            <v>1497.9</v>
          </cell>
          <cell r="G483">
            <v>1269.75</v>
          </cell>
          <cell r="H483">
            <v>1491.2</v>
          </cell>
        </row>
        <row r="484">
          <cell r="E484" t="str">
            <v>ГМ2010113 493568</v>
          </cell>
          <cell r="F484">
            <v>1759.2</v>
          </cell>
          <cell r="G484">
            <v>1491.2</v>
          </cell>
          <cell r="H484">
            <v>0</v>
          </cell>
        </row>
        <row r="485">
          <cell r="C485" t="str">
            <v>Драгунцов Александр Владимирович</v>
          </cell>
          <cell r="D485" t="str">
            <v>проходчик на поверхностных работах</v>
          </cell>
          <cell r="E485" t="str">
            <v>ЧБ2010571 481918</v>
          </cell>
          <cell r="F485">
            <v>1149</v>
          </cell>
          <cell r="G485">
            <v>974.08</v>
          </cell>
          <cell r="H485">
            <v>888.15</v>
          </cell>
        </row>
        <row r="486">
          <cell r="E486" t="str">
            <v>ГВ2010105 484856</v>
          </cell>
          <cell r="F486">
            <v>1047.5999999999999</v>
          </cell>
          <cell r="G486">
            <v>888.15</v>
          </cell>
          <cell r="H486">
            <v>0</v>
          </cell>
        </row>
        <row r="487">
          <cell r="C487" t="str">
            <v>Дударов Муса Кантемирович</v>
          </cell>
          <cell r="D487" t="str">
            <v>проходчик на поверхностных работах</v>
          </cell>
          <cell r="E487" t="str">
            <v>ВЛ2010086 288225</v>
          </cell>
          <cell r="F487">
            <v>1567.5</v>
          </cell>
          <cell r="G487">
            <v>1328.73</v>
          </cell>
          <cell r="H487">
            <v>1328.73</v>
          </cell>
        </row>
        <row r="488">
          <cell r="E488" t="str">
            <v>ГВ 2010105 484901</v>
          </cell>
          <cell r="F488">
            <v>1567.5</v>
          </cell>
          <cell r="G488">
            <v>1328.73</v>
          </cell>
          <cell r="H488">
            <v>0</v>
          </cell>
        </row>
        <row r="489">
          <cell r="C489" t="str">
            <v>Дужик Виктор Васильевич</v>
          </cell>
          <cell r="D489" t="str">
            <v>горнорабочий</v>
          </cell>
          <cell r="E489" t="str">
            <v>ЮЭ2010697 915803</v>
          </cell>
          <cell r="F489">
            <v>1079.5999999999999</v>
          </cell>
          <cell r="G489">
            <v>915.27</v>
          </cell>
          <cell r="H489">
            <v>1121.96</v>
          </cell>
        </row>
        <row r="490">
          <cell r="E490" t="str">
            <v>ЕВ2010156 969278</v>
          </cell>
          <cell r="F490">
            <v>1323.5</v>
          </cell>
          <cell r="G490">
            <v>1121.96</v>
          </cell>
          <cell r="H490">
            <v>0</v>
          </cell>
        </row>
        <row r="491">
          <cell r="C491" t="str">
            <v>Дьяков Андрей Николаевич</v>
          </cell>
          <cell r="D491" t="str">
            <v xml:space="preserve">горнорабочий </v>
          </cell>
          <cell r="E491" t="str">
            <v>ЮЭ2010697 915803</v>
          </cell>
          <cell r="F491">
            <v>1428.1</v>
          </cell>
          <cell r="G491">
            <v>1210.6099999999999</v>
          </cell>
          <cell r="H491">
            <v>1771.79</v>
          </cell>
        </row>
        <row r="492">
          <cell r="E492" t="str">
            <v>ГВ2010105 484855</v>
          </cell>
          <cell r="F492">
            <v>2090.3000000000002</v>
          </cell>
          <cell r="G492">
            <v>1771.79</v>
          </cell>
          <cell r="H492">
            <v>0</v>
          </cell>
        </row>
        <row r="493">
          <cell r="C493" t="str">
            <v>Ермилов Роман Юрьевич</v>
          </cell>
          <cell r="D493" t="str">
            <v>электрогазосварщик, занятый на резке и ручной сварке</v>
          </cell>
          <cell r="E493" t="str">
            <v>ЮЭ2010697 915624</v>
          </cell>
          <cell r="F493">
            <v>1149</v>
          </cell>
          <cell r="G493">
            <v>974.08</v>
          </cell>
          <cell r="H493">
            <v>0</v>
          </cell>
        </row>
        <row r="494">
          <cell r="C494" t="str">
            <v>Жмыхов Игорь Иванович</v>
          </cell>
          <cell r="D494" t="str">
            <v>электросварщик ручной сварки</v>
          </cell>
          <cell r="E494" t="str">
            <v>ЮМ2010684 418031</v>
          </cell>
          <cell r="F494">
            <v>997</v>
          </cell>
          <cell r="G494">
            <v>845.26</v>
          </cell>
          <cell r="H494">
            <v>0</v>
          </cell>
        </row>
        <row r="495">
          <cell r="C495" t="str">
            <v>Жуков Анатолий Николаевич</v>
          </cell>
          <cell r="D495" t="str">
            <v>электрогазосварщик, занятый на резке и ручной сварке</v>
          </cell>
          <cell r="E495" t="str">
            <v>ЕВ2010156 949691</v>
          </cell>
          <cell r="F495">
            <v>1079.5999999999999</v>
          </cell>
          <cell r="G495">
            <v>915.27</v>
          </cell>
          <cell r="H495">
            <v>0</v>
          </cell>
        </row>
        <row r="496">
          <cell r="C496" t="str">
            <v>Журба Дмитрий Александрович</v>
          </cell>
          <cell r="D496" t="str">
            <v>проходчик на поверхностных работах</v>
          </cell>
          <cell r="E496" t="str">
            <v>ЮЭ2010697 350581</v>
          </cell>
          <cell r="F496">
            <v>1497.9</v>
          </cell>
          <cell r="G496">
            <v>1269.75</v>
          </cell>
          <cell r="H496">
            <v>0</v>
          </cell>
        </row>
        <row r="497">
          <cell r="C497" t="str">
            <v>Загребин Вадим Викторович</v>
          </cell>
          <cell r="D497" t="str">
            <v>электрослесарь (слесарь) дежурный и по ремонту оборудования</v>
          </cell>
          <cell r="E497" t="str">
            <v>ВЛ2010086 116694</v>
          </cell>
          <cell r="F497">
            <v>1079.5999999999999</v>
          </cell>
          <cell r="G497">
            <v>915.27</v>
          </cell>
          <cell r="H497">
            <v>1121.96</v>
          </cell>
        </row>
        <row r="498">
          <cell r="E498" t="str">
            <v>ВЛ2010086 116697</v>
          </cell>
          <cell r="F498">
            <v>1323.5</v>
          </cell>
          <cell r="G498">
            <v>1121.96</v>
          </cell>
          <cell r="H498">
            <v>0</v>
          </cell>
        </row>
        <row r="499">
          <cell r="C499" t="str">
            <v>Зайцев Вадим Валентинович</v>
          </cell>
          <cell r="D499" t="str">
            <v>электрогазосварщик, занятый на резке и ручной сварке</v>
          </cell>
          <cell r="E499" t="str">
            <v>АИ2010032 739053</v>
          </cell>
          <cell r="F499">
            <v>1567.5</v>
          </cell>
          <cell r="G499">
            <v>1328.73</v>
          </cell>
          <cell r="H499">
            <v>1638.82</v>
          </cell>
        </row>
        <row r="500">
          <cell r="E500" t="str">
            <v>ГМ2010113 481489</v>
          </cell>
          <cell r="F500">
            <v>1933.4</v>
          </cell>
          <cell r="G500">
            <v>1638.82</v>
          </cell>
          <cell r="H500">
            <v>0</v>
          </cell>
        </row>
        <row r="501">
          <cell r="C501" t="str">
            <v>Зюзик Сергей Анатольевич</v>
          </cell>
          <cell r="D501" t="str">
            <v>горнорабочий о/г.р</v>
          </cell>
          <cell r="E501" t="str">
            <v>ШГ2010599 055441</v>
          </cell>
          <cell r="F501">
            <v>1218.9000000000001</v>
          </cell>
          <cell r="G501">
            <v>1033.31</v>
          </cell>
          <cell r="H501">
            <v>1417.04</v>
          </cell>
        </row>
        <row r="502">
          <cell r="E502" t="str">
            <v>ЕВ2010156 930318</v>
          </cell>
          <cell r="F502">
            <v>1671.7</v>
          </cell>
          <cell r="G502">
            <v>1417.04</v>
          </cell>
          <cell r="H502">
            <v>0</v>
          </cell>
        </row>
        <row r="503">
          <cell r="C503" t="str">
            <v>Иванов Илья Витальевич</v>
          </cell>
          <cell r="D503" t="str">
            <v>горнорабочий о/г.р</v>
          </cell>
          <cell r="E503" t="str">
            <v>ВЛ2010086 1163340</v>
          </cell>
          <cell r="F503">
            <v>1079.5999999999999</v>
          </cell>
          <cell r="G503">
            <v>915.27</v>
          </cell>
          <cell r="H503">
            <v>0</v>
          </cell>
        </row>
        <row r="504">
          <cell r="C504" t="str">
            <v>Ищенко Геннадий Павлович</v>
          </cell>
          <cell r="D504" t="str">
            <v>электрослесарь (слесарь) дежурный и по ремонту оборудования</v>
          </cell>
          <cell r="E504" t="str">
            <v>ВА2010077 860858</v>
          </cell>
          <cell r="F504">
            <v>1079.5999999999999</v>
          </cell>
          <cell r="G504">
            <v>915.27</v>
          </cell>
          <cell r="H504">
            <v>0</v>
          </cell>
        </row>
        <row r="505">
          <cell r="C505" t="str">
            <v>Ищенко Иван Владимирович</v>
          </cell>
          <cell r="D505" t="str">
            <v>горнорабочий о/г.р</v>
          </cell>
          <cell r="E505" t="str">
            <v>ШГ2010599 061768</v>
          </cell>
          <cell r="F505">
            <v>1060.7</v>
          </cell>
          <cell r="G505">
            <v>899.25</v>
          </cell>
          <cell r="H505">
            <v>0</v>
          </cell>
        </row>
        <row r="506">
          <cell r="C506" t="str">
            <v>Кальсин Андрей Аркадьевич</v>
          </cell>
          <cell r="D506" t="str">
            <v>электрослесарь (слесарь) дежурный и по ремонту оборудования о/г.р</v>
          </cell>
          <cell r="E506" t="str">
            <v>ЧБ2010571 780715</v>
          </cell>
          <cell r="F506">
            <v>1149</v>
          </cell>
          <cell r="G506">
            <v>974.08</v>
          </cell>
          <cell r="H506">
            <v>0</v>
          </cell>
        </row>
        <row r="507">
          <cell r="C507" t="str">
            <v>Каппес Николай Владимирович</v>
          </cell>
          <cell r="D507" t="str">
            <v xml:space="preserve">горнорабочий </v>
          </cell>
          <cell r="E507" t="str">
            <v>АЕ2010030 537020</v>
          </cell>
          <cell r="F507">
            <v>2090.3000000000002</v>
          </cell>
          <cell r="G507">
            <v>1771.79</v>
          </cell>
          <cell r="H507">
            <v>1151.53</v>
          </cell>
        </row>
        <row r="508">
          <cell r="E508" t="str">
            <v>ЕВ2010156 966284</v>
          </cell>
          <cell r="F508">
            <v>1358.4</v>
          </cell>
          <cell r="G508">
            <v>1151.53</v>
          </cell>
          <cell r="H508">
            <v>0</v>
          </cell>
        </row>
        <row r="509">
          <cell r="C509" t="str">
            <v>Карунин Павел Николаевич</v>
          </cell>
          <cell r="D509" t="str">
            <v>горнорабочий на маркшейдерских работах</v>
          </cell>
          <cell r="E509" t="str">
            <v>ЮЭ2010697  953260</v>
          </cell>
          <cell r="F509">
            <v>1077.3</v>
          </cell>
          <cell r="G509">
            <v>912.97</v>
          </cell>
          <cell r="H509">
            <v>0</v>
          </cell>
        </row>
        <row r="510">
          <cell r="C510" t="str">
            <v>Катенев Юрий Николаевич</v>
          </cell>
          <cell r="D510" t="str">
            <v xml:space="preserve">горнорабочий </v>
          </cell>
          <cell r="E510" t="str">
            <v>ЮЭ2010697 044864</v>
          </cell>
          <cell r="F510">
            <v>1079.5999999999999</v>
          </cell>
          <cell r="G510">
            <v>915.27</v>
          </cell>
          <cell r="H510">
            <v>0</v>
          </cell>
        </row>
        <row r="511">
          <cell r="C511" t="str">
            <v>Кижватов Сергей Александрович</v>
          </cell>
          <cell r="D511" t="str">
            <v xml:space="preserve">горнорабочий </v>
          </cell>
          <cell r="E511" t="str">
            <v>ЧБ2010571 481939</v>
          </cell>
          <cell r="F511">
            <v>1079.5999999999999</v>
          </cell>
          <cell r="G511">
            <v>915.27</v>
          </cell>
          <cell r="H511">
            <v>0</v>
          </cell>
        </row>
        <row r="512">
          <cell r="C512" t="str">
            <v>Клочко Евгений Владимирович</v>
          </cell>
          <cell r="D512" t="str">
            <v>электрогазосварщик, занятый на резке и ручной сварке</v>
          </cell>
          <cell r="E512" t="str">
            <v>ШБ2010597 906572</v>
          </cell>
          <cell r="F512">
            <v>1497.9</v>
          </cell>
          <cell r="G512">
            <v>1269.75</v>
          </cell>
          <cell r="H512">
            <v>1269.75</v>
          </cell>
        </row>
        <row r="513">
          <cell r="E513" t="str">
            <v>ЕВ2010156 982871</v>
          </cell>
          <cell r="F513">
            <v>1497.9</v>
          </cell>
          <cell r="G513">
            <v>1269.75</v>
          </cell>
          <cell r="H513">
            <v>0</v>
          </cell>
        </row>
        <row r="514">
          <cell r="C514" t="str">
            <v>Клочков Роман Леонидович</v>
          </cell>
          <cell r="D514" t="str">
            <v xml:space="preserve">горнорабочий </v>
          </cell>
          <cell r="E514" t="str">
            <v>ШГ2010599 055440</v>
          </cell>
          <cell r="F514">
            <v>1218.9000000000001</v>
          </cell>
          <cell r="G514">
            <v>1033.31</v>
          </cell>
          <cell r="H514">
            <v>1417.04</v>
          </cell>
        </row>
        <row r="515">
          <cell r="E515" t="str">
            <v>ЕВ2010156 930317</v>
          </cell>
          <cell r="F515">
            <v>1671.7</v>
          </cell>
          <cell r="G515">
            <v>1417.04</v>
          </cell>
          <cell r="H515">
            <v>0</v>
          </cell>
        </row>
        <row r="516">
          <cell r="C516" t="str">
            <v>Князев Руслан Анатольевич</v>
          </cell>
          <cell r="D516" t="str">
            <v>проходчик на поверхностных работах</v>
          </cell>
          <cell r="E516" t="str">
            <v>ЭТ2010663 937311</v>
          </cell>
          <cell r="F516">
            <v>2160.4</v>
          </cell>
          <cell r="G516">
            <v>1831.2</v>
          </cell>
          <cell r="H516">
            <v>2266.96</v>
          </cell>
        </row>
        <row r="517">
          <cell r="E517" t="str">
            <v>ЕВ2010156 983791</v>
          </cell>
          <cell r="F517">
            <v>2674.6</v>
          </cell>
          <cell r="G517">
            <v>2266.96</v>
          </cell>
          <cell r="H517">
            <v>0</v>
          </cell>
        </row>
        <row r="518">
          <cell r="C518" t="str">
            <v>Колесников Юрий Викторович</v>
          </cell>
          <cell r="D518" t="str">
            <v>электрогазосварщик, занятый на резке и ручной сварке</v>
          </cell>
          <cell r="E518" t="str">
            <v>ВЛ2010086 114622</v>
          </cell>
          <cell r="F518">
            <v>1079.5999999999999</v>
          </cell>
          <cell r="G518">
            <v>915.27</v>
          </cell>
          <cell r="H518">
            <v>974.08</v>
          </cell>
        </row>
        <row r="519">
          <cell r="E519" t="str">
            <v>ЕВ2010156 929751</v>
          </cell>
          <cell r="F519">
            <v>1149</v>
          </cell>
          <cell r="G519">
            <v>974.08</v>
          </cell>
          <cell r="H519">
            <v>0</v>
          </cell>
        </row>
        <row r="520">
          <cell r="C520" t="str">
            <v>Колесниченко Виталий Геннадьевич</v>
          </cell>
          <cell r="D520" t="str">
            <v>проходчик на поверхностных работах</v>
          </cell>
          <cell r="E520" t="str">
            <v>ЮЭ2010697 044005</v>
          </cell>
          <cell r="F520">
            <v>1218.9000000000001</v>
          </cell>
          <cell r="G520">
            <v>1033.31</v>
          </cell>
          <cell r="H520">
            <v>0</v>
          </cell>
        </row>
        <row r="521">
          <cell r="C521" t="str">
            <v>Колесниченко Геннадий Георгиевич</v>
          </cell>
          <cell r="D521" t="str">
            <v>электрослесарь (слесарь) дежурный и по ремонту оборудования о/г.р</v>
          </cell>
          <cell r="E521" t="str">
            <v>ЮЭ2010697 043723</v>
          </cell>
          <cell r="F521">
            <v>1149</v>
          </cell>
          <cell r="G521">
            <v>974.08</v>
          </cell>
          <cell r="H521">
            <v>915.27</v>
          </cell>
        </row>
        <row r="522">
          <cell r="E522" t="str">
            <v>ГВ2010105 485459</v>
          </cell>
          <cell r="F522">
            <v>1079.5999999999999</v>
          </cell>
          <cell r="G522">
            <v>915.27</v>
          </cell>
          <cell r="H522">
            <v>0</v>
          </cell>
        </row>
        <row r="523">
          <cell r="C523" t="str">
            <v>Колпаков Вадим Михайлович</v>
          </cell>
          <cell r="D523" t="str">
            <v>электрогазосварщик, занятый на резке и ручной сварке</v>
          </cell>
          <cell r="E523" t="str">
            <v>ШБ2010597 880190</v>
          </cell>
          <cell r="F523">
            <v>1664.6</v>
          </cell>
          <cell r="G523">
            <v>1411.02</v>
          </cell>
          <cell r="H523">
            <v>1638.82</v>
          </cell>
        </row>
        <row r="524">
          <cell r="E524" t="str">
            <v>АП2010037 923577</v>
          </cell>
          <cell r="F524">
            <v>1933.4</v>
          </cell>
          <cell r="G524">
            <v>1638.82</v>
          </cell>
          <cell r="H524">
            <v>0</v>
          </cell>
        </row>
        <row r="525">
          <cell r="C525" t="str">
            <v>Кострубин Геннадий Иванович</v>
          </cell>
          <cell r="D525" t="str">
            <v xml:space="preserve">горнорабочий </v>
          </cell>
          <cell r="E525" t="str">
            <v>ГЕ2010108 884613</v>
          </cell>
          <cell r="F525">
            <v>1079.5999999999999</v>
          </cell>
          <cell r="G525">
            <v>915.27</v>
          </cell>
          <cell r="H525">
            <v>0</v>
          </cell>
        </row>
        <row r="526">
          <cell r="C526" t="str">
            <v>Котляров Александр Николаевич</v>
          </cell>
          <cell r="D526" t="str">
            <v>проходчик на поверхностных работах</v>
          </cell>
          <cell r="E526" t="str">
            <v>ЮЭ2010697 947645</v>
          </cell>
          <cell r="F526">
            <v>1079.5999999999999</v>
          </cell>
          <cell r="G526">
            <v>915.27</v>
          </cell>
          <cell r="H526">
            <v>1121.96</v>
          </cell>
        </row>
        <row r="527">
          <cell r="E527">
            <v>2007013716621</v>
          </cell>
          <cell r="F527">
            <v>1323.5</v>
          </cell>
          <cell r="G527">
            <v>1121.96</v>
          </cell>
          <cell r="H527">
            <v>0</v>
          </cell>
        </row>
        <row r="528">
          <cell r="C528" t="str">
            <v>Котляров Геннадий Иванович</v>
          </cell>
          <cell r="D528" t="str">
            <v>проходчик на поверхностных работах</v>
          </cell>
          <cell r="E528" t="str">
            <v>ЮЭ2010697 978754</v>
          </cell>
          <cell r="F528">
            <v>1257</v>
          </cell>
          <cell r="G528">
            <v>1065.5999999999999</v>
          </cell>
          <cell r="H528">
            <v>2081.79</v>
          </cell>
        </row>
        <row r="529">
          <cell r="E529" t="str">
            <v>ЕВ2010156 981365</v>
          </cell>
          <cell r="F529">
            <v>2456.1</v>
          </cell>
          <cell r="G529">
            <v>2081.79</v>
          </cell>
          <cell r="H529">
            <v>0</v>
          </cell>
        </row>
        <row r="530">
          <cell r="C530" t="str">
            <v>Корныш Олег Григорьевич</v>
          </cell>
          <cell r="D530" t="str">
            <v>электрогазосварщик, занятый на резке и ручной сварке</v>
          </cell>
          <cell r="E530" t="str">
            <v>ЧБ2010571 847643</v>
          </cell>
          <cell r="F530">
            <v>1776.4</v>
          </cell>
          <cell r="G530">
            <v>1505.77</v>
          </cell>
          <cell r="H530">
            <v>0</v>
          </cell>
        </row>
        <row r="531">
          <cell r="C531" t="str">
            <v>Кравцов Владимир Сергеевич</v>
          </cell>
          <cell r="D531" t="str">
            <v>электрогазосварщик, занятый на резке и ручной сварке</v>
          </cell>
          <cell r="E531" t="str">
            <v>ВЛ2010086 113342</v>
          </cell>
          <cell r="F531">
            <v>1079.5999999999999</v>
          </cell>
          <cell r="G531">
            <v>915.27</v>
          </cell>
          <cell r="H531">
            <v>915.27</v>
          </cell>
        </row>
        <row r="532">
          <cell r="E532" t="str">
            <v>ЕВ2010156 910422</v>
          </cell>
          <cell r="F532">
            <v>1079.5999999999999</v>
          </cell>
          <cell r="G532">
            <v>915.27</v>
          </cell>
          <cell r="H532">
            <v>0</v>
          </cell>
        </row>
        <row r="533">
          <cell r="C533" t="str">
            <v>Кравченко Вадим Анатольевич</v>
          </cell>
          <cell r="D533" t="str">
            <v xml:space="preserve">горнорабочий </v>
          </cell>
          <cell r="E533" t="str">
            <v>ГЕ2010108 884614</v>
          </cell>
          <cell r="F533">
            <v>1079.5999999999999</v>
          </cell>
          <cell r="G533">
            <v>915.27</v>
          </cell>
          <cell r="H533">
            <v>0</v>
          </cell>
        </row>
        <row r="534">
          <cell r="C534" t="str">
            <v>Кривощеков Александр Павлович</v>
          </cell>
          <cell r="D534" t="str">
            <v>проходчик на поверхностных работах</v>
          </cell>
          <cell r="E534" t="str">
            <v>ЧБ2010571 780995</v>
          </cell>
          <cell r="F534">
            <v>1149</v>
          </cell>
          <cell r="G534">
            <v>974.08</v>
          </cell>
          <cell r="H534">
            <v>1121.96</v>
          </cell>
        </row>
        <row r="535">
          <cell r="E535" t="str">
            <v>ЕВ2010156 968125</v>
          </cell>
          <cell r="F535">
            <v>1323.5</v>
          </cell>
          <cell r="G535">
            <v>1121.96</v>
          </cell>
          <cell r="H535">
            <v>0</v>
          </cell>
        </row>
        <row r="536">
          <cell r="C536" t="str">
            <v>Кривченков Александр Федорович</v>
          </cell>
          <cell r="D536" t="str">
            <v xml:space="preserve">горнорабочий </v>
          </cell>
          <cell r="E536" t="str">
            <v>ШГ2010599 052815</v>
          </cell>
          <cell r="F536">
            <v>1149</v>
          </cell>
          <cell r="G536">
            <v>974.08</v>
          </cell>
          <cell r="H536">
            <v>0</v>
          </cell>
        </row>
        <row r="537">
          <cell r="C537" t="str">
            <v>Кропачев Антон Александрович</v>
          </cell>
          <cell r="D537" t="str">
            <v>проходчик на поверхностных работах</v>
          </cell>
          <cell r="E537" t="str">
            <v>ЧБ2010571 780836</v>
          </cell>
          <cell r="F537">
            <v>997</v>
          </cell>
          <cell r="G537">
            <v>845.26</v>
          </cell>
          <cell r="H537">
            <v>1121.96</v>
          </cell>
        </row>
        <row r="538">
          <cell r="E538" t="str">
            <v>ЕВ2010156 971786</v>
          </cell>
          <cell r="F538">
            <v>1323.5</v>
          </cell>
          <cell r="G538">
            <v>1121.96</v>
          </cell>
          <cell r="H538">
            <v>0</v>
          </cell>
        </row>
        <row r="539">
          <cell r="C539" t="str">
            <v>Кузин Иван Владимирович</v>
          </cell>
          <cell r="D539" t="str">
            <v>горнорабочий</v>
          </cell>
          <cell r="E539" t="str">
            <v>ШГ2010599 061095</v>
          </cell>
          <cell r="F539">
            <v>1149</v>
          </cell>
          <cell r="G539">
            <v>974.08</v>
          </cell>
          <cell r="H539">
            <v>0</v>
          </cell>
        </row>
        <row r="540">
          <cell r="C540" t="str">
            <v>Кузнецов Вячеслав Анатольевич</v>
          </cell>
          <cell r="D540" t="str">
            <v>проходчик на поверхностных работах</v>
          </cell>
          <cell r="E540" t="str">
            <v>ЮЭ2010697 043972</v>
          </cell>
          <cell r="F540">
            <v>1149</v>
          </cell>
          <cell r="G540">
            <v>974.08</v>
          </cell>
          <cell r="H540">
            <v>0</v>
          </cell>
        </row>
        <row r="541">
          <cell r="C541" t="str">
            <v>Кузнецовский Алексей Борисович</v>
          </cell>
          <cell r="D541" t="str">
            <v>электрогазосварщик, занятый на резке и ручной сварке</v>
          </cell>
          <cell r="E541" t="str">
            <v>ЧБ2010571 562555</v>
          </cell>
          <cell r="F541">
            <v>1428.1</v>
          </cell>
          <cell r="G541">
            <v>1210.6099999999999</v>
          </cell>
          <cell r="H541">
            <v>1210.6099999999999</v>
          </cell>
        </row>
        <row r="542">
          <cell r="E542" t="str">
            <v>ЕВ2010156 930609</v>
          </cell>
          <cell r="F542">
            <v>1428.1</v>
          </cell>
          <cell r="G542">
            <v>1210.6099999999999</v>
          </cell>
          <cell r="H542">
            <v>0</v>
          </cell>
        </row>
        <row r="543">
          <cell r="C543" t="str">
            <v>Кулагин Дмитрий Геннадьевич</v>
          </cell>
          <cell r="D543" t="str">
            <v>проходчик на поверхностных работах</v>
          </cell>
          <cell r="E543" t="str">
            <v>ЕЛ2010163 001788</v>
          </cell>
          <cell r="F543">
            <v>1251.7</v>
          </cell>
          <cell r="G543">
            <v>1061.1099999999999</v>
          </cell>
          <cell r="H543">
            <v>1491.2</v>
          </cell>
        </row>
        <row r="544">
          <cell r="E544">
            <v>2007013712364</v>
          </cell>
          <cell r="F544">
            <v>1759.2</v>
          </cell>
          <cell r="G544">
            <v>1491.2</v>
          </cell>
          <cell r="H544">
            <v>0</v>
          </cell>
        </row>
        <row r="545">
          <cell r="C545" t="str">
            <v>Лабутин Евгений Петрович</v>
          </cell>
          <cell r="D545" t="str">
            <v>проходчик на поверхностных работах</v>
          </cell>
          <cell r="E545" t="str">
            <v>ЮЭ2010697 044639</v>
          </cell>
          <cell r="F545">
            <v>1079.5999999999999</v>
          </cell>
          <cell r="G545">
            <v>915.27</v>
          </cell>
          <cell r="H545">
            <v>0</v>
          </cell>
        </row>
        <row r="546">
          <cell r="C546" t="str">
            <v>Лаврик Виктор Александрович</v>
          </cell>
          <cell r="D546" t="str">
            <v>проходчик на поверхностных работах</v>
          </cell>
          <cell r="E546" t="str">
            <v>ЮЛ2010683 554343</v>
          </cell>
          <cell r="F546">
            <v>1497.9</v>
          </cell>
          <cell r="G546">
            <v>1269.75</v>
          </cell>
          <cell r="H546">
            <v>1269.75</v>
          </cell>
        </row>
        <row r="547">
          <cell r="E547" t="str">
            <v>ЮЛ2010683 554344</v>
          </cell>
          <cell r="F547">
            <v>1497.9</v>
          </cell>
          <cell r="G547">
            <v>1269.75</v>
          </cell>
          <cell r="H547">
            <v>0</v>
          </cell>
        </row>
        <row r="548">
          <cell r="C548" t="str">
            <v>Лаптев Иван Климентьевич</v>
          </cell>
          <cell r="D548" t="str">
            <v>проходчик на поверхностных работах</v>
          </cell>
          <cell r="E548" t="str">
            <v>АИ2010032 666146</v>
          </cell>
          <cell r="F548">
            <v>2299.4</v>
          </cell>
          <cell r="G548">
            <v>1948.99</v>
          </cell>
          <cell r="H548">
            <v>1328.73</v>
          </cell>
        </row>
        <row r="549">
          <cell r="E549" t="str">
            <v>ГВ2010105 484812</v>
          </cell>
          <cell r="F549">
            <v>1567.5</v>
          </cell>
          <cell r="G549">
            <v>1328.73</v>
          </cell>
          <cell r="H549">
            <v>0</v>
          </cell>
        </row>
        <row r="550">
          <cell r="C550" t="str">
            <v>Лелин Денис Игоревич</v>
          </cell>
          <cell r="D550" t="str">
            <v xml:space="preserve">горнорабочий </v>
          </cell>
          <cell r="E550" t="str">
            <v>ЕВ2010156 729241</v>
          </cell>
          <cell r="F550">
            <v>1149</v>
          </cell>
          <cell r="G550">
            <v>974.08</v>
          </cell>
          <cell r="H550">
            <v>0</v>
          </cell>
        </row>
        <row r="551">
          <cell r="C551" t="str">
            <v>Лихота Анатолий Анатольевич</v>
          </cell>
          <cell r="D551" t="str">
            <v>электрогазосварщик, занятый на резке и ручной сварке</v>
          </cell>
          <cell r="E551" t="str">
            <v>ЮЭ2010697 707341</v>
          </cell>
          <cell r="F551">
            <v>1428.1</v>
          </cell>
          <cell r="G551">
            <v>1210.6099999999999</v>
          </cell>
          <cell r="H551">
            <v>1417.3</v>
          </cell>
        </row>
        <row r="552">
          <cell r="E552" t="str">
            <v>ЕВ2010156  903721</v>
          </cell>
          <cell r="F552">
            <v>1672</v>
          </cell>
          <cell r="G552">
            <v>1417.3</v>
          </cell>
          <cell r="H552">
            <v>0</v>
          </cell>
        </row>
        <row r="553">
          <cell r="C553" t="str">
            <v>Мамаев Игорь Николаевич</v>
          </cell>
          <cell r="D553" t="str">
            <v>электрослесарь (слесарь) дежурный и по ремонту оборудования</v>
          </cell>
          <cell r="E553" t="str">
            <v>ЧБ2010571 196465</v>
          </cell>
          <cell r="F553">
            <v>1079.5999999999999</v>
          </cell>
          <cell r="G553">
            <v>915.27</v>
          </cell>
          <cell r="H553">
            <v>974.08</v>
          </cell>
        </row>
        <row r="554">
          <cell r="E554" t="str">
            <v>ВЕ2010082 117643</v>
          </cell>
          <cell r="F554">
            <v>1149</v>
          </cell>
          <cell r="G554">
            <v>974.08</v>
          </cell>
          <cell r="H554">
            <v>0</v>
          </cell>
        </row>
        <row r="555">
          <cell r="C555" t="str">
            <v>Мардасов Александр Федорович</v>
          </cell>
          <cell r="D555" t="str">
            <v>проходчик на поверхностных работах</v>
          </cell>
          <cell r="E555" t="str">
            <v>ЯИ2010707  977521</v>
          </cell>
          <cell r="F555">
            <v>1358.4</v>
          </cell>
          <cell r="G555">
            <v>1151.53</v>
          </cell>
          <cell r="H555">
            <v>1233.82</v>
          </cell>
        </row>
        <row r="556">
          <cell r="E556" t="str">
            <v>ЕВ2010156 935930</v>
          </cell>
          <cell r="F556">
            <v>1455.5</v>
          </cell>
          <cell r="G556">
            <v>1233.82</v>
          </cell>
          <cell r="H556">
            <v>0</v>
          </cell>
        </row>
        <row r="557">
          <cell r="C557" t="str">
            <v>Михайлов Олег Викторович</v>
          </cell>
          <cell r="D557" t="str">
            <v>проходчик на поверхностных работах</v>
          </cell>
          <cell r="E557" t="str">
            <v>ЮЭ2010697 909697</v>
          </cell>
          <cell r="F557">
            <v>1149</v>
          </cell>
          <cell r="G557">
            <v>974.08</v>
          </cell>
          <cell r="H557">
            <v>0</v>
          </cell>
        </row>
        <row r="558">
          <cell r="C558" t="str">
            <v>Мягков Максим Александрович</v>
          </cell>
          <cell r="D558" t="str">
            <v>проходчик на поверхностных работах</v>
          </cell>
          <cell r="E558" t="str">
            <v>ЯИ2010707 201881</v>
          </cell>
          <cell r="F558">
            <v>1567.5</v>
          </cell>
          <cell r="G558">
            <v>1328.73</v>
          </cell>
          <cell r="H558">
            <v>1638.82</v>
          </cell>
        </row>
        <row r="559">
          <cell r="E559" t="str">
            <v>АП2010037 936096</v>
          </cell>
          <cell r="F559">
            <v>1933.4</v>
          </cell>
          <cell r="G559">
            <v>1638.82</v>
          </cell>
          <cell r="H559">
            <v>0</v>
          </cell>
        </row>
        <row r="560">
          <cell r="C560" t="str">
            <v>Назаров Владимир Александрович</v>
          </cell>
          <cell r="D560" t="str">
            <v>проходчик на поверхностных работах</v>
          </cell>
          <cell r="E560" t="str">
            <v>ЮЭ2010697 896074</v>
          </cell>
          <cell r="F560">
            <v>1894.7</v>
          </cell>
          <cell r="G560">
            <v>1677.38</v>
          </cell>
          <cell r="H560">
            <v>2414.16</v>
          </cell>
        </row>
        <row r="561">
          <cell r="E561" t="str">
            <v>ГВ2010105 485465</v>
          </cell>
          <cell r="F561">
            <v>2848.3</v>
          </cell>
          <cell r="G561">
            <v>2414.16</v>
          </cell>
          <cell r="H561">
            <v>0</v>
          </cell>
        </row>
        <row r="562">
          <cell r="C562" t="str">
            <v>Наумов Николай Сергеевич</v>
          </cell>
          <cell r="D562" t="str">
            <v xml:space="preserve">горнорабочий </v>
          </cell>
          <cell r="E562" t="str">
            <v>АИ2010032 751791</v>
          </cell>
          <cell r="F562">
            <v>1060.7</v>
          </cell>
          <cell r="G562">
            <v>899.25</v>
          </cell>
          <cell r="H562">
            <v>0</v>
          </cell>
        </row>
        <row r="563">
          <cell r="C563" t="str">
            <v>Наумович Андрей Александрович</v>
          </cell>
          <cell r="D563" t="str">
            <v xml:space="preserve">горнорабочий </v>
          </cell>
          <cell r="E563" t="str">
            <v xml:space="preserve"> ЮЭ2010697 947116</v>
          </cell>
          <cell r="F563">
            <v>1079.5999999999999</v>
          </cell>
          <cell r="G563">
            <v>915.27</v>
          </cell>
          <cell r="H563">
            <v>0</v>
          </cell>
        </row>
        <row r="564">
          <cell r="C564" t="str">
            <v>Невмержицкий Сергей Александрович</v>
          </cell>
          <cell r="D564" t="str">
            <v>электрослесарь (слесарь) дежурный и по ремонту оборудования</v>
          </cell>
          <cell r="E564" t="str">
            <v>ВЛ2010086 291149</v>
          </cell>
          <cell r="F564">
            <v>1567.5</v>
          </cell>
          <cell r="G564">
            <v>1328.73</v>
          </cell>
          <cell r="H564">
            <v>1638.82</v>
          </cell>
        </row>
        <row r="565">
          <cell r="E565" t="str">
            <v xml:space="preserve"> ЕГ2010157 235218</v>
          </cell>
          <cell r="F565">
            <v>1933.4</v>
          </cell>
          <cell r="G565">
            <v>1638.82</v>
          </cell>
          <cell r="H565">
            <v>0</v>
          </cell>
        </row>
        <row r="566">
          <cell r="C566" t="str">
            <v>Орищенко Алексей Викторович</v>
          </cell>
          <cell r="D566" t="str">
            <v>проходчик на поверхностных работах</v>
          </cell>
          <cell r="E566" t="str">
            <v>ЧБ2010571 780572</v>
          </cell>
          <cell r="F566">
            <v>1079.5999999999999</v>
          </cell>
          <cell r="G566">
            <v>915.27</v>
          </cell>
          <cell r="H566">
            <v>0</v>
          </cell>
        </row>
        <row r="567">
          <cell r="C567" t="str">
            <v>Осауленко Александр Олегович</v>
          </cell>
          <cell r="D567" t="str">
            <v>горнорабочий</v>
          </cell>
          <cell r="E567" t="str">
            <v>ЮЭ2010697 947965</v>
          </cell>
          <cell r="F567">
            <v>1079.5999999999999</v>
          </cell>
          <cell r="G567">
            <v>915.27</v>
          </cell>
          <cell r="H567">
            <v>0</v>
          </cell>
        </row>
        <row r="568">
          <cell r="C568" t="str">
            <v>Павлов Петр Алексеевич</v>
          </cell>
          <cell r="D568" t="str">
            <v>электрогазосварщик, занятый на резке и ручной сварке</v>
          </cell>
          <cell r="E568" t="str">
            <v>ШБ2010597 788521</v>
          </cell>
          <cell r="F568">
            <v>1497.9</v>
          </cell>
          <cell r="G568">
            <v>1269.75</v>
          </cell>
          <cell r="H568">
            <v>1269.75</v>
          </cell>
        </row>
        <row r="569">
          <cell r="E569" t="str">
            <v>ГМ2010113 132537</v>
          </cell>
          <cell r="F569">
            <v>1497.9</v>
          </cell>
          <cell r="G569">
            <v>1269.75</v>
          </cell>
          <cell r="H569">
            <v>0</v>
          </cell>
        </row>
        <row r="570">
          <cell r="C570" t="str">
            <v>Пак Роман Валерьевич</v>
          </cell>
          <cell r="D570" t="str">
            <v>электрогазосварщик, занятый на резке и ручной сварке</v>
          </cell>
          <cell r="E570" t="str">
            <v>АК2010033 139316</v>
          </cell>
          <cell r="F570">
            <v>1497.9</v>
          </cell>
          <cell r="G570">
            <v>1269.75</v>
          </cell>
          <cell r="H570">
            <v>2192.73</v>
          </cell>
        </row>
        <row r="571">
          <cell r="E571" t="str">
            <v>АК2010033 139319</v>
          </cell>
          <cell r="F571">
            <v>2587</v>
          </cell>
          <cell r="G571">
            <v>2192.73</v>
          </cell>
          <cell r="H571">
            <v>0</v>
          </cell>
        </row>
        <row r="572">
          <cell r="C572" t="str">
            <v>Пигарев Алексей Владимирович</v>
          </cell>
          <cell r="D572" t="str">
            <v>проходчик на поверхностных работах</v>
          </cell>
          <cell r="E572" t="str">
            <v>ЮЭ2010697 044863</v>
          </cell>
          <cell r="F572">
            <v>1080</v>
          </cell>
          <cell r="G572">
            <v>915.25</v>
          </cell>
          <cell r="H572">
            <v>1195.5999999999999</v>
          </cell>
        </row>
        <row r="573">
          <cell r="E573" t="str">
            <v>ЕВ2010156 990797</v>
          </cell>
          <cell r="F573">
            <v>1410.4</v>
          </cell>
          <cell r="G573">
            <v>1195.5999999999999</v>
          </cell>
          <cell r="H573">
            <v>0</v>
          </cell>
        </row>
        <row r="574">
          <cell r="C574" t="str">
            <v>Плаченов Владимир Владимирович</v>
          </cell>
          <cell r="D574" t="str">
            <v>проходчик на поверхностных работах</v>
          </cell>
          <cell r="E574" t="str">
            <v>ЮЭ2010697 896071</v>
          </cell>
          <cell r="F574">
            <v>1894.7</v>
          </cell>
          <cell r="G574">
            <v>1677.38</v>
          </cell>
          <cell r="H574">
            <v>1638.82</v>
          </cell>
        </row>
        <row r="575">
          <cell r="E575" t="str">
            <v>ГВ2010105 485466</v>
          </cell>
          <cell r="F575">
            <v>1933.4</v>
          </cell>
          <cell r="G575">
            <v>1638.82</v>
          </cell>
          <cell r="H575">
            <v>0</v>
          </cell>
        </row>
        <row r="576">
          <cell r="C576" t="str">
            <v>Плешаков Юрий Викторович</v>
          </cell>
          <cell r="D576" t="str">
            <v>электрослесарь (слесарь) дежурный и по ремонту оборудования</v>
          </cell>
          <cell r="E576" t="str">
            <v>ЕВ2010156 970147</v>
          </cell>
          <cell r="F576">
            <v>1323.5</v>
          </cell>
          <cell r="G576">
            <v>1121.96</v>
          </cell>
          <cell r="H576">
            <v>0</v>
          </cell>
        </row>
        <row r="577">
          <cell r="C577" t="str">
            <v>Плотников Андрей Витальевич</v>
          </cell>
          <cell r="D577" t="str">
            <v>электрослесарь (слесарь) дежурный и по ремонту оборудования</v>
          </cell>
          <cell r="E577" t="str">
            <v>ЧБ2010571 780714</v>
          </cell>
          <cell r="F577">
            <v>1149</v>
          </cell>
          <cell r="G577">
            <v>974.08</v>
          </cell>
          <cell r="H577">
            <v>0</v>
          </cell>
        </row>
        <row r="578">
          <cell r="C578" t="str">
            <v>Подустов Андрей Александрович</v>
          </cell>
          <cell r="D578" t="str">
            <v xml:space="preserve">горнорабочий </v>
          </cell>
          <cell r="E578" t="str">
            <v>ЮЭ2010697 896072</v>
          </cell>
          <cell r="F578">
            <v>1894.7</v>
          </cell>
          <cell r="G578">
            <v>1677.38</v>
          </cell>
          <cell r="H578">
            <v>2414.16</v>
          </cell>
        </row>
        <row r="579">
          <cell r="E579" t="str">
            <v>ГВ2010105 485464</v>
          </cell>
          <cell r="F579">
            <v>2848.3</v>
          </cell>
          <cell r="G579">
            <v>2414.16</v>
          </cell>
          <cell r="H579">
            <v>0</v>
          </cell>
        </row>
        <row r="580">
          <cell r="C580" t="str">
            <v>Поклонцев Сергей Владимирович</v>
          </cell>
          <cell r="D580" t="str">
            <v>проходчик на поверхностных работах</v>
          </cell>
          <cell r="E580" t="str">
            <v>ЮЭ2010697 706921</v>
          </cell>
          <cell r="F580">
            <v>1428.1</v>
          </cell>
          <cell r="G580">
            <v>1210.6099999999999</v>
          </cell>
          <cell r="H580">
            <v>0</v>
          </cell>
        </row>
        <row r="581">
          <cell r="C581" t="str">
            <v>Поляков Игорь Юрьевич</v>
          </cell>
          <cell r="D581" t="str">
            <v>электрослесарь (слесарь) дежурный и по ремонту оборудования</v>
          </cell>
          <cell r="E581" t="str">
            <v>БГ2010104 241527</v>
          </cell>
          <cell r="F581">
            <v>1149</v>
          </cell>
          <cell r="G581">
            <v>974.08</v>
          </cell>
          <cell r="H581">
            <v>1195.5999999999999</v>
          </cell>
        </row>
        <row r="582">
          <cell r="E582" t="str">
            <v xml:space="preserve">ШГ2010599 061841 </v>
          </cell>
          <cell r="F582">
            <v>1410.4</v>
          </cell>
          <cell r="G582">
            <v>1195.5999999999999</v>
          </cell>
          <cell r="H582">
            <v>0</v>
          </cell>
        </row>
        <row r="583">
          <cell r="C583" t="str">
            <v>Потелещенко Олег Вадимович</v>
          </cell>
          <cell r="D583" t="str">
            <v>электрогазосварщик, занятый на резке и ручной сварке</v>
          </cell>
          <cell r="E583" t="str">
            <v>ЮЭ2010697               915753</v>
          </cell>
          <cell r="F583">
            <v>1079.5999999999999</v>
          </cell>
          <cell r="G583">
            <v>915.27</v>
          </cell>
          <cell r="H583">
            <v>1121.96</v>
          </cell>
        </row>
        <row r="584">
          <cell r="E584" t="str">
            <v>ГЕ2010108 885126</v>
          </cell>
          <cell r="F584">
            <v>1323.5</v>
          </cell>
          <cell r="G584">
            <v>1121.96</v>
          </cell>
          <cell r="H584">
            <v>0</v>
          </cell>
        </row>
        <row r="585">
          <cell r="C585" t="str">
            <v>Починков Михаил Юрьевич</v>
          </cell>
          <cell r="D585" t="str">
            <v>электрослесарь (слесарь) дежурный и по ремонту оборудования</v>
          </cell>
          <cell r="E585" t="str">
            <v>ШГ2010599 055458</v>
          </cell>
          <cell r="F585">
            <v>1218.9000000000001</v>
          </cell>
          <cell r="G585">
            <v>1033.31</v>
          </cell>
          <cell r="H585">
            <v>887.8</v>
          </cell>
        </row>
        <row r="586">
          <cell r="E586">
            <v>72670400448801</v>
          </cell>
          <cell r="F586">
            <v>1047.5999999999999</v>
          </cell>
          <cell r="G586">
            <v>887.8</v>
          </cell>
          <cell r="H586">
            <v>0</v>
          </cell>
        </row>
        <row r="587">
          <cell r="C587" t="str">
            <v>Прокошев Евгений Евгеньевич</v>
          </cell>
          <cell r="D587" t="str">
            <v>электрогазосварщик занятый на резке и ручной сварке о/г.р.</v>
          </cell>
          <cell r="E587" t="str">
            <v>ГВ2010105 484819</v>
          </cell>
          <cell r="F587">
            <v>1428.1</v>
          </cell>
          <cell r="G587">
            <v>1210.6099999999999</v>
          </cell>
          <cell r="H587">
            <v>0</v>
          </cell>
        </row>
        <row r="588">
          <cell r="C588" t="str">
            <v>Пудов Алексей Владимирович</v>
          </cell>
          <cell r="D588" t="str">
            <v xml:space="preserve">горнорабочий </v>
          </cell>
          <cell r="E588" t="str">
            <v>ЮЭ2010697 915755</v>
          </cell>
          <cell r="F588">
            <v>1079.5999999999999</v>
          </cell>
          <cell r="G588">
            <v>915.27</v>
          </cell>
          <cell r="H588">
            <v>1036.03</v>
          </cell>
        </row>
        <row r="589">
          <cell r="E589" t="str">
            <v>АП2010037 917305</v>
          </cell>
          <cell r="F589">
            <v>1222.0999999999999</v>
          </cell>
          <cell r="G589">
            <v>1036.03</v>
          </cell>
          <cell r="H589">
            <v>0</v>
          </cell>
        </row>
        <row r="590">
          <cell r="C590" t="str">
            <v>Рожков Александр Викторович</v>
          </cell>
          <cell r="D590" t="str">
            <v xml:space="preserve">горнорабочий </v>
          </cell>
          <cell r="E590" t="str">
            <v>ГВ2010105 484857</v>
          </cell>
          <cell r="F590">
            <v>1047.5999999999999</v>
          </cell>
          <cell r="G590">
            <v>888.15</v>
          </cell>
          <cell r="H590">
            <v>0</v>
          </cell>
        </row>
        <row r="591">
          <cell r="C591" t="str">
            <v>Романов Владимир Вячеславович</v>
          </cell>
          <cell r="D591" t="str">
            <v>электрогазосварщик занятый на резке и ручной сварке о/г.р.</v>
          </cell>
          <cell r="E591" t="str">
            <v>АК2010033 042398</v>
          </cell>
          <cell r="F591">
            <v>1567.5</v>
          </cell>
          <cell r="G591">
            <v>1328.73</v>
          </cell>
          <cell r="H591">
            <v>1210.6099999999999</v>
          </cell>
        </row>
        <row r="592">
          <cell r="E592" t="str">
            <v>АК2010033 042399</v>
          </cell>
          <cell r="F592">
            <v>1428.1</v>
          </cell>
          <cell r="G592">
            <v>1210.6099999999999</v>
          </cell>
          <cell r="H592">
            <v>0</v>
          </cell>
        </row>
        <row r="593">
          <cell r="C593" t="str">
            <v>Самсонов Геннадий Владимирович</v>
          </cell>
          <cell r="D593" t="str">
            <v>электрогазосварщик занятый на резке и ручной сварке о/г.р.</v>
          </cell>
          <cell r="E593" t="str">
            <v>ГВ2010105 591882</v>
          </cell>
          <cell r="F593">
            <v>1567.5</v>
          </cell>
          <cell r="G593">
            <v>1328.74</v>
          </cell>
          <cell r="H593">
            <v>0</v>
          </cell>
        </row>
        <row r="594">
          <cell r="C594" t="str">
            <v>Сапожников Валентин Александрович</v>
          </cell>
          <cell r="D594" t="str">
            <v>проходчик на поверхностных работах</v>
          </cell>
          <cell r="E594" t="str">
            <v>ЧБ2010571 780578</v>
          </cell>
          <cell r="F594">
            <v>1079.5999999999999</v>
          </cell>
          <cell r="G594">
            <v>915.27</v>
          </cell>
          <cell r="H594">
            <v>0</v>
          </cell>
        </row>
        <row r="595">
          <cell r="C595" t="str">
            <v>Серобаба Игорь Владимирович</v>
          </cell>
          <cell r="D595" t="str">
            <v>проходчик на поверхностных работах</v>
          </cell>
          <cell r="E595" t="str">
            <v>ВЛ2010086 494644</v>
          </cell>
          <cell r="F595">
            <v>1497.9</v>
          </cell>
          <cell r="G595">
            <v>1269.75</v>
          </cell>
          <cell r="H595">
            <v>1638.82</v>
          </cell>
        </row>
        <row r="596">
          <cell r="E596" t="str">
            <v>ВБ2010078 961611</v>
          </cell>
          <cell r="F596">
            <v>1933.4</v>
          </cell>
          <cell r="G596">
            <v>1638.82</v>
          </cell>
          <cell r="H596">
            <v>0</v>
          </cell>
        </row>
        <row r="597">
          <cell r="C597" t="str">
            <v>Сиднеков Олег Анатольевич</v>
          </cell>
          <cell r="D597" t="str">
            <v>электрогазосварщик, занятый на резке и ручной сварке</v>
          </cell>
          <cell r="E597" t="str">
            <v>ЩН2010633 911284</v>
          </cell>
          <cell r="F597">
            <v>1567.5</v>
          </cell>
          <cell r="G597">
            <v>1328.73</v>
          </cell>
          <cell r="H597">
            <v>1638.82</v>
          </cell>
        </row>
        <row r="598">
          <cell r="E598" t="str">
            <v>АП2010037  912322</v>
          </cell>
          <cell r="F598">
            <v>1933.4</v>
          </cell>
          <cell r="G598">
            <v>1638.82</v>
          </cell>
          <cell r="H598">
            <v>0</v>
          </cell>
        </row>
        <row r="599">
          <cell r="C599" t="str">
            <v>Сидоренко Николай Анатольевич</v>
          </cell>
          <cell r="D599" t="str">
            <v xml:space="preserve">горнорабочий </v>
          </cell>
          <cell r="E599" t="str">
            <v>ЮЭ2010697 947179</v>
          </cell>
          <cell r="F599">
            <v>1776.4</v>
          </cell>
          <cell r="G599">
            <v>1505.77</v>
          </cell>
          <cell r="H599">
            <v>899.25</v>
          </cell>
        </row>
        <row r="600">
          <cell r="E600">
            <v>2007013737483</v>
          </cell>
          <cell r="F600">
            <v>1060.7</v>
          </cell>
          <cell r="G600">
            <v>899.25</v>
          </cell>
          <cell r="H600">
            <v>0</v>
          </cell>
        </row>
        <row r="601">
          <cell r="C601" t="str">
            <v>Синцов Дмитрий Александрович</v>
          </cell>
          <cell r="D601" t="str">
            <v>электрогазосварщик, занятый на резке и ручной сварке</v>
          </cell>
          <cell r="E601" t="str">
            <v>ВЛ2010086 113349</v>
          </cell>
          <cell r="F601">
            <v>1079.5999999999999</v>
          </cell>
          <cell r="G601">
            <v>915.27</v>
          </cell>
          <cell r="H601">
            <v>0</v>
          </cell>
        </row>
        <row r="602">
          <cell r="C602" t="str">
            <v>Сирота Александр Лазаревич</v>
          </cell>
          <cell r="D602" t="str">
            <v>машинист компрессорных установок</v>
          </cell>
          <cell r="E602" t="str">
            <v>ВЛ2010086 289990</v>
          </cell>
          <cell r="F602">
            <v>1567.5</v>
          </cell>
          <cell r="G602">
            <v>1328.73</v>
          </cell>
          <cell r="H602">
            <v>1638.82</v>
          </cell>
        </row>
        <row r="603">
          <cell r="E603" t="str">
            <v>ЕВ2010156  987044</v>
          </cell>
          <cell r="F603">
            <v>1933.4</v>
          </cell>
          <cell r="G603">
            <v>1638.82</v>
          </cell>
          <cell r="H603">
            <v>0</v>
          </cell>
        </row>
        <row r="604">
          <cell r="C604" t="str">
            <v>Скориков Денис Сергеевич</v>
          </cell>
          <cell r="D604" t="str">
            <v xml:space="preserve">горнорабочий </v>
          </cell>
          <cell r="E604" t="str">
            <v>ЮЭ2010697 499556</v>
          </cell>
          <cell r="F604">
            <v>1497.9</v>
          </cell>
          <cell r="G604">
            <v>1269.75</v>
          </cell>
          <cell r="H604">
            <v>1371.79</v>
          </cell>
        </row>
        <row r="605">
          <cell r="E605" t="str">
            <v>АП2010037 926476</v>
          </cell>
          <cell r="F605">
            <v>1618.3</v>
          </cell>
          <cell r="G605">
            <v>1371.79</v>
          </cell>
          <cell r="H605">
            <v>0</v>
          </cell>
        </row>
        <row r="606">
          <cell r="C606" t="str">
            <v>Скориков Евгений Сергеевич</v>
          </cell>
          <cell r="D606" t="str">
            <v xml:space="preserve">горнорабочий </v>
          </cell>
          <cell r="E606" t="str">
            <v>ЮЭ2010697 499554</v>
          </cell>
          <cell r="F606">
            <v>1428.1</v>
          </cell>
          <cell r="G606">
            <v>1210.6099999999999</v>
          </cell>
          <cell r="H606">
            <v>0</v>
          </cell>
        </row>
        <row r="607">
          <cell r="C607" t="str">
            <v>Скориков Сергей Викторович</v>
          </cell>
          <cell r="D607" t="str">
            <v>проходчик на поверхностных работах</v>
          </cell>
          <cell r="E607" t="str">
            <v>ЮЭ2010697 499557</v>
          </cell>
          <cell r="F607">
            <v>1497.9</v>
          </cell>
          <cell r="G607">
            <v>1269.75</v>
          </cell>
          <cell r="H607">
            <v>1371.79</v>
          </cell>
        </row>
        <row r="608">
          <cell r="E608" t="str">
            <v>АП2010037 926475</v>
          </cell>
          <cell r="F608">
            <v>1618.3</v>
          </cell>
          <cell r="G608">
            <v>1371.79</v>
          </cell>
          <cell r="H608">
            <v>0</v>
          </cell>
        </row>
        <row r="609">
          <cell r="C609" t="str">
            <v>Скотинников Андрей Николаевич</v>
          </cell>
          <cell r="D609" t="str">
            <v>проходчик на поверхностных работах</v>
          </cell>
          <cell r="E609" t="str">
            <v>ЧБ2010571 780644</v>
          </cell>
          <cell r="F609">
            <v>1079.5999999999999</v>
          </cell>
          <cell r="G609">
            <v>915.27</v>
          </cell>
          <cell r="H609">
            <v>0</v>
          </cell>
        </row>
        <row r="610">
          <cell r="C610" t="str">
            <v>Соболев Андрей Васильевич</v>
          </cell>
          <cell r="D610" t="str">
            <v xml:space="preserve">горнорабочий </v>
          </cell>
          <cell r="E610" t="str">
            <v>ЮЭ2010697 947180</v>
          </cell>
          <cell r="F610">
            <v>1776.4</v>
          </cell>
          <cell r="G610">
            <v>1505.77</v>
          </cell>
          <cell r="H610">
            <v>915.27</v>
          </cell>
        </row>
        <row r="611">
          <cell r="E611">
            <v>2007012507288</v>
          </cell>
          <cell r="F611">
            <v>1079.5999999999999</v>
          </cell>
          <cell r="G611">
            <v>915.27</v>
          </cell>
          <cell r="H611">
            <v>0</v>
          </cell>
        </row>
        <row r="612">
          <cell r="C612" t="str">
            <v>Соломенцев Валерий Викторович</v>
          </cell>
          <cell r="D612" t="str">
            <v>электрогазосварщик, занятый на резке и ручной сварке</v>
          </cell>
          <cell r="E612" t="str">
            <v>ГЕ2010108 884612</v>
          </cell>
          <cell r="F612">
            <v>1149</v>
          </cell>
          <cell r="G612">
            <v>974.08</v>
          </cell>
          <cell r="H612">
            <v>0</v>
          </cell>
        </row>
        <row r="613">
          <cell r="C613" t="str">
            <v>Сорокин Григорий Александрович</v>
          </cell>
          <cell r="D613" t="str">
            <v>электрослесарь (слесарь) дежурный и по ремонту оборудования</v>
          </cell>
          <cell r="E613" t="str">
            <v>ВЛ2010086 116695</v>
          </cell>
          <cell r="F613">
            <v>1079.5999999999999</v>
          </cell>
          <cell r="G613">
            <v>915.27</v>
          </cell>
          <cell r="H613">
            <v>1121.96</v>
          </cell>
        </row>
        <row r="614">
          <cell r="E614" t="str">
            <v>ВЛ2010086 116698</v>
          </cell>
          <cell r="F614">
            <v>1323.5</v>
          </cell>
          <cell r="G614">
            <v>1121.96</v>
          </cell>
          <cell r="H614">
            <v>0</v>
          </cell>
        </row>
        <row r="615">
          <cell r="C615" t="str">
            <v>Степанов Николай Григорьевич</v>
          </cell>
          <cell r="D615" t="str">
            <v>проходчик на поверхностных работах</v>
          </cell>
          <cell r="E615" t="str">
            <v>ШГ2010599 055459</v>
          </cell>
          <cell r="F615">
            <v>1218.9000000000001</v>
          </cell>
          <cell r="G615">
            <v>1033.31</v>
          </cell>
          <cell r="H615">
            <v>1033.31</v>
          </cell>
        </row>
        <row r="616">
          <cell r="E616" t="str">
            <v>ГЕ2010108 884622</v>
          </cell>
          <cell r="F616">
            <v>1218.9000000000001</v>
          </cell>
          <cell r="G616">
            <v>1033.31</v>
          </cell>
          <cell r="H616">
            <v>0</v>
          </cell>
        </row>
        <row r="617">
          <cell r="C617" t="str">
            <v>Стетюха Сергей Анатольевич</v>
          </cell>
          <cell r="D617" t="str">
            <v>электрогазосварщик, занятый на резке и ручной сварке</v>
          </cell>
          <cell r="E617" t="str">
            <v>ЮЭ2010697 044120</v>
          </cell>
          <cell r="F617">
            <v>1149</v>
          </cell>
          <cell r="G617">
            <v>974.08</v>
          </cell>
          <cell r="H617">
            <v>0</v>
          </cell>
        </row>
        <row r="618">
          <cell r="C618" t="str">
            <v>Стешенко Александр Владимирович</v>
          </cell>
          <cell r="D618" t="str">
            <v>электрогазосварщик, занятый на резке и ручной сварке</v>
          </cell>
          <cell r="E618" t="str">
            <v>ЧБ2010571 847641</v>
          </cell>
          <cell r="F618">
            <v>1776.4</v>
          </cell>
          <cell r="G618">
            <v>1505.77</v>
          </cell>
          <cell r="H618">
            <v>0</v>
          </cell>
        </row>
        <row r="619">
          <cell r="C619" t="str">
            <v>Сухов Алексей Федорович</v>
          </cell>
          <cell r="D619" t="str">
            <v xml:space="preserve">горнорабочий </v>
          </cell>
          <cell r="E619" t="str">
            <v>АЕ2010030 412831</v>
          </cell>
          <cell r="F619">
            <v>940</v>
          </cell>
          <cell r="G619">
            <v>796.96</v>
          </cell>
          <cell r="H619">
            <v>0</v>
          </cell>
        </row>
        <row r="620">
          <cell r="C620" t="str">
            <v>Сухляк Юрий Алексеевич</v>
          </cell>
          <cell r="D620" t="str">
            <v>электрогазосварщик, занятый на резке и ручной сварке</v>
          </cell>
          <cell r="E620" t="str">
            <v>ЧБ2010571 985085</v>
          </cell>
          <cell r="F620">
            <v>1567.5</v>
          </cell>
          <cell r="G620">
            <v>1328.73</v>
          </cell>
          <cell r="H620">
            <v>1491.2</v>
          </cell>
        </row>
        <row r="621">
          <cell r="E621" t="str">
            <v>АП2010037  937779</v>
          </cell>
          <cell r="F621">
            <v>1759.2</v>
          </cell>
          <cell r="G621">
            <v>1491.2</v>
          </cell>
          <cell r="H621">
            <v>0</v>
          </cell>
        </row>
        <row r="622">
          <cell r="C622" t="str">
            <v>Сытник Александр Анатольевич</v>
          </cell>
          <cell r="D622" t="str">
            <v>проходчик на поверхностных работах</v>
          </cell>
          <cell r="E622" t="str">
            <v>ЮЭ2010697 909675</v>
          </cell>
          <cell r="F622">
            <v>1047.5999999999999</v>
          </cell>
          <cell r="G622">
            <v>888.15</v>
          </cell>
          <cell r="H622">
            <v>0</v>
          </cell>
        </row>
        <row r="623">
          <cell r="C623" t="str">
            <v>Тарабановский Андрей Викторович</v>
          </cell>
          <cell r="D623" t="str">
            <v>электрослесарь (слесарь) дежурный и по ремонту оборудования</v>
          </cell>
          <cell r="E623" t="str">
            <v>ЧБ2010571 780664</v>
          </cell>
          <cell r="F623">
            <v>1060.7</v>
          </cell>
          <cell r="G623">
            <v>899.25</v>
          </cell>
          <cell r="H623">
            <v>915.27</v>
          </cell>
        </row>
        <row r="624">
          <cell r="E624" t="str">
            <v>ЧБ2010571  780665</v>
          </cell>
          <cell r="F624">
            <v>1079.5999999999999</v>
          </cell>
          <cell r="G624">
            <v>915.27</v>
          </cell>
          <cell r="H624">
            <v>0</v>
          </cell>
        </row>
        <row r="625">
          <cell r="C625" t="str">
            <v>Татевосян Арсен Георгиевич</v>
          </cell>
          <cell r="D625" t="str">
            <v>электрогазосварщик, занятый на резке и ручной сварке</v>
          </cell>
          <cell r="E625" t="str">
            <v>АК2010033 046135</v>
          </cell>
          <cell r="F625">
            <v>1315.4</v>
          </cell>
          <cell r="G625">
            <v>1115.0899999999999</v>
          </cell>
          <cell r="H625">
            <v>0</v>
          </cell>
        </row>
        <row r="626">
          <cell r="C626" t="str">
            <v>Тербулатов Эльдар Исмаилович</v>
          </cell>
          <cell r="D626" t="str">
            <v>машинист передвижной дизельной электростанции</v>
          </cell>
          <cell r="E626" t="str">
            <v>ВЛ2010086 289992</v>
          </cell>
          <cell r="F626">
            <v>1567.5</v>
          </cell>
          <cell r="G626">
            <v>1328.73</v>
          </cell>
          <cell r="H626">
            <v>0</v>
          </cell>
        </row>
        <row r="627">
          <cell r="C627" t="str">
            <v>Тилов Мухажир Камалович</v>
          </cell>
          <cell r="D627" t="str">
            <v>электросварщик ручной сварки</v>
          </cell>
          <cell r="E627" t="str">
            <v>ВЛ2010086 289993</v>
          </cell>
          <cell r="F627">
            <v>1567.5</v>
          </cell>
          <cell r="G627">
            <v>1328.73</v>
          </cell>
          <cell r="H627">
            <v>0</v>
          </cell>
        </row>
        <row r="628">
          <cell r="C628" t="str">
            <v>Тимохин Александр Викторович</v>
          </cell>
          <cell r="D628" t="str">
            <v>электрогазосварщик, занятый на резке и ручной сварке</v>
          </cell>
          <cell r="E628" t="str">
            <v>ЮЭ2010697 945205</v>
          </cell>
          <cell r="F628">
            <v>1567.5</v>
          </cell>
          <cell r="G628">
            <v>1328.74</v>
          </cell>
          <cell r="H628">
            <v>0</v>
          </cell>
        </row>
        <row r="629">
          <cell r="C629" t="str">
            <v>Тишков Дмитрий Владимирович</v>
          </cell>
          <cell r="D629" t="str">
            <v>электрогазосварщик, занятый на резке и ручной сварке</v>
          </cell>
          <cell r="E629" t="str">
            <v>ЧБ2010571 847642</v>
          </cell>
          <cell r="F629">
            <v>1776.4</v>
          </cell>
          <cell r="G629">
            <v>1505.77</v>
          </cell>
          <cell r="H629">
            <v>1343.31</v>
          </cell>
        </row>
        <row r="630">
          <cell r="E630" t="str">
            <v>АП2010037 902886</v>
          </cell>
          <cell r="F630">
            <v>1584.7</v>
          </cell>
          <cell r="G630">
            <v>1343.31</v>
          </cell>
          <cell r="H630">
            <v>0</v>
          </cell>
        </row>
        <row r="631">
          <cell r="C631" t="str">
            <v>Толиченко Максим Станиславович</v>
          </cell>
          <cell r="D631" t="str">
            <v>электрогазосварщик, занятый на резке и ручной сварке</v>
          </cell>
          <cell r="E631" t="str">
            <v>ЕВ2010156 969540</v>
          </cell>
          <cell r="F631">
            <v>1497.7</v>
          </cell>
          <cell r="G631">
            <v>1269.5899999999999</v>
          </cell>
          <cell r="H631">
            <v>0</v>
          </cell>
        </row>
        <row r="632">
          <cell r="C632" t="str">
            <v>Улецкий Геннадий Гаврилович</v>
          </cell>
          <cell r="D632" t="str">
            <v>электросварщик ручной сварки</v>
          </cell>
          <cell r="E632" t="str">
            <v>ЮЭ2010697 043616</v>
          </cell>
          <cell r="F632">
            <v>1060.7</v>
          </cell>
          <cell r="G632">
            <v>899.25</v>
          </cell>
          <cell r="H632">
            <v>974.08</v>
          </cell>
        </row>
        <row r="633">
          <cell r="E633" t="str">
            <v>ГМ2010113 494191</v>
          </cell>
          <cell r="F633">
            <v>1149</v>
          </cell>
          <cell r="G633">
            <v>974.08</v>
          </cell>
          <cell r="H633">
            <v>0</v>
          </cell>
        </row>
        <row r="634">
          <cell r="C634" t="str">
            <v>Урсу Лилиян Иванович</v>
          </cell>
          <cell r="D634" t="str">
            <v xml:space="preserve">горнорабочий </v>
          </cell>
          <cell r="E634" t="str">
            <v>АК2010033 139315</v>
          </cell>
          <cell r="F634">
            <v>1497.9</v>
          </cell>
          <cell r="G634">
            <v>1269.75</v>
          </cell>
          <cell r="H634">
            <v>0</v>
          </cell>
        </row>
        <row r="635">
          <cell r="C635" t="str">
            <v>Федоров Алексей Алексеевич</v>
          </cell>
          <cell r="D635" t="str">
            <v>электрослесарь дежурный и по ремонту оборудования</v>
          </cell>
          <cell r="E635" t="str">
            <v>АК2010033 138481</v>
          </cell>
          <cell r="F635">
            <v>1497.9</v>
          </cell>
          <cell r="G635">
            <v>1269.75</v>
          </cell>
          <cell r="H635">
            <v>0</v>
          </cell>
        </row>
        <row r="636">
          <cell r="C636" t="str">
            <v>Федоров Игорь Александрович</v>
          </cell>
          <cell r="D636" t="str">
            <v>проходчик на поверхностных работах</v>
          </cell>
          <cell r="E636" t="str">
            <v>ГЕ2010108  884611</v>
          </cell>
          <cell r="F636">
            <v>1149</v>
          </cell>
          <cell r="G636">
            <v>974.08</v>
          </cell>
          <cell r="H636">
            <v>0</v>
          </cell>
        </row>
        <row r="637">
          <cell r="C637" t="str">
            <v>Федотов Дмитрий Витальевич</v>
          </cell>
          <cell r="D637" t="str">
            <v>проходчик на поверхностных работах</v>
          </cell>
          <cell r="E637" t="str">
            <v>ЯИ2010707 201892</v>
          </cell>
          <cell r="F637">
            <v>1567.5</v>
          </cell>
          <cell r="G637">
            <v>1328.73</v>
          </cell>
          <cell r="H637">
            <v>0</v>
          </cell>
        </row>
        <row r="638">
          <cell r="C638" t="str">
            <v>Фесиков Владимир Александрович</v>
          </cell>
          <cell r="D638" t="str">
            <v>горнорабочий</v>
          </cell>
          <cell r="E638" t="str">
            <v>ЮЭ2010697 915977</v>
          </cell>
          <cell r="F638">
            <v>1079.5999999999999</v>
          </cell>
          <cell r="G638">
            <v>915.27</v>
          </cell>
          <cell r="H638">
            <v>0</v>
          </cell>
        </row>
        <row r="639">
          <cell r="C639" t="str">
            <v>Фефилов Валерий Леонидович</v>
          </cell>
          <cell r="D639" t="str">
            <v>электрослесарь дежурный и по ремонту оборудования</v>
          </cell>
          <cell r="E639" t="str">
            <v>ЮМ2010684 418040</v>
          </cell>
          <cell r="F639">
            <v>1149</v>
          </cell>
          <cell r="G639">
            <v>974.08</v>
          </cell>
          <cell r="H639">
            <v>915.27</v>
          </cell>
        </row>
        <row r="640">
          <cell r="E640" t="str">
            <v>ГВ2010105 485455</v>
          </cell>
          <cell r="F640">
            <v>1079.5999999999999</v>
          </cell>
          <cell r="G640">
            <v>915.27</v>
          </cell>
          <cell r="H640">
            <v>0</v>
          </cell>
        </row>
        <row r="641">
          <cell r="C641" t="str">
            <v>Фомин Алексей Николаевич</v>
          </cell>
          <cell r="D641" t="str">
            <v>проходчик на поверхностных работах</v>
          </cell>
          <cell r="E641" t="str">
            <v>ВЕ2010082 594260</v>
          </cell>
          <cell r="F641">
            <v>997</v>
          </cell>
          <cell r="G641">
            <v>845.26</v>
          </cell>
          <cell r="H641">
            <v>0</v>
          </cell>
        </row>
        <row r="642">
          <cell r="C642" t="str">
            <v>Чайко Александр Тимофеевич</v>
          </cell>
          <cell r="D642" t="str">
            <v>элекрогазосварщик занятый на резке и ручной сварке о/г.р.</v>
          </cell>
          <cell r="E642" t="str">
            <v>ВЛ2010086 048698</v>
          </cell>
          <cell r="F642">
            <v>1497.9</v>
          </cell>
          <cell r="G642">
            <v>1269.75</v>
          </cell>
          <cell r="H642">
            <v>1565.1</v>
          </cell>
        </row>
        <row r="643">
          <cell r="E643" t="str">
            <v>ВЛ2010086 048699</v>
          </cell>
          <cell r="F643">
            <v>1846.4</v>
          </cell>
          <cell r="G643">
            <v>1565.1</v>
          </cell>
          <cell r="H643">
            <v>0</v>
          </cell>
        </row>
        <row r="644">
          <cell r="C644" t="str">
            <v>Черновол Анатолий Алексеевич</v>
          </cell>
          <cell r="D644" t="str">
            <v>электрослесарь (слесарь) дежурный и по ремонту оборудования</v>
          </cell>
          <cell r="E644" t="str">
            <v>АИ2010032 765058</v>
          </cell>
          <cell r="F644">
            <v>1567.5</v>
          </cell>
          <cell r="G644">
            <v>1328.73</v>
          </cell>
          <cell r="H644">
            <v>1328.73</v>
          </cell>
        </row>
        <row r="645">
          <cell r="E645" t="str">
            <v>АИ2010032 767958</v>
          </cell>
          <cell r="F645">
            <v>1567.5</v>
          </cell>
          <cell r="G645">
            <v>1328.73</v>
          </cell>
          <cell r="H645">
            <v>0</v>
          </cell>
        </row>
        <row r="646">
          <cell r="C646" t="str">
            <v>Чеховской Андрей Николаевич</v>
          </cell>
          <cell r="D646" t="str">
            <v>электрогазосварщик, занятый на резке и ручной сварке</v>
          </cell>
          <cell r="E646" t="str">
            <v>ВЛ2010086 117382</v>
          </cell>
          <cell r="F646">
            <v>1149</v>
          </cell>
          <cell r="G646">
            <v>974.08</v>
          </cell>
          <cell r="H646">
            <v>0</v>
          </cell>
        </row>
        <row r="647">
          <cell r="C647" t="str">
            <v>Чмиль Денис Сергеевич</v>
          </cell>
          <cell r="D647" t="str">
            <v>проходчик на поверхностных работах</v>
          </cell>
          <cell r="E647" t="str">
            <v>ГМ2010113 446847</v>
          </cell>
          <cell r="F647">
            <v>1079.5999999999999</v>
          </cell>
          <cell r="G647">
            <v>915.27</v>
          </cell>
          <cell r="H647">
            <v>0</v>
          </cell>
        </row>
        <row r="648">
          <cell r="C648" t="str">
            <v>Харлампьев Валентин Юрьевич</v>
          </cell>
          <cell r="D648" t="str">
            <v>проходчик на поверхностных работах</v>
          </cell>
          <cell r="E648" t="str">
            <v>АИ2010032 666147</v>
          </cell>
          <cell r="F648">
            <v>2299.4</v>
          </cell>
          <cell r="G648">
            <v>1948.99</v>
          </cell>
          <cell r="H648">
            <v>1948.99</v>
          </cell>
        </row>
        <row r="649">
          <cell r="E649" t="str">
            <v>ГМ2010113 446433</v>
          </cell>
          <cell r="F649">
            <v>2299.4</v>
          </cell>
          <cell r="G649">
            <v>1948.99</v>
          </cell>
          <cell r="H649">
            <v>0</v>
          </cell>
        </row>
        <row r="650">
          <cell r="C650" t="str">
            <v>Хворостенко Анатолий Николаевич</v>
          </cell>
          <cell r="D650" t="str">
            <v>элекрогазосварщик занятый на резке и ручной сварке о/г.р.</v>
          </cell>
          <cell r="E650" t="str">
            <v>АК2010033 139653</v>
          </cell>
          <cell r="F650">
            <v>2090.3000000000002</v>
          </cell>
          <cell r="G650">
            <v>1771.79</v>
          </cell>
          <cell r="H650">
            <v>2192.73</v>
          </cell>
        </row>
        <row r="651">
          <cell r="E651" t="str">
            <v>ЕВ2010156 961733</v>
          </cell>
          <cell r="F651">
            <v>2587</v>
          </cell>
          <cell r="G651">
            <v>2192.73</v>
          </cell>
          <cell r="H651">
            <v>0</v>
          </cell>
        </row>
        <row r="652">
          <cell r="C652" t="str">
            <v>Христофоров Геннадий Дмитриевич</v>
          </cell>
          <cell r="D652" t="str">
            <v>проходчик на поверхностных работах</v>
          </cell>
          <cell r="E652" t="str">
            <v>ЮЭ2010697 896073</v>
          </cell>
          <cell r="F652">
            <v>1894.7</v>
          </cell>
          <cell r="G652">
            <v>1677.38</v>
          </cell>
          <cell r="H652">
            <v>1638.82</v>
          </cell>
        </row>
        <row r="653">
          <cell r="E653" t="str">
            <v>ГВ2010105 485467</v>
          </cell>
          <cell r="F653">
            <v>1933.4</v>
          </cell>
          <cell r="G653">
            <v>1638.82</v>
          </cell>
          <cell r="H653">
            <v>0</v>
          </cell>
        </row>
        <row r="654">
          <cell r="C654" t="str">
            <v>Шарапова Оксана Михайловна</v>
          </cell>
          <cell r="D654" t="str">
            <v>горнорабочий на маркшейдерских работах</v>
          </cell>
          <cell r="E654" t="str">
            <v>ВЕ2010082 694605</v>
          </cell>
          <cell r="F654">
            <v>2111.8000000000002</v>
          </cell>
          <cell r="G654">
            <v>1790.01</v>
          </cell>
          <cell r="H654">
            <v>0</v>
          </cell>
        </row>
        <row r="655">
          <cell r="C655" t="str">
            <v>Шаталов Олег Николаевич</v>
          </cell>
          <cell r="D655" t="str">
            <v>электросварщик ручной сварки</v>
          </cell>
          <cell r="E655" t="str">
            <v>ЮЭ2010697 896080</v>
          </cell>
          <cell r="F655">
            <v>1567.5</v>
          </cell>
          <cell r="G655">
            <v>1328.73</v>
          </cell>
          <cell r="H655">
            <v>1269.5899999999999</v>
          </cell>
        </row>
        <row r="656">
          <cell r="E656" t="str">
            <v>ГВ2010105 485325</v>
          </cell>
          <cell r="F656">
            <v>1497.7</v>
          </cell>
          <cell r="G656">
            <v>1269.5899999999999</v>
          </cell>
          <cell r="H656">
            <v>0</v>
          </cell>
        </row>
        <row r="657">
          <cell r="C657" t="str">
            <v>Шевченко Александр Викторович</v>
          </cell>
          <cell r="D657" t="str">
            <v>горнорабочий</v>
          </cell>
          <cell r="E657" t="str">
            <v xml:space="preserve">ГЕ2010108 885127                </v>
          </cell>
          <cell r="F657">
            <v>1323.5</v>
          </cell>
          <cell r="G657">
            <v>1121.96</v>
          </cell>
          <cell r="H657">
            <v>0</v>
          </cell>
        </row>
        <row r="658">
          <cell r="C658" t="str">
            <v>Шевченко Николай Алексеевич</v>
          </cell>
          <cell r="D658" t="str">
            <v>электросварщик ручной сварки</v>
          </cell>
          <cell r="E658" t="str">
            <v>ЧБ2010571 562554</v>
          </cell>
          <cell r="F658">
            <v>1428.1</v>
          </cell>
          <cell r="G658">
            <v>1210.6099999999999</v>
          </cell>
          <cell r="H658">
            <v>0</v>
          </cell>
        </row>
        <row r="659">
          <cell r="C659" t="str">
            <v>Шеин Валерий Сергеевич</v>
          </cell>
          <cell r="D659" t="str">
            <v>машинист компрессорных установок</v>
          </cell>
          <cell r="E659" t="str">
            <v>АК2010086 288224</v>
          </cell>
          <cell r="F659">
            <v>1567.5</v>
          </cell>
          <cell r="G659">
            <v>1328.73</v>
          </cell>
          <cell r="H659">
            <v>1328.73</v>
          </cell>
        </row>
        <row r="660">
          <cell r="E660" t="str">
            <v>ГВ2010105 484900</v>
          </cell>
          <cell r="F660">
            <v>1567.5</v>
          </cell>
          <cell r="G660">
            <v>1328.73</v>
          </cell>
          <cell r="H660">
            <v>0</v>
          </cell>
        </row>
        <row r="661">
          <cell r="C661" t="str">
            <v>Шиян Игорь Анатольевич</v>
          </cell>
          <cell r="D661" t="str">
            <v>электрослесарь (слесарь) дежурный и по ремонту оборудования</v>
          </cell>
          <cell r="E661" t="str">
            <v>ЧБ2010571 780651</v>
          </cell>
          <cell r="F661">
            <v>1218.9000000000001</v>
          </cell>
          <cell r="G661">
            <v>1033.31</v>
          </cell>
          <cell r="H661">
            <v>915.27</v>
          </cell>
        </row>
        <row r="662">
          <cell r="E662" t="str">
            <v>ГВ2010105 485454</v>
          </cell>
          <cell r="F662">
            <v>1079.5999999999999</v>
          </cell>
          <cell r="G662">
            <v>915.27</v>
          </cell>
          <cell r="H662">
            <v>0</v>
          </cell>
        </row>
        <row r="663">
          <cell r="C663" t="str">
            <v>Шквира Славик Тамазович</v>
          </cell>
          <cell r="D663" t="str">
            <v>электрогазосварщик, занятый на резке и ручной сварке</v>
          </cell>
          <cell r="E663" t="str">
            <v>ЯЯ2010725 200706</v>
          </cell>
          <cell r="F663">
            <v>2090.3000000000002</v>
          </cell>
          <cell r="G663">
            <v>1771.79</v>
          </cell>
          <cell r="H663">
            <v>0</v>
          </cell>
        </row>
        <row r="664">
          <cell r="C664" t="str">
            <v>Шульга Александр Александрович</v>
          </cell>
          <cell r="D664" t="str">
            <v>электрослесарь (слесарь) дежурный и по ремонту оборудования</v>
          </cell>
          <cell r="E664" t="str">
            <v>ЧБ2010571 780829</v>
          </cell>
          <cell r="F664">
            <v>997</v>
          </cell>
          <cell r="G664">
            <v>845.26</v>
          </cell>
          <cell r="H664">
            <v>0</v>
          </cell>
        </row>
        <row r="665">
          <cell r="C665" t="str">
            <v>Шумский Сергей Евгеньевич</v>
          </cell>
          <cell r="D665" t="str">
            <v>проходчик на поверхностных работах</v>
          </cell>
          <cell r="E665" t="str">
            <v>ЮЭ2010697 947327</v>
          </cell>
          <cell r="F665">
            <v>1079.5999999999999</v>
          </cell>
          <cell r="G665">
            <v>915.27</v>
          </cell>
          <cell r="H665">
            <v>0</v>
          </cell>
        </row>
        <row r="666">
          <cell r="C666" t="str">
            <v>Янченко Владимир Дмитриевич</v>
          </cell>
          <cell r="D666" t="str">
            <v>электрогазосварщик, занятый на резке и ручной сварке</v>
          </cell>
          <cell r="E666" t="str">
            <v>АК 2010033 138480</v>
          </cell>
          <cell r="F666">
            <v>1497.9</v>
          </cell>
          <cell r="G666">
            <v>1269.75</v>
          </cell>
          <cell r="H666">
            <v>1601.09</v>
          </cell>
        </row>
        <row r="667">
          <cell r="E667" t="str">
            <v>ЕВ2010156  720772</v>
          </cell>
          <cell r="F667">
            <v>1804.1</v>
          </cell>
          <cell r="G667">
            <v>1601.09</v>
          </cell>
          <cell r="H667">
            <v>0</v>
          </cell>
        </row>
        <row r="668">
          <cell r="C668" t="str">
            <v>Яценко Андрей Николаевич</v>
          </cell>
          <cell r="D668" t="str">
            <v>проходчик на поверхностных работах</v>
          </cell>
          <cell r="E668" t="str">
            <v>ЮЭ2010697 909674</v>
          </cell>
          <cell r="F668">
            <v>1047.5999999999999</v>
          </cell>
          <cell r="G668">
            <v>888.15</v>
          </cell>
          <cell r="H668">
            <v>0</v>
          </cell>
        </row>
        <row r="669">
          <cell r="H669">
            <v>0</v>
          </cell>
        </row>
        <row r="670">
          <cell r="H670">
            <v>0</v>
          </cell>
        </row>
        <row r="671">
          <cell r="C671" t="str">
            <v>Дьяковский Владимир Иванович</v>
          </cell>
          <cell r="D671" t="str">
            <v>машинист крана автомобильного</v>
          </cell>
          <cell r="E671" t="str">
            <v>ЮЭ2010697 858765</v>
          </cell>
          <cell r="F671">
            <v>2299.4</v>
          </cell>
          <cell r="G671">
            <v>1948.99</v>
          </cell>
          <cell r="H671">
            <v>0</v>
          </cell>
        </row>
        <row r="672">
          <cell r="C672" t="str">
            <v>Запорожец Сергей Анатольевич</v>
          </cell>
          <cell r="D672" t="str">
            <v>машинист крана автомобильного</v>
          </cell>
          <cell r="E672" t="str">
            <v>ВЕ2010082 694597</v>
          </cell>
          <cell r="F672">
            <v>2090.3000000000002</v>
          </cell>
          <cell r="G672">
            <v>1771.79</v>
          </cell>
          <cell r="H672">
            <v>0</v>
          </cell>
        </row>
        <row r="673">
          <cell r="C673" t="str">
            <v>Зайцев Тимофей Иванович</v>
          </cell>
          <cell r="D673" t="str">
            <v>машинист крана автомобильного</v>
          </cell>
          <cell r="E673" t="str">
            <v>ВЛ2010086 228064</v>
          </cell>
          <cell r="F673">
            <v>3397.3</v>
          </cell>
          <cell r="G673">
            <v>2879.42</v>
          </cell>
          <cell r="H673">
            <v>0</v>
          </cell>
        </row>
        <row r="674">
          <cell r="C674" t="str">
            <v>Румянцев Сергей Рафаилович</v>
          </cell>
          <cell r="D674" t="str">
            <v>машинист крана автомобильного</v>
          </cell>
          <cell r="E674" t="str">
            <v>ЮЭ2010697 885743</v>
          </cell>
          <cell r="F674">
            <v>2299.4</v>
          </cell>
          <cell r="G674">
            <v>1948.99</v>
          </cell>
          <cell r="H674">
            <v>0</v>
          </cell>
        </row>
        <row r="675">
          <cell r="C675" t="str">
            <v>Рыков Сергей Николаевич</v>
          </cell>
          <cell r="D675" t="str">
            <v>машинист крана автомобильного</v>
          </cell>
          <cell r="E675" t="str">
            <v>ГВ2010105 484528</v>
          </cell>
          <cell r="F675">
            <v>933.2</v>
          </cell>
          <cell r="G675">
            <v>791.2</v>
          </cell>
          <cell r="H675">
            <v>0</v>
          </cell>
        </row>
        <row r="676">
          <cell r="C676" t="str">
            <v>Сергеев Юрий Николаевич</v>
          </cell>
          <cell r="D676" t="str">
            <v>машинист бульдозера</v>
          </cell>
          <cell r="E676" t="str">
            <v>ЮЭ2010697 564194</v>
          </cell>
          <cell r="F676">
            <v>1567.5</v>
          </cell>
          <cell r="G676">
            <v>1328.73</v>
          </cell>
          <cell r="H676">
            <v>0</v>
          </cell>
        </row>
        <row r="677">
          <cell r="C677" t="str">
            <v>Снимщиков Александр Иванович</v>
          </cell>
          <cell r="D677" t="str">
            <v>машинист бульдозера</v>
          </cell>
          <cell r="E677" t="str">
            <v>ЯЯ2010725 295954</v>
          </cell>
          <cell r="F677">
            <v>1497.9</v>
          </cell>
          <cell r="G677">
            <v>1269.75</v>
          </cell>
          <cell r="H677">
            <v>1638.82</v>
          </cell>
        </row>
        <row r="678">
          <cell r="E678" t="str">
            <v>АС2010039 807528</v>
          </cell>
          <cell r="F678">
            <v>1933.4</v>
          </cell>
          <cell r="G678">
            <v>1638.82</v>
          </cell>
          <cell r="H678">
            <v>0</v>
          </cell>
        </row>
        <row r="679">
          <cell r="H679">
            <v>0</v>
          </cell>
        </row>
        <row r="680">
          <cell r="C680" t="str">
            <v>Агафонов Андрей Андреевич</v>
          </cell>
          <cell r="D680" t="str">
            <v>водитель автомобиля</v>
          </cell>
          <cell r="E680" t="str">
            <v>ГВ2010105 484557</v>
          </cell>
          <cell r="F680">
            <v>2194.9</v>
          </cell>
          <cell r="G680">
            <v>1860.43</v>
          </cell>
          <cell r="H680">
            <v>0</v>
          </cell>
        </row>
        <row r="681">
          <cell r="C681" t="str">
            <v>Галашев Сергей Павлович</v>
          </cell>
          <cell r="D681" t="str">
            <v>водитель автомобиля</v>
          </cell>
          <cell r="E681" t="str">
            <v>ГВ2010105 484526</v>
          </cell>
          <cell r="F681">
            <v>1428.1</v>
          </cell>
          <cell r="G681">
            <v>1210.6099999999999</v>
          </cell>
          <cell r="H681">
            <v>0</v>
          </cell>
        </row>
        <row r="682">
          <cell r="C682" t="str">
            <v>Горлатов Андрей Владимирович</v>
          </cell>
          <cell r="D682" t="str">
            <v>водитель автомобиля</v>
          </cell>
          <cell r="E682" t="str">
            <v>АИ2010032 718731</v>
          </cell>
          <cell r="F682">
            <v>2090.3000000000002</v>
          </cell>
          <cell r="G682">
            <v>1771.79</v>
          </cell>
          <cell r="H682">
            <v>0</v>
          </cell>
        </row>
        <row r="683">
          <cell r="C683" t="str">
            <v>Жердев Руслан Геннадьевич</v>
          </cell>
          <cell r="D683" t="str">
            <v>водитель автомобиля</v>
          </cell>
          <cell r="E683" t="str">
            <v>ГЕ2010108 884636</v>
          </cell>
          <cell r="F683">
            <v>2194.9</v>
          </cell>
          <cell r="G683">
            <v>1860.43</v>
          </cell>
          <cell r="H683">
            <v>0</v>
          </cell>
        </row>
        <row r="684">
          <cell r="C684" t="str">
            <v>Лукьянов Юрий Александрович</v>
          </cell>
          <cell r="D684" t="str">
            <v>водитель автомобиля</v>
          </cell>
          <cell r="E684" t="str">
            <v>ЩН2010633 306677</v>
          </cell>
          <cell r="F684">
            <v>1497.9</v>
          </cell>
          <cell r="G684">
            <v>1269.75</v>
          </cell>
          <cell r="H684">
            <v>0</v>
          </cell>
        </row>
        <row r="685">
          <cell r="C685" t="str">
            <v>Хачидзе Аркадий Элвардович</v>
          </cell>
          <cell r="D685" t="str">
            <v>водитель автомобиля</v>
          </cell>
          <cell r="E685" t="str">
            <v>ВЕ2010082 694540</v>
          </cell>
          <cell r="F685">
            <v>2194.9</v>
          </cell>
          <cell r="G685">
            <v>1860.43</v>
          </cell>
          <cell r="H685">
            <v>0</v>
          </cell>
        </row>
        <row r="686">
          <cell r="C686" t="str">
            <v>Шахмаев Геннадий Геннадьевич</v>
          </cell>
          <cell r="D686" t="str">
            <v>водитель автомобиля</v>
          </cell>
          <cell r="E686" t="str">
            <v>ВЕ2010082 694539</v>
          </cell>
          <cell r="F686">
            <v>2194.9</v>
          </cell>
          <cell r="G686">
            <v>1860.43</v>
          </cell>
          <cell r="H686">
            <v>0</v>
          </cell>
        </row>
        <row r="687">
          <cell r="H687">
            <v>0</v>
          </cell>
        </row>
        <row r="688">
          <cell r="C688" t="str">
            <v>Гондарев Анатолий Алексеевич</v>
          </cell>
          <cell r="D688" t="str">
            <v>водитель автомобиля</v>
          </cell>
          <cell r="E688" t="str">
            <v>АК2010033 048062</v>
          </cell>
          <cell r="F688">
            <v>1497.9</v>
          </cell>
          <cell r="G688">
            <v>1269.75</v>
          </cell>
          <cell r="H688">
            <v>0</v>
          </cell>
        </row>
        <row r="689">
          <cell r="C689" t="str">
            <v>Рожновский Владимир Николаевич</v>
          </cell>
          <cell r="D689" t="str">
            <v>водитель автомобиля</v>
          </cell>
          <cell r="E689" t="str">
            <v>ГВ2010105 484722</v>
          </cell>
          <cell r="F689">
            <v>2194.9</v>
          </cell>
          <cell r="G689">
            <v>1860.43</v>
          </cell>
          <cell r="H689">
            <v>0</v>
          </cell>
        </row>
        <row r="690">
          <cell r="H690">
            <v>0</v>
          </cell>
        </row>
        <row r="691">
          <cell r="C691" t="str">
            <v>Бондаренко Вячеслав Борисович</v>
          </cell>
          <cell r="D691" t="str">
            <v>водитель автобуса</v>
          </cell>
          <cell r="E691" t="str">
            <v>АИ2010032 753822</v>
          </cell>
          <cell r="F691">
            <v>1671.7</v>
          </cell>
          <cell r="G691">
            <v>1417.04</v>
          </cell>
          <cell r="H691">
            <v>0</v>
          </cell>
        </row>
        <row r="692">
          <cell r="C692" t="str">
            <v>Костин Валерий Павлович</v>
          </cell>
          <cell r="D692" t="str">
            <v>водитель автобуса</v>
          </cell>
          <cell r="E692" t="str">
            <v>ГВ2010105 484569</v>
          </cell>
          <cell r="F692">
            <v>1149</v>
          </cell>
          <cell r="G692">
            <v>974.08</v>
          </cell>
          <cell r="H692">
            <v>0</v>
          </cell>
        </row>
        <row r="693">
          <cell r="H693">
            <v>0</v>
          </cell>
        </row>
        <row r="694">
          <cell r="H694">
            <v>0</v>
          </cell>
        </row>
        <row r="695">
          <cell r="C695" t="str">
            <v>Мажугин Александр Петрович</v>
          </cell>
          <cell r="D695" t="str">
            <v>механик автомобильной колонны</v>
          </cell>
          <cell r="E695" t="str">
            <v>АК2010033 183193</v>
          </cell>
          <cell r="F695">
            <v>2090.3000000000002</v>
          </cell>
          <cell r="G695">
            <v>1771.79</v>
          </cell>
          <cell r="H695">
            <v>0</v>
          </cell>
        </row>
        <row r="696">
          <cell r="H696">
            <v>0</v>
          </cell>
        </row>
        <row r="697">
          <cell r="C697" t="str">
            <v>Головченко Сергей Евгеньевич</v>
          </cell>
          <cell r="D697" t="str">
            <v>слесарь по ремонту автомобилей</v>
          </cell>
          <cell r="E697" t="str">
            <v>ЧБ2010571 838022</v>
          </cell>
          <cell r="F697">
            <v>2194.9</v>
          </cell>
          <cell r="G697">
            <v>1860.43</v>
          </cell>
          <cell r="H697">
            <v>0</v>
          </cell>
        </row>
        <row r="698">
          <cell r="C698" t="str">
            <v>Усанов Михаил Юрьевич</v>
          </cell>
          <cell r="D698" t="str">
            <v>слесарь по ремонту автомобилей</v>
          </cell>
          <cell r="E698" t="str">
            <v>ГВ2010105 484527</v>
          </cell>
          <cell r="F698">
            <v>1428.1</v>
          </cell>
          <cell r="G698">
            <v>1210.6099999999999</v>
          </cell>
          <cell r="H698">
            <v>0</v>
          </cell>
        </row>
        <row r="699">
          <cell r="H699">
            <v>0</v>
          </cell>
        </row>
        <row r="700">
          <cell r="C700" t="str">
            <v>Горохова Алена Николаевна</v>
          </cell>
          <cell r="D700" t="str">
            <v>инженер-лаборант</v>
          </cell>
          <cell r="E700" t="str">
            <v>АИ2010032 675079</v>
          </cell>
          <cell r="F700">
            <v>2299.4</v>
          </cell>
          <cell r="G700">
            <v>1948.99</v>
          </cell>
          <cell r="H700">
            <v>1948.99</v>
          </cell>
        </row>
        <row r="701">
          <cell r="E701" t="str">
            <v>АИ2010032 675080</v>
          </cell>
          <cell r="F701">
            <v>2299.4</v>
          </cell>
          <cell r="G701">
            <v>1948.99</v>
          </cell>
          <cell r="H701">
            <v>0</v>
          </cell>
        </row>
        <row r="702">
          <cell r="C702" t="str">
            <v>Карпенко Любовь Валентиновна</v>
          </cell>
          <cell r="D702" t="str">
            <v>инженер II категории</v>
          </cell>
          <cell r="E702" t="str">
            <v>ЮЭ2010697 351279</v>
          </cell>
          <cell r="F702">
            <v>2717.7</v>
          </cell>
          <cell r="G702">
            <v>2303.4899999999998</v>
          </cell>
          <cell r="H702">
            <v>1774.15</v>
          </cell>
        </row>
        <row r="703">
          <cell r="E703">
            <v>8236124764931</v>
          </cell>
          <cell r="F703">
            <v>2093.5</v>
          </cell>
          <cell r="G703">
            <v>1774.15</v>
          </cell>
          <cell r="H703">
            <v>0</v>
          </cell>
        </row>
        <row r="704">
          <cell r="C704" t="str">
            <v>Итого:</v>
          </cell>
          <cell r="G704">
            <v>352202</v>
          </cell>
        </row>
        <row r="936">
          <cell r="C936" t="str">
            <v>Воробьев Борис Олегович</v>
          </cell>
          <cell r="D936" t="str">
            <v xml:space="preserve">Мастер горный </v>
          </cell>
          <cell r="E936" t="str">
            <v>ЮЭ 2010697 679976</v>
          </cell>
          <cell r="F936">
            <v>2587</v>
          </cell>
          <cell r="G936">
            <v>2192.73</v>
          </cell>
          <cell r="H936">
            <v>0</v>
          </cell>
        </row>
        <row r="937">
          <cell r="C937" t="str">
            <v>Довбня Владислав Сергеевич</v>
          </cell>
          <cell r="D937" t="str">
            <v>Маркшейдер</v>
          </cell>
          <cell r="E937" t="str">
            <v>ГВ 2010104 292357</v>
          </cell>
          <cell r="F937">
            <v>2194.6</v>
          </cell>
          <cell r="G937">
            <v>1860.18</v>
          </cell>
          <cell r="H937">
            <v>0</v>
          </cell>
        </row>
        <row r="938">
          <cell r="C938" t="str">
            <v>Коротун Павел Владимирович</v>
          </cell>
          <cell r="D938" t="str">
            <v xml:space="preserve">Мастер горный </v>
          </cell>
          <cell r="E938" t="str">
            <v>ВЛ 2010086 115207</v>
          </cell>
          <cell r="F938">
            <v>1933.4</v>
          </cell>
          <cell r="G938">
            <v>1638.82</v>
          </cell>
          <cell r="H938">
            <v>0</v>
          </cell>
        </row>
        <row r="939">
          <cell r="C939" t="str">
            <v>Криворотов Сергей Александрович</v>
          </cell>
          <cell r="D939" t="str">
            <v>Помощник электромеханика</v>
          </cell>
          <cell r="E939" t="str">
            <v>ГК 2010111 280617</v>
          </cell>
          <cell r="F939">
            <v>1933.4</v>
          </cell>
          <cell r="G939">
            <v>1638.82</v>
          </cell>
          <cell r="H939">
            <v>0</v>
          </cell>
        </row>
        <row r="940">
          <cell r="C940" t="str">
            <v>Матяшов Роман Игоревич</v>
          </cell>
          <cell r="D940" t="str">
            <v>Помощник электромеханика</v>
          </cell>
          <cell r="E940" t="str">
            <v>ЦМ 2010554 058439</v>
          </cell>
          <cell r="F940">
            <v>1410.4</v>
          </cell>
          <cell r="G940">
            <v>1195.5999999999999</v>
          </cell>
          <cell r="H940">
            <v>0</v>
          </cell>
        </row>
        <row r="941">
          <cell r="C941" t="str">
            <v>Петров Андрей Юрьевич</v>
          </cell>
          <cell r="D941" t="str">
            <v>Маркшейдер</v>
          </cell>
          <cell r="E941" t="str">
            <v>ГЕ2010108 884710</v>
          </cell>
          <cell r="F941">
            <v>1933.4</v>
          </cell>
          <cell r="G941">
            <v>1638.82</v>
          </cell>
          <cell r="H941">
            <v>0</v>
          </cell>
        </row>
        <row r="942">
          <cell r="C942" t="str">
            <v>Рыбчак Евгений Васильевич</v>
          </cell>
          <cell r="D942" t="str">
            <v>Маркшейдер</v>
          </cell>
          <cell r="E942" t="str">
            <v>АК 2010033 153548</v>
          </cell>
          <cell r="F942">
            <v>2587</v>
          </cell>
          <cell r="G942">
            <v>2192.73</v>
          </cell>
          <cell r="H942">
            <v>0</v>
          </cell>
        </row>
        <row r="943">
          <cell r="C943" t="str">
            <v>Фролов Дмитрий Юрьевич</v>
          </cell>
          <cell r="D943" t="str">
            <v>Помощник электромеханика</v>
          </cell>
          <cell r="E943" t="str">
            <v>ВЛ2010086 292193</v>
          </cell>
          <cell r="F943">
            <v>2299.4</v>
          </cell>
          <cell r="G943">
            <v>1948.99</v>
          </cell>
          <cell r="H943">
            <v>2414.16</v>
          </cell>
        </row>
        <row r="944">
          <cell r="E944" t="str">
            <v>ВЛ 2010086 292194</v>
          </cell>
          <cell r="F944">
            <v>2848.3</v>
          </cell>
          <cell r="G944">
            <v>2414.16</v>
          </cell>
          <cell r="H944">
            <v>0</v>
          </cell>
        </row>
        <row r="945">
          <cell r="C945" t="str">
            <v>Шунин Роман Витальевич</v>
          </cell>
          <cell r="D945" t="str">
            <v xml:space="preserve">Мастер горный </v>
          </cell>
          <cell r="E945" t="str">
            <v>АП 2010037  961462</v>
          </cell>
          <cell r="F945">
            <v>1220.3</v>
          </cell>
          <cell r="G945">
            <v>1034.5</v>
          </cell>
          <cell r="H945">
            <v>0</v>
          </cell>
        </row>
        <row r="946">
          <cell r="H946">
            <v>0</v>
          </cell>
        </row>
        <row r="947">
          <cell r="C947" t="str">
            <v>Абашев Рустам Хакимуллович</v>
          </cell>
          <cell r="D947" t="str">
            <v>электрогазосварщик занятый на резке и ручной сварке о/г.р.</v>
          </cell>
          <cell r="E947" t="str">
            <v>АП 2010037 984852</v>
          </cell>
          <cell r="F947">
            <v>1149</v>
          </cell>
          <cell r="G947">
            <v>974.08</v>
          </cell>
          <cell r="H947">
            <v>974.08</v>
          </cell>
        </row>
        <row r="948">
          <cell r="E948" t="str">
            <v>БЭ 2010074 922072</v>
          </cell>
          <cell r="F948">
            <v>1149</v>
          </cell>
          <cell r="G948">
            <v>974.08</v>
          </cell>
          <cell r="H948">
            <v>0</v>
          </cell>
        </row>
        <row r="949">
          <cell r="C949" t="str">
            <v>Акимов Сергей Владимирович</v>
          </cell>
          <cell r="D949" t="str">
            <v>электросварщик ручной сварки о/г.р.</v>
          </cell>
          <cell r="E949" t="str">
            <v>ЮЭ 2010684 418372</v>
          </cell>
          <cell r="F949">
            <v>1410.4</v>
          </cell>
          <cell r="G949">
            <v>1195.5999999999999</v>
          </cell>
          <cell r="H949">
            <v>1121.96</v>
          </cell>
        </row>
        <row r="950">
          <cell r="E950" t="str">
            <v>АП 2010037 309955</v>
          </cell>
          <cell r="F950">
            <v>1323.5</v>
          </cell>
          <cell r="G950">
            <v>1121.96</v>
          </cell>
          <cell r="H950">
            <v>0</v>
          </cell>
        </row>
        <row r="951">
          <cell r="C951" t="str">
            <v>Алексеев Юрий Семенович</v>
          </cell>
          <cell r="D951" t="str">
            <v>проходчик на поверхностных работах</v>
          </cell>
          <cell r="E951" t="str">
            <v>АИ 2010032 720752</v>
          </cell>
          <cell r="F951">
            <v>3083.7</v>
          </cell>
          <cell r="G951">
            <v>2613.65</v>
          </cell>
          <cell r="H951">
            <v>2192.73</v>
          </cell>
        </row>
        <row r="952">
          <cell r="E952" t="str">
            <v>ГЕ 2010108 885345</v>
          </cell>
          <cell r="F952">
            <v>2587</v>
          </cell>
          <cell r="G952">
            <v>2192.73</v>
          </cell>
          <cell r="H952">
            <v>0</v>
          </cell>
        </row>
        <row r="953">
          <cell r="C953" t="str">
            <v>Алелеков Виктор Николаевич</v>
          </cell>
          <cell r="D953" t="str">
            <v>электросварщик ручной сварки о/г.р.</v>
          </cell>
          <cell r="E953" t="str">
            <v>АЕ 2010030 521255</v>
          </cell>
          <cell r="F953">
            <v>3083.7</v>
          </cell>
          <cell r="G953">
            <v>2613.65</v>
          </cell>
          <cell r="H953">
            <v>2192.73</v>
          </cell>
        </row>
        <row r="954">
          <cell r="E954" t="str">
            <v>ЯИ 2010707 811691</v>
          </cell>
          <cell r="F954">
            <v>2587</v>
          </cell>
          <cell r="G954">
            <v>2192.73</v>
          </cell>
          <cell r="H954">
            <v>0</v>
          </cell>
        </row>
        <row r="955">
          <cell r="C955" t="str">
            <v>Ангиленко Игорь Вадимович</v>
          </cell>
          <cell r="D955" t="str">
            <v>проходчик на поверхностных работах</v>
          </cell>
          <cell r="E955" t="str">
            <v>ЮЭ 2010697 045338</v>
          </cell>
          <cell r="F955">
            <v>1323.5</v>
          </cell>
          <cell r="G955">
            <v>1121.96</v>
          </cell>
          <cell r="H955">
            <v>0</v>
          </cell>
        </row>
        <row r="956">
          <cell r="C956" t="str">
            <v>Андреев Максим Николаевич</v>
          </cell>
          <cell r="D956" t="str">
            <v>электрослесарь (слесарь) дежурный и по ремонту оборудования</v>
          </cell>
          <cell r="E956" t="str">
            <v>ЮЭ 2010697 948871</v>
          </cell>
          <cell r="F956">
            <v>1410.4</v>
          </cell>
          <cell r="G956">
            <v>1195.5999999999999</v>
          </cell>
          <cell r="H956">
            <v>0</v>
          </cell>
        </row>
        <row r="957">
          <cell r="C957" t="str">
            <v>Антонов Алексей Евгеньевич</v>
          </cell>
          <cell r="D957" t="str">
            <v>электрослесарь (слесарь) дежурный и по ремонту оборудования</v>
          </cell>
          <cell r="E957" t="str">
            <v>ЧБ 2010571 781269</v>
          </cell>
          <cell r="F957">
            <v>1323.5</v>
          </cell>
          <cell r="G957">
            <v>1121.96</v>
          </cell>
          <cell r="H957">
            <v>0</v>
          </cell>
        </row>
        <row r="958">
          <cell r="C958" t="str">
            <v>Апарович Виталий Геннадьевич</v>
          </cell>
          <cell r="D958" t="str">
            <v xml:space="preserve">горнорабочий </v>
          </cell>
          <cell r="E958" t="str">
            <v>ЮМ 2010684 419531</v>
          </cell>
          <cell r="F958">
            <v>1567.4</v>
          </cell>
          <cell r="G958">
            <v>1328.65</v>
          </cell>
          <cell r="H958">
            <v>1121.96</v>
          </cell>
        </row>
        <row r="959">
          <cell r="E959" t="str">
            <v>АС 2010039 821065</v>
          </cell>
          <cell r="F959">
            <v>1323.5</v>
          </cell>
          <cell r="G959">
            <v>1121.96</v>
          </cell>
          <cell r="H959">
            <v>0</v>
          </cell>
        </row>
        <row r="960">
          <cell r="C960" t="str">
            <v>Артюхин Александр Николаевич</v>
          </cell>
          <cell r="D960" t="str">
            <v>электросварщик ручной сварки о/г.р.</v>
          </cell>
          <cell r="E960" t="str">
            <v>ЮЭ 2010697 046197</v>
          </cell>
          <cell r="F960">
            <v>1410.4</v>
          </cell>
          <cell r="G960">
            <v>1195.5999999999999</v>
          </cell>
          <cell r="H960">
            <v>0</v>
          </cell>
        </row>
        <row r="961">
          <cell r="C961" t="str">
            <v>Базовой Евгений Викторович</v>
          </cell>
          <cell r="D961" t="str">
            <v>электрогазосварщик занятый на резке и ручной сварке о/г.р.</v>
          </cell>
          <cell r="E961" t="str">
            <v>С 2007014 122585</v>
          </cell>
          <cell r="F961">
            <v>1323.5</v>
          </cell>
          <cell r="G961">
            <v>1121.96</v>
          </cell>
          <cell r="H961">
            <v>0</v>
          </cell>
        </row>
        <row r="962">
          <cell r="C962" t="str">
            <v>Базулин Александр Васильевич</v>
          </cell>
          <cell r="D962" t="str">
            <v>электрослесарь (слесарь) дежурный и по ремонту оборудования</v>
          </cell>
          <cell r="E962" t="str">
            <v>ВЛ 2010086 294776</v>
          </cell>
          <cell r="F962">
            <v>1933.4</v>
          </cell>
          <cell r="G962">
            <v>1638.82</v>
          </cell>
          <cell r="H962">
            <v>1638.82</v>
          </cell>
        </row>
        <row r="963">
          <cell r="E963" t="str">
            <v>АП 2010037  352620</v>
          </cell>
          <cell r="F963">
            <v>1933.4</v>
          </cell>
          <cell r="G963">
            <v>1638.82</v>
          </cell>
          <cell r="H963">
            <v>0</v>
          </cell>
        </row>
        <row r="964">
          <cell r="C964" t="str">
            <v>Барков Алексей Александрович</v>
          </cell>
          <cell r="D964" t="str">
            <v xml:space="preserve">горнорабочий </v>
          </cell>
          <cell r="E964" t="str">
            <v>Г 2010003 752298</v>
          </cell>
          <cell r="F964">
            <v>2107.9</v>
          </cell>
          <cell r="G964">
            <v>1786.71</v>
          </cell>
          <cell r="H964">
            <v>1786.71</v>
          </cell>
        </row>
        <row r="965">
          <cell r="E965" t="str">
            <v>ГМ 2010113 964481</v>
          </cell>
          <cell r="F965">
            <v>2107.9</v>
          </cell>
          <cell r="G965">
            <v>1786.71</v>
          </cell>
          <cell r="H965">
            <v>0</v>
          </cell>
        </row>
        <row r="966">
          <cell r="C966" t="str">
            <v>Беловолов Геннадий Анатольевич</v>
          </cell>
          <cell r="D966" t="str">
            <v>проходчик на поверхностных работах</v>
          </cell>
          <cell r="E966" t="str">
            <v>ГВ 2010105 485390</v>
          </cell>
          <cell r="F966">
            <v>1584.7</v>
          </cell>
          <cell r="G966">
            <v>1343.31</v>
          </cell>
          <cell r="H966">
            <v>0</v>
          </cell>
        </row>
        <row r="967">
          <cell r="C967" t="str">
            <v>Белоусов Павел Анатольевич</v>
          </cell>
          <cell r="D967" t="str">
            <v>электрослесарь (слесарь) дежурный и по ремонту оборудования</v>
          </cell>
          <cell r="E967" t="str">
            <v>ВЛ 2010086 425340</v>
          </cell>
          <cell r="F967">
            <v>2299.4</v>
          </cell>
          <cell r="G967">
            <v>1948.99</v>
          </cell>
          <cell r="H967">
            <v>0</v>
          </cell>
        </row>
        <row r="968">
          <cell r="C968" t="str">
            <v>Бида Андрей Александрович</v>
          </cell>
          <cell r="D968" t="str">
            <v>электросварщик ручной сварки</v>
          </cell>
          <cell r="E968" t="str">
            <v>ЮЭ 2010697 915566</v>
          </cell>
          <cell r="F968">
            <v>1323.5</v>
          </cell>
          <cell r="G968">
            <v>1121.96</v>
          </cell>
          <cell r="H968">
            <v>0</v>
          </cell>
        </row>
        <row r="969">
          <cell r="C969" t="str">
            <v>Билалов Сергей Владимирович</v>
          </cell>
          <cell r="D969" t="str">
            <v>электрогазосварщик занятый на резке и ручной сварке о/г.р.</v>
          </cell>
          <cell r="E969" t="str">
            <v>ЕГ 2010157 714135</v>
          </cell>
          <cell r="F969">
            <v>1497.7</v>
          </cell>
          <cell r="G969">
            <v>1269.5899999999999</v>
          </cell>
          <cell r="H969">
            <v>1121.96</v>
          </cell>
        </row>
        <row r="970">
          <cell r="E970" t="str">
            <v xml:space="preserve">С 200701 4122586              </v>
          </cell>
          <cell r="F970">
            <v>1323.5</v>
          </cell>
          <cell r="G970">
            <v>1121.96</v>
          </cell>
          <cell r="H970">
            <v>0</v>
          </cell>
        </row>
        <row r="971">
          <cell r="C971" t="str">
            <v>Богатырев Сергей Александрович</v>
          </cell>
          <cell r="D971" t="str">
            <v>проходчик на поверхностных работах</v>
          </cell>
          <cell r="E971" t="str">
            <v>ГВ 2010105 485391</v>
          </cell>
          <cell r="F971">
            <v>1584.7</v>
          </cell>
          <cell r="G971">
            <v>1343.31</v>
          </cell>
          <cell r="H971">
            <v>0</v>
          </cell>
        </row>
        <row r="972">
          <cell r="C972" t="str">
            <v>Бондарев Иван Викторович</v>
          </cell>
          <cell r="D972" t="str">
            <v>горнорабочий о/г.р</v>
          </cell>
          <cell r="E972" t="str">
            <v>ЮЭ 2010697 045833</v>
          </cell>
          <cell r="F972">
            <v>1323.5</v>
          </cell>
          <cell r="G972">
            <v>1121.96</v>
          </cell>
          <cell r="H972">
            <v>1121.96</v>
          </cell>
        </row>
        <row r="973">
          <cell r="E973" t="str">
            <v>ГМ 2010113 963743</v>
          </cell>
          <cell r="F973">
            <v>1323.5</v>
          </cell>
          <cell r="G973">
            <v>1121.96</v>
          </cell>
          <cell r="H973">
            <v>0</v>
          </cell>
        </row>
        <row r="974">
          <cell r="C974" t="str">
            <v>Вальков Виктор Анатольевич</v>
          </cell>
          <cell r="D974" t="str">
            <v>электрослесарь (слесарь) дежурный и по ремонту оборудования</v>
          </cell>
          <cell r="E974" t="str">
            <v>ГК 2010111 280618</v>
          </cell>
          <cell r="F974">
            <v>1933.4</v>
          </cell>
          <cell r="G974">
            <v>1638.82</v>
          </cell>
          <cell r="H974">
            <v>1638.82</v>
          </cell>
        </row>
        <row r="975">
          <cell r="E975" t="str">
            <v>АП 2010037  307482</v>
          </cell>
          <cell r="F975">
            <v>1933.4</v>
          </cell>
          <cell r="G975">
            <v>1638.82</v>
          </cell>
          <cell r="H975">
            <v>0</v>
          </cell>
        </row>
        <row r="976">
          <cell r="C976" t="str">
            <v>Володин Сергей Николаевич</v>
          </cell>
          <cell r="D976" t="str">
            <v>проходчик на поверхностных работах</v>
          </cell>
          <cell r="E976" t="str">
            <v>АП 2010037 986263</v>
          </cell>
          <cell r="F976">
            <v>1323.5</v>
          </cell>
          <cell r="G976">
            <v>1121.96</v>
          </cell>
          <cell r="H976">
            <v>0</v>
          </cell>
        </row>
        <row r="977">
          <cell r="C977" t="str">
            <v>Волчков Игорь Николаевич</v>
          </cell>
          <cell r="D977" t="str">
            <v>электросварщик ручной сварки</v>
          </cell>
          <cell r="E977" t="str">
            <v>ЕГ 2010157 714341</v>
          </cell>
          <cell r="F977">
            <v>1497.7</v>
          </cell>
          <cell r="G977">
            <v>1269.5899999999999</v>
          </cell>
          <cell r="H977">
            <v>0</v>
          </cell>
        </row>
        <row r="978">
          <cell r="C978" t="str">
            <v>Воробьев Андрей Сергеевич</v>
          </cell>
          <cell r="D978" t="str">
            <v>проходчик на поверхностных работах</v>
          </cell>
          <cell r="E978" t="str">
            <v>Р 2007013 717568</v>
          </cell>
          <cell r="F978">
            <v>1410.4</v>
          </cell>
          <cell r="G978">
            <v>1195.5999999999999</v>
          </cell>
          <cell r="H978">
            <v>1099.96</v>
          </cell>
        </row>
        <row r="979">
          <cell r="E979" t="str">
            <v>С 2007014 119399</v>
          </cell>
          <cell r="F979">
            <v>1299.9000000000001</v>
          </cell>
          <cell r="G979">
            <v>1099.96</v>
          </cell>
          <cell r="H979">
            <v>0</v>
          </cell>
        </row>
        <row r="980">
          <cell r="C980" t="str">
            <v>Галибин Сергей Валентинович</v>
          </cell>
          <cell r="D980" t="str">
            <v>электрослесарь (слесарь) дежурный и по ремонту оборудования</v>
          </cell>
          <cell r="E980" t="str">
            <v>ВЛ 2010086 583662</v>
          </cell>
          <cell r="F980">
            <v>2299.4</v>
          </cell>
          <cell r="G980">
            <v>1948.99</v>
          </cell>
          <cell r="H980">
            <v>1638.82</v>
          </cell>
        </row>
        <row r="981">
          <cell r="E981" t="str">
            <v>АС 2010039 828547</v>
          </cell>
          <cell r="F981">
            <v>1933.4</v>
          </cell>
          <cell r="G981">
            <v>1638.82</v>
          </cell>
          <cell r="H981">
            <v>0</v>
          </cell>
        </row>
        <row r="982">
          <cell r="C982" t="str">
            <v>Гамидов Юсиф Ашраф Оглы</v>
          </cell>
          <cell r="D982" t="str">
            <v xml:space="preserve">горнорабочий </v>
          </cell>
          <cell r="E982" t="str">
            <v>ГБ 2010104 257029</v>
          </cell>
          <cell r="F982">
            <v>2717.7</v>
          </cell>
          <cell r="G982">
            <v>2303.4899999999998</v>
          </cell>
          <cell r="H982">
            <v>0</v>
          </cell>
        </row>
        <row r="983">
          <cell r="C983" t="str">
            <v>Ганусевич Олег Валерьевич</v>
          </cell>
          <cell r="D983" t="str">
            <v>электрослесарь (слесарь) дежурный и по ремонту оборудования</v>
          </cell>
          <cell r="E983" t="str">
            <v>ГБ 2010104 243593</v>
          </cell>
          <cell r="F983">
            <v>1497.7</v>
          </cell>
          <cell r="G983">
            <v>1269.5899999999999</v>
          </cell>
          <cell r="H983">
            <v>1564.75</v>
          </cell>
        </row>
        <row r="984">
          <cell r="E984" t="str">
            <v>734203 60767094</v>
          </cell>
          <cell r="F984">
            <v>1846.4</v>
          </cell>
          <cell r="G984">
            <v>1564.75</v>
          </cell>
          <cell r="H984">
            <v>0</v>
          </cell>
        </row>
        <row r="985">
          <cell r="C985" t="str">
            <v>Герасименко Владислав Владиславович</v>
          </cell>
          <cell r="D985" t="str">
            <v>проходчик на поверхностных работах</v>
          </cell>
          <cell r="E985" t="str">
            <v>ГБ 2010104 243416</v>
          </cell>
          <cell r="F985">
            <v>1410.4</v>
          </cell>
          <cell r="G985">
            <v>1195.5999999999999</v>
          </cell>
          <cell r="H985">
            <v>0</v>
          </cell>
        </row>
        <row r="986">
          <cell r="C986" t="str">
            <v>Гладченко Виктор Иванович</v>
          </cell>
          <cell r="D986" t="str">
            <v>электрослесарь (слесарь) дежурный и по ремонту оборудования</v>
          </cell>
          <cell r="E986" t="str">
            <v>ГБ 2010104 241884</v>
          </cell>
          <cell r="F986">
            <v>1410.4</v>
          </cell>
          <cell r="G986">
            <v>1195.5999999999999</v>
          </cell>
          <cell r="H986">
            <v>1195.5999999999999</v>
          </cell>
        </row>
        <row r="987">
          <cell r="E987" t="str">
            <v>ГБ 2010104 241885</v>
          </cell>
          <cell r="F987">
            <v>1410.4</v>
          </cell>
          <cell r="G987">
            <v>1195.5999999999999</v>
          </cell>
          <cell r="H987">
            <v>0</v>
          </cell>
        </row>
        <row r="988">
          <cell r="C988" t="str">
            <v>Гулов Руслан Викторович</v>
          </cell>
          <cell r="D988" t="str">
            <v xml:space="preserve">горнорабочий </v>
          </cell>
          <cell r="E988" t="str">
            <v>АП 2010037 331712</v>
          </cell>
          <cell r="F988">
            <v>1410.4</v>
          </cell>
          <cell r="G988">
            <v>1195.5999999999999</v>
          </cell>
          <cell r="H988">
            <v>0</v>
          </cell>
        </row>
        <row r="989">
          <cell r="C989" t="str">
            <v>Гуляев Валерий Александрович</v>
          </cell>
          <cell r="D989" t="str">
            <v>электрослесарь (слесарь) дежурный и по ремонту оборудования</v>
          </cell>
          <cell r="E989" t="str">
            <v>ВЛ 2010086 117244</v>
          </cell>
          <cell r="F989">
            <v>1323.5</v>
          </cell>
          <cell r="G989">
            <v>1121.96</v>
          </cell>
          <cell r="H989">
            <v>0</v>
          </cell>
        </row>
        <row r="990">
          <cell r="C990" t="str">
            <v>Гусак Александр Леонидович</v>
          </cell>
          <cell r="D990" t="str">
            <v>электросварщик ручной сварки</v>
          </cell>
          <cell r="E990" t="str">
            <v>ШБ 2010597 746610</v>
          </cell>
          <cell r="F990">
            <v>1933.4</v>
          </cell>
          <cell r="G990">
            <v>1638.82</v>
          </cell>
          <cell r="H990">
            <v>0</v>
          </cell>
        </row>
        <row r="991">
          <cell r="C991" t="str">
            <v>Гущин Владимир Петрович</v>
          </cell>
          <cell r="D991" t="str">
            <v>электрослесарь (слесарь) дежурный и по ремонту оборудования</v>
          </cell>
          <cell r="E991" t="str">
            <v>ЕГ 2010157 714107</v>
          </cell>
          <cell r="F991">
            <v>1323.5</v>
          </cell>
          <cell r="G991">
            <v>1121.96</v>
          </cell>
          <cell r="H991">
            <v>1121.96</v>
          </cell>
        </row>
        <row r="992">
          <cell r="E992" t="str">
            <v>БЭ 2010074 924362</v>
          </cell>
          <cell r="F992">
            <v>1323.5</v>
          </cell>
          <cell r="G992">
            <v>1121.96</v>
          </cell>
          <cell r="H992">
            <v>0</v>
          </cell>
        </row>
        <row r="993">
          <cell r="C993" t="str">
            <v>Дзюбин Анатолий Владимирович</v>
          </cell>
          <cell r="D993" t="str">
            <v>электрогазосварщик занятый на резке и ручной сварке о/г.р.</v>
          </cell>
          <cell r="E993" t="str">
            <v>АП 2010037 964170</v>
          </cell>
          <cell r="F993">
            <v>1864.4</v>
          </cell>
          <cell r="G993">
            <v>1583.1</v>
          </cell>
          <cell r="H993">
            <v>0</v>
          </cell>
        </row>
        <row r="994">
          <cell r="C994" t="str">
            <v>Дзюбин Владимир Владимирович</v>
          </cell>
          <cell r="D994" t="str">
            <v>электрогазосварщик занятый на резке и ручной сварке о/г.р.</v>
          </cell>
          <cell r="E994" t="str">
            <v>АП 2010037 964171</v>
          </cell>
          <cell r="F994">
            <v>1864.4</v>
          </cell>
          <cell r="G994">
            <v>1583.1</v>
          </cell>
          <cell r="H994">
            <v>0</v>
          </cell>
        </row>
        <row r="995">
          <cell r="C995" t="str">
            <v>Дзюбин Юрий Владимирович</v>
          </cell>
          <cell r="D995" t="str">
            <v>электрогазосварщик занятый на резке и ручной сварке о/г.р.</v>
          </cell>
          <cell r="E995" t="str">
            <v>АП2010037 964169</v>
          </cell>
          <cell r="F995">
            <v>1864.4</v>
          </cell>
          <cell r="G995">
            <v>1583.1</v>
          </cell>
          <cell r="H995">
            <v>0</v>
          </cell>
        </row>
        <row r="996">
          <cell r="C996" t="str">
            <v>Драгунцов Александр Владимирович</v>
          </cell>
          <cell r="D996" t="str">
            <v>проходчик на поверхностных работах</v>
          </cell>
          <cell r="E996" t="str">
            <v>ЮЭ 2010697 045662</v>
          </cell>
          <cell r="F996">
            <v>1671.7</v>
          </cell>
          <cell r="G996">
            <v>1417.04</v>
          </cell>
          <cell r="H996">
            <v>1101.96</v>
          </cell>
        </row>
        <row r="997">
          <cell r="E997" t="str">
            <v>ЮЭ 2010697 045345</v>
          </cell>
          <cell r="F997">
            <v>1299.9000000000001</v>
          </cell>
          <cell r="G997">
            <v>1101.96</v>
          </cell>
          <cell r="H997">
            <v>0</v>
          </cell>
        </row>
        <row r="998">
          <cell r="C998" t="str">
            <v>Дударов Муса Кантемирович</v>
          </cell>
          <cell r="D998" t="str">
            <v>проходчик на поверхностных работах</v>
          </cell>
          <cell r="E998" t="str">
            <v>ВЛ 2010086 293471</v>
          </cell>
          <cell r="F998">
            <v>1933.4</v>
          </cell>
          <cell r="G998">
            <v>1638.82</v>
          </cell>
          <cell r="H998">
            <v>0</v>
          </cell>
        </row>
        <row r="999">
          <cell r="C999" t="str">
            <v>Дужик Виктор Васильевич</v>
          </cell>
          <cell r="D999" t="str">
            <v>горнорабочий</v>
          </cell>
          <cell r="E999" t="str">
            <v>ЮЭ 2010697 949326</v>
          </cell>
          <cell r="F999">
            <v>1497.7</v>
          </cell>
          <cell r="G999">
            <v>1269.5899999999999</v>
          </cell>
          <cell r="H999">
            <v>1121.96</v>
          </cell>
        </row>
        <row r="1000">
          <cell r="E1000" t="str">
            <v>С 2007014  122587</v>
          </cell>
          <cell r="F1000">
            <v>1323.5</v>
          </cell>
          <cell r="G1000">
            <v>1121.96</v>
          </cell>
          <cell r="H1000">
            <v>0</v>
          </cell>
        </row>
        <row r="1001">
          <cell r="C1001" t="str">
            <v>Дьяков Андрей Николаевич</v>
          </cell>
          <cell r="D1001" t="str">
            <v xml:space="preserve">горнорабочий </v>
          </cell>
          <cell r="E1001" t="str">
            <v>ЯИ 2010707 811703</v>
          </cell>
          <cell r="F1001">
            <v>3083.7</v>
          </cell>
          <cell r="G1001">
            <v>2613.65</v>
          </cell>
          <cell r="H1001">
            <v>2303.4899999999998</v>
          </cell>
        </row>
        <row r="1002">
          <cell r="E1002" t="str">
            <v>С 2007014 110679</v>
          </cell>
          <cell r="F1002">
            <v>2717.7</v>
          </cell>
          <cell r="G1002">
            <v>2303.4899999999998</v>
          </cell>
          <cell r="H1002">
            <v>0</v>
          </cell>
        </row>
        <row r="1003">
          <cell r="C1003" t="str">
            <v>Ермилов Роман Юрьевич</v>
          </cell>
          <cell r="D1003" t="str">
            <v>электрогазосварщик, занятый на резке и ручной сварке</v>
          </cell>
          <cell r="E1003" t="str">
            <v>ЕГ 2010157 714245</v>
          </cell>
          <cell r="F1003">
            <v>1497.7</v>
          </cell>
          <cell r="G1003">
            <v>1269.5899999999999</v>
          </cell>
          <cell r="H1003">
            <v>0</v>
          </cell>
        </row>
        <row r="1004">
          <cell r="C1004" t="str">
            <v>Журба Дмитрий Александрович</v>
          </cell>
          <cell r="D1004" t="str">
            <v>проходчик на поверхностных работах</v>
          </cell>
          <cell r="E1004" t="str">
            <v>ЦН 2010555 973532</v>
          </cell>
          <cell r="F1004">
            <v>3240</v>
          </cell>
          <cell r="G1004">
            <v>2746.05</v>
          </cell>
          <cell r="H1004">
            <v>0</v>
          </cell>
        </row>
        <row r="1005">
          <cell r="C1005" t="str">
            <v>Зорькин Виталий Сергеевич</v>
          </cell>
          <cell r="D1005" t="str">
            <v>проходчик на поверхностных работах</v>
          </cell>
          <cell r="E1005" t="str">
            <v>ЮЭ 2010697 948518</v>
          </cell>
          <cell r="F1005">
            <v>1567.4</v>
          </cell>
          <cell r="G1005">
            <v>1328.65</v>
          </cell>
          <cell r="H1005">
            <v>0</v>
          </cell>
        </row>
        <row r="1006">
          <cell r="C1006" t="str">
            <v>Зюзик Сергей Анатольевич</v>
          </cell>
          <cell r="D1006" t="str">
            <v>горнорабочий о/г.р</v>
          </cell>
          <cell r="E1006" t="str">
            <v>ГБ 2010104 240521</v>
          </cell>
          <cell r="F1006">
            <v>1410.4</v>
          </cell>
          <cell r="G1006">
            <v>1195.5999999999999</v>
          </cell>
          <cell r="H1006">
            <v>1101.96</v>
          </cell>
        </row>
        <row r="1007">
          <cell r="E1007" t="str">
            <v>ШГ 2010599  061979</v>
          </cell>
          <cell r="F1007">
            <v>1299.9000000000001</v>
          </cell>
          <cell r="G1007">
            <v>1101.96</v>
          </cell>
          <cell r="H1007">
            <v>0</v>
          </cell>
        </row>
        <row r="1008">
          <cell r="C1008" t="str">
            <v>Камышников Александр Сергеевич</v>
          </cell>
          <cell r="D1008" t="str">
            <v>проходчик на поверхностных работах</v>
          </cell>
          <cell r="E1008" t="str">
            <v>АП 2010037 986262</v>
          </cell>
          <cell r="F1008">
            <v>1323.5</v>
          </cell>
          <cell r="G1008">
            <v>1121.96</v>
          </cell>
          <cell r="H1008">
            <v>0</v>
          </cell>
        </row>
        <row r="1009">
          <cell r="C1009" t="str">
            <v>Каппес Николай Владимирович</v>
          </cell>
          <cell r="D1009" t="str">
            <v xml:space="preserve">горнорабочий </v>
          </cell>
          <cell r="E1009" t="str">
            <v>ВЛ 2010086 593867</v>
          </cell>
          <cell r="F1009">
            <v>3083.7</v>
          </cell>
          <cell r="G1009">
            <v>2613.65</v>
          </cell>
          <cell r="H1009">
            <v>1417.3</v>
          </cell>
        </row>
        <row r="1010">
          <cell r="E1010" t="str">
            <v>АС 2010039 837382</v>
          </cell>
          <cell r="F1010">
            <v>1672</v>
          </cell>
          <cell r="G1010">
            <v>1417.3</v>
          </cell>
          <cell r="H1010">
            <v>0</v>
          </cell>
        </row>
        <row r="1011">
          <cell r="C1011" t="str">
            <v>Карунин Павел Николаевич</v>
          </cell>
          <cell r="D1011" t="str">
            <v>горнорабочий на маркшейдерских работах</v>
          </cell>
          <cell r="E1011" t="str">
            <v>ГЕ 2010108 884911</v>
          </cell>
          <cell r="F1011">
            <v>1933.4</v>
          </cell>
          <cell r="G1011">
            <v>1638.82</v>
          </cell>
          <cell r="H1011">
            <v>0</v>
          </cell>
        </row>
        <row r="1012">
          <cell r="C1012" t="str">
            <v>Катенев Юрий Николаевич</v>
          </cell>
          <cell r="D1012" t="str">
            <v xml:space="preserve">горнорабочий </v>
          </cell>
          <cell r="E1012" t="str">
            <v>ЮЭ 2010697 046857</v>
          </cell>
          <cell r="F1012">
            <v>1410.4</v>
          </cell>
          <cell r="G1012">
            <v>1195.5999999999999</v>
          </cell>
          <cell r="H1012">
            <v>1121.96</v>
          </cell>
        </row>
        <row r="1013">
          <cell r="E1013" t="str">
            <v>АП 2010037 347343</v>
          </cell>
          <cell r="F1013">
            <v>1323.5</v>
          </cell>
          <cell r="G1013">
            <v>1121.96</v>
          </cell>
          <cell r="H1013">
            <v>0</v>
          </cell>
        </row>
        <row r="1014">
          <cell r="C1014" t="str">
            <v>Клочко Евгений Владимирович</v>
          </cell>
          <cell r="D1014" t="str">
            <v>электрогазосварщик, занятый на резке и ручной сварке</v>
          </cell>
          <cell r="E1014" t="str">
            <v>ШБ 2010597 907069</v>
          </cell>
          <cell r="F1014">
            <v>2194.8000000000002</v>
          </cell>
          <cell r="G1014">
            <v>1860.34</v>
          </cell>
          <cell r="H1014">
            <v>1565.1</v>
          </cell>
        </row>
        <row r="1015">
          <cell r="E1015" t="str">
            <v>ЕВ 2010156  997272</v>
          </cell>
          <cell r="F1015">
            <v>1846.4</v>
          </cell>
          <cell r="G1015">
            <v>1565.1</v>
          </cell>
          <cell r="H1015">
            <v>0</v>
          </cell>
        </row>
        <row r="1016">
          <cell r="C1016" t="str">
            <v>Клочков Роман Леонидович</v>
          </cell>
          <cell r="D1016" t="str">
            <v xml:space="preserve">горнорабочий </v>
          </cell>
          <cell r="E1016" t="str">
            <v>ГБ 2010104 243524</v>
          </cell>
          <cell r="F1016">
            <v>1410.4</v>
          </cell>
          <cell r="G1016">
            <v>1195.5999999999999</v>
          </cell>
          <cell r="H1016">
            <v>1101.96</v>
          </cell>
        </row>
        <row r="1017">
          <cell r="E1017" t="str">
            <v>ГЕ 2010108 885332</v>
          </cell>
          <cell r="F1017">
            <v>1299.9000000000001</v>
          </cell>
          <cell r="G1017">
            <v>1101.96</v>
          </cell>
          <cell r="H1017">
            <v>0</v>
          </cell>
        </row>
        <row r="1018">
          <cell r="C1018" t="str">
            <v>Князев Руслан Анатольевич</v>
          </cell>
          <cell r="D1018" t="str">
            <v>проходчик на поверхностных работах</v>
          </cell>
          <cell r="E1018" t="str">
            <v>ЭУ 2010664 192881</v>
          </cell>
          <cell r="F1018">
            <v>2674.6</v>
          </cell>
          <cell r="G1018">
            <v>2266.96</v>
          </cell>
          <cell r="H1018">
            <v>0</v>
          </cell>
        </row>
        <row r="1019">
          <cell r="C1019" t="str">
            <v>Колесников Юрий Викторович</v>
          </cell>
          <cell r="D1019" t="str">
            <v>электрогазосварщик, занятый на резке и ручной сварке</v>
          </cell>
          <cell r="E1019" t="str">
            <v>ЧБ 2010571 781309</v>
          </cell>
          <cell r="F1019">
            <v>1443.6</v>
          </cell>
          <cell r="G1019">
            <v>1223.74</v>
          </cell>
          <cell r="H1019">
            <v>1121.96</v>
          </cell>
        </row>
        <row r="1020">
          <cell r="E1020" t="str">
            <v>ГМ 2010113 963752</v>
          </cell>
          <cell r="F1020">
            <v>1323.5</v>
          </cell>
          <cell r="G1020">
            <v>1121.96</v>
          </cell>
          <cell r="H1020">
            <v>0</v>
          </cell>
        </row>
        <row r="1021">
          <cell r="C1021" t="str">
            <v>Колпаков Вадим Михайлович</v>
          </cell>
          <cell r="D1021" t="str">
            <v>электрогазосварщик, занятый на резке и ручной сварке</v>
          </cell>
          <cell r="E1021" t="str">
            <v>ШБ 2010597 837090</v>
          </cell>
          <cell r="F1021">
            <v>1933.4</v>
          </cell>
          <cell r="G1021">
            <v>1638.82</v>
          </cell>
          <cell r="H1021">
            <v>1638.82</v>
          </cell>
        </row>
        <row r="1022">
          <cell r="E1022" t="str">
            <v>АП 2010037 312763</v>
          </cell>
          <cell r="F1022">
            <v>1933.4</v>
          </cell>
          <cell r="G1022">
            <v>1638.82</v>
          </cell>
          <cell r="H1022">
            <v>0</v>
          </cell>
        </row>
        <row r="1023">
          <cell r="C1023" t="str">
            <v>Котляров Александр Николаевич</v>
          </cell>
          <cell r="D1023" t="str">
            <v>проходчик на поверхностных работах</v>
          </cell>
          <cell r="E1023" t="str">
            <v>ЮЭ 2010697 948626</v>
          </cell>
          <cell r="F1023">
            <v>1323.5</v>
          </cell>
          <cell r="G1023">
            <v>1121.96</v>
          </cell>
          <cell r="H1023">
            <v>1101.96</v>
          </cell>
        </row>
        <row r="1024">
          <cell r="E1024" t="str">
            <v>ГМ 2010113 963717</v>
          </cell>
          <cell r="F1024">
            <v>1299.9000000000001</v>
          </cell>
          <cell r="G1024">
            <v>1101.96</v>
          </cell>
          <cell r="H1024">
            <v>0</v>
          </cell>
        </row>
        <row r="1025">
          <cell r="C1025" t="str">
            <v>Котляров Геннадий Сергеевич</v>
          </cell>
          <cell r="D1025" t="str">
            <v>проходчик на поверхностных работах</v>
          </cell>
          <cell r="E1025" t="str">
            <v>ЮЭ 2010697 982868</v>
          </cell>
          <cell r="F1025">
            <v>1672</v>
          </cell>
          <cell r="G1025">
            <v>1417.3</v>
          </cell>
          <cell r="H1025">
            <v>1417.3</v>
          </cell>
        </row>
        <row r="1026">
          <cell r="E1026" t="str">
            <v>БР 2010064  188744</v>
          </cell>
          <cell r="F1026">
            <v>1672</v>
          </cell>
          <cell r="G1026">
            <v>1417.3</v>
          </cell>
          <cell r="H1026">
            <v>0</v>
          </cell>
        </row>
        <row r="1027">
          <cell r="C1027" t="str">
            <v>Кравцов Владимир Сергеевич</v>
          </cell>
          <cell r="D1027" t="str">
            <v>электрогазосварщик, занятый на резке и ручной сварке</v>
          </cell>
          <cell r="E1027" t="str">
            <v>ЧБ 2010571 781284</v>
          </cell>
          <cell r="F1027">
            <v>1323.5</v>
          </cell>
          <cell r="G1027">
            <v>1121.96</v>
          </cell>
          <cell r="H1027">
            <v>0</v>
          </cell>
        </row>
        <row r="1028">
          <cell r="C1028" t="str">
            <v>Кривощеков Александр Павлович</v>
          </cell>
          <cell r="D1028" t="str">
            <v>проходчик на поверхностных работах</v>
          </cell>
          <cell r="E1028" t="str">
            <v>ЧБ 2010571 781591</v>
          </cell>
          <cell r="F1028">
            <v>1497.7</v>
          </cell>
          <cell r="G1028">
            <v>1269.5899999999999</v>
          </cell>
          <cell r="H1028">
            <v>1034.5</v>
          </cell>
        </row>
        <row r="1029">
          <cell r="E1029" t="str">
            <v>АП2010037 352608</v>
          </cell>
          <cell r="F1029">
            <v>1220.3</v>
          </cell>
          <cell r="G1029">
            <v>1034.5</v>
          </cell>
          <cell r="H1029">
            <v>0</v>
          </cell>
        </row>
        <row r="1030">
          <cell r="C1030" t="str">
            <v>Кривченков Александр Федорович</v>
          </cell>
          <cell r="D1030" t="str">
            <v xml:space="preserve">горнорабочий </v>
          </cell>
          <cell r="E1030" t="str">
            <v>ШГ 2010599 061621</v>
          </cell>
          <cell r="F1030">
            <v>1410.4</v>
          </cell>
          <cell r="G1030">
            <v>1195.5999999999999</v>
          </cell>
          <cell r="H1030">
            <v>1195.5999999999999</v>
          </cell>
        </row>
        <row r="1031">
          <cell r="E1031" t="str">
            <v>ГБ 2010104 240882</v>
          </cell>
          <cell r="F1031">
            <v>1410.4</v>
          </cell>
          <cell r="G1031">
            <v>1195.5999999999999</v>
          </cell>
          <cell r="H1031">
            <v>0</v>
          </cell>
        </row>
        <row r="1032">
          <cell r="C1032" t="str">
            <v>Кропачев Антон Александрович</v>
          </cell>
          <cell r="D1032" t="str">
            <v>проходчик на поверхностных работах</v>
          </cell>
          <cell r="E1032" t="str">
            <v>ЧБ 2010571 781563</v>
          </cell>
          <cell r="F1032">
            <v>1323.5</v>
          </cell>
          <cell r="G1032">
            <v>1121.96</v>
          </cell>
          <cell r="H1032">
            <v>0</v>
          </cell>
        </row>
        <row r="1033">
          <cell r="C1033" t="str">
            <v>Кузин Иван Владимирович</v>
          </cell>
          <cell r="D1033" t="str">
            <v>горнорабочий</v>
          </cell>
          <cell r="E1033" t="str">
            <v>ШГ 2010599 063558</v>
          </cell>
          <cell r="F1033">
            <v>1671.7</v>
          </cell>
          <cell r="G1033">
            <v>1417.04</v>
          </cell>
          <cell r="H1033">
            <v>1565.1</v>
          </cell>
        </row>
        <row r="1034">
          <cell r="E1034" t="str">
            <v>С 2007014 105739</v>
          </cell>
          <cell r="F1034">
            <v>1846.4</v>
          </cell>
          <cell r="G1034">
            <v>1565.1</v>
          </cell>
          <cell r="H1034">
            <v>0</v>
          </cell>
        </row>
        <row r="1035">
          <cell r="C1035" t="str">
            <v>Кузнецов Владислав Анатольевич</v>
          </cell>
          <cell r="D1035" t="str">
            <v>Проходчик на поверхностных работах</v>
          </cell>
          <cell r="E1035" t="str">
            <v>ЮЭ 2010697 044820</v>
          </cell>
          <cell r="F1035">
            <v>1323.5</v>
          </cell>
          <cell r="G1035">
            <v>1121.96</v>
          </cell>
          <cell r="H1035">
            <v>1121.96</v>
          </cell>
        </row>
        <row r="1036">
          <cell r="E1036" t="str">
            <v>АС 2010039 826298</v>
          </cell>
          <cell r="F1036">
            <v>1323.5</v>
          </cell>
          <cell r="G1036">
            <v>1121.96</v>
          </cell>
          <cell r="H1036">
            <v>0</v>
          </cell>
        </row>
        <row r="1037">
          <cell r="C1037" t="str">
            <v>Кузнецовский Алексей Борисович</v>
          </cell>
          <cell r="D1037" t="str">
            <v>электрогазосварщик, занятый на резке и ручной сварке</v>
          </cell>
          <cell r="E1037" t="str">
            <v>ЮЭ 2010697 657391</v>
          </cell>
          <cell r="F1037">
            <v>2587</v>
          </cell>
          <cell r="G1037">
            <v>2192.73</v>
          </cell>
          <cell r="H1037">
            <v>0</v>
          </cell>
        </row>
        <row r="1038">
          <cell r="C1038" t="str">
            <v>Кулагин Дмитрий Геннадьевич</v>
          </cell>
          <cell r="D1038" t="str">
            <v>проходчик на поверхностных работах</v>
          </cell>
          <cell r="E1038" t="str">
            <v>ЕЛ 2010163 003229</v>
          </cell>
          <cell r="F1038">
            <v>1618.3</v>
          </cell>
          <cell r="G1038">
            <v>1371.79</v>
          </cell>
          <cell r="H1038">
            <v>1491.2</v>
          </cell>
        </row>
        <row r="1039">
          <cell r="E1039" t="str">
            <v>С 2007014 117464</v>
          </cell>
          <cell r="F1039">
            <v>1759.2</v>
          </cell>
          <cell r="G1039">
            <v>1491.2</v>
          </cell>
          <cell r="H1039">
            <v>0</v>
          </cell>
        </row>
        <row r="1040">
          <cell r="C1040" t="str">
            <v>Лаврик Виктор Александрович</v>
          </cell>
          <cell r="D1040" t="str">
            <v>проходчик на поверхностных работах</v>
          </cell>
          <cell r="E1040" t="str">
            <v>ЮЛ 2010683 554434</v>
          </cell>
          <cell r="F1040">
            <v>2194.8000000000002</v>
          </cell>
          <cell r="G1040">
            <v>1860.34</v>
          </cell>
          <cell r="H1040">
            <v>0</v>
          </cell>
        </row>
        <row r="1041">
          <cell r="C1041" t="str">
            <v>Ландин Руслан Сергеевич</v>
          </cell>
          <cell r="D1041" t="str">
            <v>проходчик на поверхностных работах</v>
          </cell>
          <cell r="E1041" t="str">
            <v>ЦН 2010555 974859</v>
          </cell>
          <cell r="F1041">
            <v>1443.6</v>
          </cell>
          <cell r="G1041">
            <v>1223.74</v>
          </cell>
          <cell r="H1041">
            <v>0</v>
          </cell>
        </row>
        <row r="1042">
          <cell r="C1042" t="str">
            <v>Лаптев Иван Климентьевич</v>
          </cell>
          <cell r="D1042" t="str">
            <v>проходчик на поверхностных работах</v>
          </cell>
          <cell r="E1042" t="str">
            <v>ВЛ 2010086 179193</v>
          </cell>
          <cell r="F1042">
            <v>3397.3</v>
          </cell>
          <cell r="G1042">
            <v>2879.42</v>
          </cell>
          <cell r="H1042">
            <v>0</v>
          </cell>
        </row>
        <row r="1043">
          <cell r="C1043" t="str">
            <v>Лелин Денис Игоревич</v>
          </cell>
          <cell r="D1043" t="str">
            <v xml:space="preserve">горнорабочий </v>
          </cell>
          <cell r="E1043" t="str">
            <v>ЮЭ 2010697 045557</v>
          </cell>
          <cell r="F1043">
            <v>1567.4</v>
          </cell>
          <cell r="G1043">
            <v>1328.65</v>
          </cell>
          <cell r="H1043">
            <v>0</v>
          </cell>
        </row>
        <row r="1044">
          <cell r="C1044" t="str">
            <v>Лихота Анатолий Анатольевич</v>
          </cell>
          <cell r="D1044" t="str">
            <v>электрогазосварщик, занятый на резке и ручной сварке</v>
          </cell>
          <cell r="E1044" t="str">
            <v>ЮЭ 2010697 678562</v>
          </cell>
          <cell r="F1044">
            <v>1618.3</v>
          </cell>
          <cell r="G1044">
            <v>1371.79</v>
          </cell>
          <cell r="H1044">
            <v>1491.2</v>
          </cell>
        </row>
        <row r="1045">
          <cell r="E1045" t="str">
            <v>ЮЭ 2010697 733126</v>
          </cell>
          <cell r="F1045">
            <v>1759.2</v>
          </cell>
          <cell r="G1045">
            <v>1491.2</v>
          </cell>
          <cell r="H1045">
            <v>0</v>
          </cell>
        </row>
        <row r="1046">
          <cell r="C1046" t="str">
            <v>Мамаев Игорь Николаевич</v>
          </cell>
          <cell r="D1046" t="str">
            <v>электрослесарь (слесарь) дежурный и по ремонту оборудования</v>
          </cell>
          <cell r="E1046" t="str">
            <v>ВЛ 2010086 119372</v>
          </cell>
          <cell r="F1046">
            <v>1323.5</v>
          </cell>
          <cell r="G1046">
            <v>1121.96</v>
          </cell>
          <cell r="H1046">
            <v>0</v>
          </cell>
        </row>
        <row r="1047">
          <cell r="C1047" t="str">
            <v>Мардасов Александр Федорович</v>
          </cell>
          <cell r="D1047" t="str">
            <v>проходчик на поверхностных работах</v>
          </cell>
          <cell r="E1047" t="str">
            <v>ВЛ 2010086 120027</v>
          </cell>
          <cell r="F1047">
            <v>2194.8000000000002</v>
          </cell>
          <cell r="G1047">
            <v>1860.34</v>
          </cell>
          <cell r="H1047">
            <v>835.01</v>
          </cell>
        </row>
        <row r="1048">
          <cell r="E1048" t="str">
            <v>АС 2010039 829412</v>
          </cell>
          <cell r="F1048">
            <v>984.9</v>
          </cell>
          <cell r="G1048">
            <v>835.01</v>
          </cell>
          <cell r="H1048">
            <v>0</v>
          </cell>
        </row>
        <row r="1049">
          <cell r="C1049" t="str">
            <v>Минаев Дмитрий Анатольевич</v>
          </cell>
          <cell r="D1049" t="str">
            <v>проходчик на поверхностных работах</v>
          </cell>
          <cell r="E1049" t="str">
            <v>ЮМ 2010684 418337</v>
          </cell>
          <cell r="F1049">
            <v>1567.4</v>
          </cell>
          <cell r="G1049">
            <v>1328.65</v>
          </cell>
          <cell r="H1049">
            <v>1121.96</v>
          </cell>
        </row>
        <row r="1050">
          <cell r="E1050" t="str">
            <v>ГМ 2010113 963736</v>
          </cell>
          <cell r="F1050">
            <v>1323.5</v>
          </cell>
          <cell r="G1050">
            <v>1121.96</v>
          </cell>
          <cell r="H1050">
            <v>0</v>
          </cell>
        </row>
        <row r="1051">
          <cell r="C1051" t="str">
            <v>Михайлов Олег Викторович</v>
          </cell>
          <cell r="D1051" t="str">
            <v>проходчик на поверхностных работах</v>
          </cell>
          <cell r="E1051" t="str">
            <v>ЮМ 2010684 581285</v>
          </cell>
          <cell r="F1051">
            <v>1634.5</v>
          </cell>
          <cell r="G1051">
            <v>1385.52</v>
          </cell>
          <cell r="H1051">
            <v>0</v>
          </cell>
        </row>
        <row r="1052">
          <cell r="C1052" t="str">
            <v>Мягков Максим Александрович</v>
          </cell>
          <cell r="D1052" t="str">
            <v>проходчик на поверхностных работах</v>
          </cell>
          <cell r="E1052" t="str">
            <v>АК 2010033 074065</v>
          </cell>
          <cell r="F1052">
            <v>1933.4</v>
          </cell>
          <cell r="G1052">
            <v>1638.82</v>
          </cell>
          <cell r="H1052">
            <v>0</v>
          </cell>
        </row>
        <row r="1053">
          <cell r="C1053" t="str">
            <v>Наумов Николай Сергеевич</v>
          </cell>
          <cell r="D1053" t="str">
            <v xml:space="preserve">горнорабочий </v>
          </cell>
          <cell r="E1053" t="str">
            <v>ГБ 2010104 622573</v>
          </cell>
          <cell r="F1053">
            <v>1671.7</v>
          </cell>
          <cell r="G1053">
            <v>1417.04</v>
          </cell>
          <cell r="H1053">
            <v>0</v>
          </cell>
        </row>
        <row r="1054">
          <cell r="C1054" t="str">
            <v>Невмержицкий Сергей Александрович</v>
          </cell>
          <cell r="D1054" t="str">
            <v>электрослесарь (слесарь) дежурный и по ремонту оборудования</v>
          </cell>
          <cell r="E1054" t="str">
            <v>ГК 2010111 280619</v>
          </cell>
          <cell r="F1054">
            <v>1933.4</v>
          </cell>
          <cell r="G1054">
            <v>1638.82</v>
          </cell>
          <cell r="H1054">
            <v>1638.82</v>
          </cell>
        </row>
        <row r="1055">
          <cell r="E1055" t="str">
            <v xml:space="preserve"> АП 2010037 307481</v>
          </cell>
          <cell r="F1055">
            <v>1933.4</v>
          </cell>
          <cell r="G1055">
            <v>1638.82</v>
          </cell>
          <cell r="H1055">
            <v>0</v>
          </cell>
        </row>
        <row r="1056">
          <cell r="C1056" t="str">
            <v>Никитин Михаил Сергеевич</v>
          </cell>
          <cell r="D1056" t="str">
            <v>проходчик на поверхностных работах</v>
          </cell>
          <cell r="E1056" t="str">
            <v>ГЕ 2010108 885373</v>
          </cell>
          <cell r="F1056">
            <v>1323.5</v>
          </cell>
          <cell r="G1056">
            <v>1121.96</v>
          </cell>
          <cell r="H1056">
            <v>0</v>
          </cell>
        </row>
        <row r="1057">
          <cell r="C1057" t="str">
            <v>Павлов Петр Алексеевич</v>
          </cell>
          <cell r="D1057" t="str">
            <v>электрогазосварщик, занятый на резке и ручной сварке</v>
          </cell>
          <cell r="E1057" t="str">
            <v>ВЛ 2010086 051812</v>
          </cell>
          <cell r="F1057">
            <v>2194.8000000000002</v>
          </cell>
          <cell r="G1057">
            <v>1860.34</v>
          </cell>
          <cell r="H1057">
            <v>0</v>
          </cell>
        </row>
        <row r="1058">
          <cell r="C1058" t="str">
            <v>Папазов Сергей Николаевич</v>
          </cell>
          <cell r="D1058" t="str">
            <v xml:space="preserve">горнорабочий </v>
          </cell>
          <cell r="E1058" t="str">
            <v>ВЛ 2010086 228644</v>
          </cell>
          <cell r="F1058">
            <v>2299.4</v>
          </cell>
          <cell r="G1058">
            <v>1948.99</v>
          </cell>
          <cell r="H1058">
            <v>0</v>
          </cell>
        </row>
        <row r="1059">
          <cell r="C1059" t="str">
            <v>Пигарев Алексей Владимирович</v>
          </cell>
          <cell r="D1059" t="str">
            <v>проходчик на поверхностных работах</v>
          </cell>
          <cell r="E1059" t="str">
            <v>ЮЭ 2010697 045989</v>
          </cell>
          <cell r="F1059">
            <v>1357.6</v>
          </cell>
          <cell r="G1059">
            <v>1150.8599999999999</v>
          </cell>
          <cell r="H1059">
            <v>1427.46</v>
          </cell>
        </row>
        <row r="1060">
          <cell r="E1060" t="str">
            <v>АП 2010037 347342</v>
          </cell>
          <cell r="F1060">
            <v>1684.4</v>
          </cell>
          <cell r="G1060">
            <v>1427.46</v>
          </cell>
          <cell r="H1060">
            <v>0</v>
          </cell>
        </row>
        <row r="1061">
          <cell r="C1061" t="str">
            <v>Поляков Игорь Юрьевич</v>
          </cell>
          <cell r="D1061" t="str">
            <v>электрослесарь (слесарь) дежурный и по ремонту оборудования</v>
          </cell>
          <cell r="E1061" t="str">
            <v>ГБ 2010104 245273</v>
          </cell>
          <cell r="F1061">
            <v>1497.7</v>
          </cell>
          <cell r="G1061">
            <v>1269.5899999999999</v>
          </cell>
          <cell r="H1061">
            <v>0</v>
          </cell>
        </row>
        <row r="1062">
          <cell r="C1062" t="str">
            <v>Починков Михаил Юрьевич</v>
          </cell>
          <cell r="D1062" t="str">
            <v>электрослесарь (слесарь) дежурный и по ремонту оборудования</v>
          </cell>
          <cell r="E1062" t="str">
            <v>ГБ 2010104 243594</v>
          </cell>
          <cell r="F1062">
            <v>1497.7</v>
          </cell>
          <cell r="G1062">
            <v>1269.5899999999999</v>
          </cell>
          <cell r="H1062">
            <v>1564.75</v>
          </cell>
        </row>
        <row r="1063">
          <cell r="E1063">
            <v>73420360767094</v>
          </cell>
          <cell r="F1063">
            <v>1846.4</v>
          </cell>
          <cell r="G1063">
            <v>1564.75</v>
          </cell>
          <cell r="H1063">
            <v>0</v>
          </cell>
        </row>
        <row r="1064">
          <cell r="C1064" t="str">
            <v>Прима Николай Алексеевич</v>
          </cell>
          <cell r="D1064" t="str">
            <v>Слесарь по ремонту оборудования</v>
          </cell>
          <cell r="E1064" t="str">
            <v>АП2010037 312762</v>
          </cell>
          <cell r="F1064">
            <v>1933.4</v>
          </cell>
          <cell r="G1064">
            <v>1638.82</v>
          </cell>
          <cell r="H1064">
            <v>0</v>
          </cell>
        </row>
        <row r="1065">
          <cell r="C1065" t="str">
            <v>Прокошев Евгений Евгеньевич</v>
          </cell>
          <cell r="D1065" t="str">
            <v>электрогазосварщик занятый на резке и ручной сварке о/г.р.</v>
          </cell>
          <cell r="E1065" t="str">
            <v>АК 2010033 050493</v>
          </cell>
          <cell r="F1065">
            <v>2194.8000000000002</v>
          </cell>
          <cell r="G1065">
            <v>1860.34</v>
          </cell>
          <cell r="H1065">
            <v>1491.2</v>
          </cell>
        </row>
        <row r="1066">
          <cell r="E1066" t="str">
            <v>АК 2010033 050494</v>
          </cell>
          <cell r="F1066">
            <v>1759.2</v>
          </cell>
          <cell r="G1066">
            <v>1491.2</v>
          </cell>
          <cell r="H1066">
            <v>0</v>
          </cell>
        </row>
        <row r="1067">
          <cell r="C1067" t="str">
            <v>Пудов Алексей Владимирович</v>
          </cell>
          <cell r="D1067" t="str">
            <v xml:space="preserve">горнорабочий </v>
          </cell>
          <cell r="E1067" t="str">
            <v>ЕГ 2010157 714288</v>
          </cell>
          <cell r="F1067">
            <v>1497.7</v>
          </cell>
          <cell r="G1067">
            <v>1269.5899999999999</v>
          </cell>
          <cell r="H1067">
            <v>0</v>
          </cell>
        </row>
        <row r="1068">
          <cell r="C1068" t="str">
            <v>Пятак Виталий Сергеевич</v>
          </cell>
          <cell r="D1068" t="str">
            <v>электрогазосварщик занятый на резке и ручной сварке о/г.р.</v>
          </cell>
          <cell r="E1068" t="str">
            <v>ЕГ 2010157 714241</v>
          </cell>
          <cell r="F1068">
            <v>1497.7</v>
          </cell>
          <cell r="G1068">
            <v>1269.5899999999999</v>
          </cell>
          <cell r="H1068">
            <v>1121.96</v>
          </cell>
        </row>
        <row r="1069">
          <cell r="E1069" t="str">
            <v>БЭ 2010074 902565</v>
          </cell>
          <cell r="F1069">
            <v>1323.5</v>
          </cell>
          <cell r="G1069">
            <v>1121.96</v>
          </cell>
          <cell r="H1069">
            <v>0</v>
          </cell>
        </row>
        <row r="1070">
          <cell r="C1070" t="str">
            <v>Рожков Александр Викторович</v>
          </cell>
          <cell r="D1070" t="str">
            <v xml:space="preserve">горнорабочий </v>
          </cell>
          <cell r="E1070" t="str">
            <v>ЮЭ 2010697 045663</v>
          </cell>
          <cell r="F1070">
            <v>1671.7</v>
          </cell>
          <cell r="G1070">
            <v>1417.04</v>
          </cell>
          <cell r="H1070">
            <v>1101.96</v>
          </cell>
        </row>
        <row r="1071">
          <cell r="E1071" t="str">
            <v>ЮЭ 2010697 045346</v>
          </cell>
          <cell r="F1071">
            <v>1299.9000000000001</v>
          </cell>
          <cell r="G1071">
            <v>1101.96</v>
          </cell>
          <cell r="H1071">
            <v>0</v>
          </cell>
        </row>
        <row r="1072">
          <cell r="C1072" t="str">
            <v>Романов Владимир Вячеславович</v>
          </cell>
          <cell r="D1072" t="str">
            <v>электрогазосварщик занятый на резке и ручной сварке о/г.р.</v>
          </cell>
          <cell r="E1072" t="str">
            <v>ВЛ 2010086 548761</v>
          </cell>
          <cell r="F1072">
            <v>2090.4</v>
          </cell>
          <cell r="G1072">
            <v>1771.87</v>
          </cell>
          <cell r="H1072">
            <v>1491.2</v>
          </cell>
        </row>
        <row r="1073">
          <cell r="E1073" t="str">
            <v>АК 2010033 047711</v>
          </cell>
          <cell r="F1073">
            <v>1759.2</v>
          </cell>
          <cell r="G1073">
            <v>1491.2</v>
          </cell>
          <cell r="H1073">
            <v>0</v>
          </cell>
        </row>
        <row r="1074">
          <cell r="C1074" t="str">
            <v>Рыковский Сергей Викторович</v>
          </cell>
          <cell r="D1074" t="str">
            <v>проходчик на поверхностных работах</v>
          </cell>
          <cell r="E1074" t="str">
            <v>ЮЭ 2010697 911408</v>
          </cell>
          <cell r="F1074">
            <v>1410.4</v>
          </cell>
          <cell r="G1074">
            <v>1195.5999999999999</v>
          </cell>
          <cell r="H1074">
            <v>0</v>
          </cell>
        </row>
        <row r="1075">
          <cell r="C1075" t="str">
            <v>Рытов Александр Иванович</v>
          </cell>
          <cell r="D1075" t="str">
            <v>электрогазосварщик занятый на резке и ручной сварке о/г.р.</v>
          </cell>
          <cell r="E1075" t="str">
            <v>ЯИ 2010707 811683</v>
          </cell>
          <cell r="F1075">
            <v>3083.7</v>
          </cell>
          <cell r="G1075">
            <v>2613.65</v>
          </cell>
          <cell r="H1075">
            <v>2192.73</v>
          </cell>
        </row>
        <row r="1076">
          <cell r="E1076" t="str">
            <v>ЯИ 2010707 811684</v>
          </cell>
          <cell r="F1076">
            <v>2587</v>
          </cell>
          <cell r="G1076">
            <v>2192.73</v>
          </cell>
          <cell r="H1076">
            <v>0</v>
          </cell>
        </row>
        <row r="1077">
          <cell r="C1077" t="str">
            <v>Самаров Сергей Иванович</v>
          </cell>
          <cell r="D1077" t="str">
            <v>электрогазосварщик занятый на резке и ручной сварке о/г.р.</v>
          </cell>
          <cell r="E1077" t="str">
            <v>С 2007014 812747</v>
          </cell>
          <cell r="F1077">
            <v>1396.3</v>
          </cell>
          <cell r="G1077">
            <v>1183.6600000000001</v>
          </cell>
          <cell r="H1077">
            <v>0</v>
          </cell>
        </row>
        <row r="1078">
          <cell r="C1078" t="str">
            <v>Самсонов Геннадий Владимирович</v>
          </cell>
          <cell r="D1078" t="str">
            <v>электрогазосварщик занятый на резке и ручной сварке о/г.р.</v>
          </cell>
          <cell r="E1078" t="str">
            <v>ГЕ 2010108 884617</v>
          </cell>
          <cell r="F1078">
            <v>1323.5</v>
          </cell>
          <cell r="G1078">
            <v>1121.96</v>
          </cell>
          <cell r="H1078">
            <v>1101.96</v>
          </cell>
        </row>
        <row r="1079">
          <cell r="E1079" t="str">
            <v>ЮЭ 2010697 045743</v>
          </cell>
          <cell r="F1079">
            <v>1299.9000000000001</v>
          </cell>
          <cell r="G1079">
            <v>1101.96</v>
          </cell>
          <cell r="H1079">
            <v>0</v>
          </cell>
        </row>
        <row r="1080">
          <cell r="C1080" t="str">
            <v>Сиднеков Олег Анатольевич</v>
          </cell>
          <cell r="D1080" t="str">
            <v>электрогазосварщик, занятый на резке и ручной сварке</v>
          </cell>
          <cell r="E1080" t="str">
            <v>ГБ 2010104 256418</v>
          </cell>
          <cell r="F1080">
            <v>2142.6999999999998</v>
          </cell>
          <cell r="G1080">
            <v>1892.82</v>
          </cell>
          <cell r="H1080">
            <v>0</v>
          </cell>
        </row>
        <row r="1081">
          <cell r="C1081" t="str">
            <v>Синцов Дмитрий Александрович</v>
          </cell>
          <cell r="D1081" t="str">
            <v>электрогазосварщик, занятый на резке и ручной сварке</v>
          </cell>
          <cell r="E1081" t="str">
            <v>ЧБ 2010571 781051</v>
          </cell>
          <cell r="F1081">
            <v>1443.6</v>
          </cell>
          <cell r="G1081">
            <v>1223.74</v>
          </cell>
          <cell r="H1081">
            <v>1034.5</v>
          </cell>
        </row>
        <row r="1082">
          <cell r="E1082" t="str">
            <v>АП 2010037  961461</v>
          </cell>
          <cell r="F1082">
            <v>1220.3</v>
          </cell>
          <cell r="G1082">
            <v>1034.5</v>
          </cell>
          <cell r="H1082">
            <v>0</v>
          </cell>
        </row>
        <row r="1083">
          <cell r="C1083" t="str">
            <v>Сирота Александр Лазаревич</v>
          </cell>
          <cell r="D1083" t="str">
            <v>машинист компрессорных установок</v>
          </cell>
          <cell r="E1083" t="str">
            <v>ВЛ 2010086 294083</v>
          </cell>
          <cell r="F1083">
            <v>1933.4</v>
          </cell>
          <cell r="G1083">
            <v>1638.82</v>
          </cell>
          <cell r="H1083">
            <v>1638.82</v>
          </cell>
        </row>
        <row r="1084">
          <cell r="E1084" t="str">
            <v>АП 2010037 356439</v>
          </cell>
          <cell r="F1084">
            <v>1933.4</v>
          </cell>
          <cell r="G1084">
            <v>1638.82</v>
          </cell>
          <cell r="H1084">
            <v>0</v>
          </cell>
        </row>
        <row r="1085">
          <cell r="C1085" t="str">
            <v>Соломенцев Валерий Викторович</v>
          </cell>
          <cell r="D1085" t="str">
            <v>электрогазосварщик, занятый на резке и ручной сварке</v>
          </cell>
          <cell r="E1085" t="str">
            <v>ЮЭ 2010697 948645</v>
          </cell>
          <cell r="F1085">
            <v>1323.5</v>
          </cell>
          <cell r="G1085">
            <v>1121.96</v>
          </cell>
          <cell r="H1085">
            <v>1101.96</v>
          </cell>
        </row>
        <row r="1086">
          <cell r="E1086" t="str">
            <v>ГЕ 2010108 885335</v>
          </cell>
          <cell r="F1086">
            <v>1299.9000000000001</v>
          </cell>
          <cell r="G1086">
            <v>1101.96</v>
          </cell>
          <cell r="H1086">
            <v>0</v>
          </cell>
        </row>
        <row r="1087">
          <cell r="C1087" t="str">
            <v>Степанов Николай Григорьевич</v>
          </cell>
          <cell r="D1087" t="str">
            <v>проходчик на поверхностных работах</v>
          </cell>
          <cell r="E1087" t="str">
            <v>ГБ 2010104 243417</v>
          </cell>
          <cell r="F1087">
            <v>1410.4</v>
          </cell>
          <cell r="G1087">
            <v>1195.5999999999999</v>
          </cell>
          <cell r="H1087">
            <v>0</v>
          </cell>
        </row>
        <row r="1088">
          <cell r="C1088" t="str">
            <v>Степовой Юрий Анатольевич</v>
          </cell>
          <cell r="D1088" t="str">
            <v>электрогазосварщик, занятый на резке и ручной сварке</v>
          </cell>
          <cell r="E1088" t="str">
            <v>АЕ 2010030 521257</v>
          </cell>
          <cell r="F1088">
            <v>3083.7</v>
          </cell>
          <cell r="G1088">
            <v>2613.65</v>
          </cell>
          <cell r="H1088">
            <v>0</v>
          </cell>
        </row>
        <row r="1089">
          <cell r="C1089" t="str">
            <v>Стетюха Сергей Анатольевич</v>
          </cell>
          <cell r="D1089" t="str">
            <v>электрогазосварщик, занятый на резке и ручной сварке</v>
          </cell>
          <cell r="E1089" t="str">
            <v>ЮЭ 2010697 045363</v>
          </cell>
          <cell r="F1089">
            <v>1567.4</v>
          </cell>
          <cell r="G1089">
            <v>1328.65</v>
          </cell>
          <cell r="H1089">
            <v>1121.96</v>
          </cell>
        </row>
        <row r="1090">
          <cell r="E1090" t="str">
            <v>ГЕ 2010108 885372</v>
          </cell>
          <cell r="F1090">
            <v>1323.5</v>
          </cell>
          <cell r="G1090">
            <v>1121.96</v>
          </cell>
          <cell r="H1090">
            <v>0</v>
          </cell>
        </row>
        <row r="1091">
          <cell r="C1091" t="str">
            <v>Стерляжников Александр Яковлевич</v>
          </cell>
          <cell r="D1091" t="str">
            <v>электрослесарь (слесарь) дежурный и по ремонту оборудования</v>
          </cell>
          <cell r="E1091" t="str">
            <v>АС 2010039 828549</v>
          </cell>
          <cell r="F1091">
            <v>1933.4</v>
          </cell>
          <cell r="G1091">
            <v>1638.82</v>
          </cell>
          <cell r="H1091">
            <v>0</v>
          </cell>
        </row>
        <row r="1092">
          <cell r="C1092" t="str">
            <v>Стешенко Александр Владимирович</v>
          </cell>
          <cell r="D1092" t="str">
            <v>электрогазосварщик, занятый на резке и ручной сварке</v>
          </cell>
          <cell r="E1092" t="str">
            <v>Р 2007013 891795</v>
          </cell>
          <cell r="F1092">
            <v>1497.7</v>
          </cell>
          <cell r="G1092">
            <v>1269.5899999999999</v>
          </cell>
          <cell r="H1092">
            <v>0</v>
          </cell>
        </row>
        <row r="1093">
          <cell r="C1093" t="str">
            <v>Сухляк Юрий Алексеевич</v>
          </cell>
          <cell r="D1093" t="str">
            <v>электрогазосварщик, занятый на резке и ручной сварке</v>
          </cell>
          <cell r="E1093" t="str">
            <v>ВЛ 2010086 552655</v>
          </cell>
          <cell r="F1093">
            <v>1759.2</v>
          </cell>
          <cell r="G1093">
            <v>1491.2</v>
          </cell>
          <cell r="H1093">
            <v>1491.2</v>
          </cell>
        </row>
        <row r="1094">
          <cell r="E1094" t="str">
            <v>С 2007014 119692</v>
          </cell>
          <cell r="F1094">
            <v>1759.2</v>
          </cell>
          <cell r="G1094">
            <v>1491.2</v>
          </cell>
          <cell r="H1094">
            <v>0</v>
          </cell>
        </row>
        <row r="1095">
          <cell r="C1095" t="str">
            <v>Тарабановский Андрей Викторович</v>
          </cell>
          <cell r="D1095" t="str">
            <v>электрослесарь (слесарь) дежурный и по ремонту оборудования</v>
          </cell>
          <cell r="E1095" t="str">
            <v>ЧБ 2010571 781142</v>
          </cell>
          <cell r="F1095">
            <v>1323.5</v>
          </cell>
          <cell r="G1095">
            <v>1121.96</v>
          </cell>
          <cell r="H1095">
            <v>1034.5</v>
          </cell>
        </row>
        <row r="1096">
          <cell r="E1096" t="str">
            <v>АС 2010039 843962</v>
          </cell>
          <cell r="F1096">
            <v>1220.3</v>
          </cell>
          <cell r="G1096">
            <v>1034.5</v>
          </cell>
          <cell r="H1096">
            <v>0</v>
          </cell>
        </row>
        <row r="1097">
          <cell r="C1097" t="str">
            <v>Татевосян Арсен Георгиевич</v>
          </cell>
          <cell r="D1097" t="str">
            <v>электрогазосварщик, занятый на резке и ручной сварке</v>
          </cell>
          <cell r="E1097" t="str">
            <v>АК 2010033 053159</v>
          </cell>
          <cell r="F1097">
            <v>1846.4</v>
          </cell>
          <cell r="G1097">
            <v>1565.1</v>
          </cell>
          <cell r="H1097">
            <v>1491.2</v>
          </cell>
        </row>
        <row r="1098">
          <cell r="E1098" t="str">
            <v>С 2007014 119693</v>
          </cell>
          <cell r="F1098">
            <v>1759.2</v>
          </cell>
          <cell r="G1098">
            <v>1491.2</v>
          </cell>
          <cell r="H1098">
            <v>0</v>
          </cell>
        </row>
        <row r="1099">
          <cell r="C1099" t="str">
            <v>Тилов Мухажир Камалович</v>
          </cell>
          <cell r="D1099" t="str">
            <v>электросварщик ручной сварки</v>
          </cell>
          <cell r="E1099" t="str">
            <v>ВЛ 2010086 295065</v>
          </cell>
          <cell r="F1099">
            <v>1933.4</v>
          </cell>
          <cell r="G1099">
            <v>1638.82</v>
          </cell>
          <cell r="H1099">
            <v>0</v>
          </cell>
        </row>
        <row r="1100">
          <cell r="C1100" t="str">
            <v>Толиченко Максим Станиславович</v>
          </cell>
          <cell r="D1100" t="str">
            <v>электрогазосварщик, занятый на резке и ручной сварке</v>
          </cell>
          <cell r="E1100" t="str">
            <v>ЮМ 2010684 510642</v>
          </cell>
          <cell r="F1100">
            <v>1497.7</v>
          </cell>
          <cell r="G1100">
            <v>1269.5899999999999</v>
          </cell>
          <cell r="H1100">
            <v>0</v>
          </cell>
        </row>
        <row r="1101">
          <cell r="C1101" t="str">
            <v>Улецкий Геннадий Гаврилович</v>
          </cell>
          <cell r="D1101" t="str">
            <v>электросварщик ручной сварки</v>
          </cell>
          <cell r="E1101" t="str">
            <v>ЮЭ 2010697 045483</v>
          </cell>
          <cell r="F1101">
            <v>1567.4</v>
          </cell>
          <cell r="G1101">
            <v>1328.65</v>
          </cell>
          <cell r="H1101">
            <v>1101.96</v>
          </cell>
        </row>
        <row r="1102">
          <cell r="E1102" t="str">
            <v>ЮЭ 2010697 045484</v>
          </cell>
          <cell r="F1102">
            <v>1299.9000000000001</v>
          </cell>
          <cell r="G1102">
            <v>1101.96</v>
          </cell>
          <cell r="H1102">
            <v>0</v>
          </cell>
        </row>
        <row r="1103">
          <cell r="C1103" t="str">
            <v>Федоров Алексей Алексеевич</v>
          </cell>
          <cell r="D1103" t="str">
            <v>электрослесарь дежурный и по ремонту оборудования</v>
          </cell>
          <cell r="E1103" t="str">
            <v>АК 2010033 140912</v>
          </cell>
          <cell r="F1103">
            <v>3240.4</v>
          </cell>
          <cell r="G1103">
            <v>2746.45</v>
          </cell>
          <cell r="H1103">
            <v>2192.73</v>
          </cell>
        </row>
        <row r="1104">
          <cell r="E1104" t="str">
            <v>С 2007014 105740</v>
          </cell>
          <cell r="F1104">
            <v>2587</v>
          </cell>
          <cell r="G1104">
            <v>2192.73</v>
          </cell>
          <cell r="H1104">
            <v>0</v>
          </cell>
        </row>
        <row r="1105">
          <cell r="C1105" t="str">
            <v>Федоров Александр Иванович</v>
          </cell>
          <cell r="D1105" t="str">
            <v>электрослесарь дежурный и по ремонту оборудования</v>
          </cell>
          <cell r="E1105" t="str">
            <v>БЭ 2010074 704263</v>
          </cell>
          <cell r="F1105">
            <v>813.5</v>
          </cell>
          <cell r="G1105">
            <v>689.41</v>
          </cell>
          <cell r="H1105">
            <v>0</v>
          </cell>
        </row>
        <row r="1106">
          <cell r="C1106" t="str">
            <v>Федоров Игорь Александрович</v>
          </cell>
          <cell r="D1106" t="str">
            <v>проходчик на поверхностных работах</v>
          </cell>
          <cell r="E1106" t="str">
            <v>ЮЭ 2010697 948644</v>
          </cell>
          <cell r="F1106">
            <v>1323.5</v>
          </cell>
          <cell r="G1106">
            <v>1121.96</v>
          </cell>
          <cell r="H1106">
            <v>0</v>
          </cell>
        </row>
        <row r="1107">
          <cell r="C1107" t="str">
            <v>Фефилов Валерий Леонидович</v>
          </cell>
          <cell r="D1107" t="str">
            <v>электрослесарь дежурный и по ремонту оборудования</v>
          </cell>
          <cell r="E1107" t="str">
            <v>ЮМ 2010684 418322</v>
          </cell>
          <cell r="F1107">
            <v>1323.5</v>
          </cell>
          <cell r="G1107">
            <v>1121.96</v>
          </cell>
          <cell r="H1107">
            <v>0</v>
          </cell>
        </row>
        <row r="1108">
          <cell r="C1108" t="str">
            <v>Фомин Алексей Николаевич</v>
          </cell>
          <cell r="D1108" t="str">
            <v>проходчик на поверхностных работах</v>
          </cell>
          <cell r="E1108" t="str">
            <v>ЮМ 2010684 419532</v>
          </cell>
          <cell r="F1108">
            <v>1567.4</v>
          </cell>
          <cell r="G1108">
            <v>1328.65</v>
          </cell>
          <cell r="H1108">
            <v>0</v>
          </cell>
        </row>
        <row r="1109">
          <cell r="C1109" t="str">
            <v>Харлампьев Валентин Юрьевич</v>
          </cell>
          <cell r="D1109" t="str">
            <v>проходчик на поверхностных работах</v>
          </cell>
          <cell r="E1109" t="str">
            <v>ГВ 2010105 485201</v>
          </cell>
          <cell r="F1109">
            <v>3397.3</v>
          </cell>
          <cell r="G1109">
            <v>2879.42</v>
          </cell>
          <cell r="H1109">
            <v>2414.16</v>
          </cell>
        </row>
        <row r="1110">
          <cell r="E1110" t="str">
            <v>АС 2010039 809462</v>
          </cell>
          <cell r="F1110">
            <v>2848.3</v>
          </cell>
          <cell r="G1110">
            <v>2414.16</v>
          </cell>
          <cell r="H1110">
            <v>0</v>
          </cell>
        </row>
        <row r="1111">
          <cell r="C1111" t="str">
            <v>Чайко Александр Тимофеевич</v>
          </cell>
          <cell r="D1111" t="str">
            <v>элекрогазосварщик занятый на резке и ручной сварке о/г.р.</v>
          </cell>
          <cell r="E1111" t="str">
            <v>ЕВ 2010156 993604</v>
          </cell>
          <cell r="F1111">
            <v>1846.4</v>
          </cell>
          <cell r="G1111">
            <v>1565.1</v>
          </cell>
          <cell r="H1111">
            <v>1565.1</v>
          </cell>
        </row>
        <row r="1112">
          <cell r="E1112" t="str">
            <v>С 2007014 802783</v>
          </cell>
          <cell r="F1112">
            <v>1846.4</v>
          </cell>
          <cell r="G1112">
            <v>1565.1</v>
          </cell>
          <cell r="H1112">
            <v>0</v>
          </cell>
        </row>
        <row r="1113">
          <cell r="C1113" t="str">
            <v>Черновол Анатолий Алексеевич</v>
          </cell>
          <cell r="D1113" t="str">
            <v>электрослесарь (слесарь) дежурный и по ремонту оборудования</v>
          </cell>
          <cell r="E1113" t="str">
            <v>АИ 2010032 771696</v>
          </cell>
          <cell r="F1113">
            <v>2299.4</v>
          </cell>
          <cell r="G1113">
            <v>1948.99</v>
          </cell>
          <cell r="H1113">
            <v>1638.82</v>
          </cell>
        </row>
        <row r="1114">
          <cell r="E1114" t="str">
            <v>АП 2010037 952686</v>
          </cell>
          <cell r="F1114">
            <v>1933.4</v>
          </cell>
          <cell r="G1114">
            <v>1638.82</v>
          </cell>
          <cell r="H1114">
            <v>0</v>
          </cell>
        </row>
        <row r="1115">
          <cell r="C1115" t="str">
            <v>Чмиль Денис Сергеевич</v>
          </cell>
          <cell r="D1115" t="str">
            <v>проходчик на поверхностных работах</v>
          </cell>
          <cell r="E1115" t="str">
            <v>Р 2007013 712363</v>
          </cell>
          <cell r="F1115">
            <v>1323.5</v>
          </cell>
          <cell r="G1115">
            <v>1121.96</v>
          </cell>
          <cell r="H1115">
            <v>1034.5</v>
          </cell>
        </row>
        <row r="1116">
          <cell r="E1116" t="str">
            <v>С 2007014 118553</v>
          </cell>
          <cell r="F1116">
            <v>1220.3</v>
          </cell>
          <cell r="G1116">
            <v>1034.5</v>
          </cell>
          <cell r="H1116">
            <v>0</v>
          </cell>
        </row>
        <row r="1117">
          <cell r="C1117" t="str">
            <v>Чужиков Алексей Сергеевич</v>
          </cell>
          <cell r="D1117" t="str">
            <v>элекрогазосварщик занятый на резке и ручной сварке о/г.р.</v>
          </cell>
          <cell r="E1117" t="str">
            <v>ЯИ 2010707 811698</v>
          </cell>
          <cell r="F1117">
            <v>2982.3</v>
          </cell>
          <cell r="G1117">
            <v>2527.7199999999998</v>
          </cell>
          <cell r="H1117">
            <v>2303.4899999999998</v>
          </cell>
        </row>
        <row r="1118">
          <cell r="E1118" t="str">
            <v>АП 2010037  963935</v>
          </cell>
          <cell r="F1118">
            <v>2717.7</v>
          </cell>
          <cell r="G1118">
            <v>2303.4899999999998</v>
          </cell>
          <cell r="H1118">
            <v>0</v>
          </cell>
        </row>
        <row r="1119">
          <cell r="C1119" t="str">
            <v>Шакуров Дмитрий Алексеевич</v>
          </cell>
          <cell r="D1119" t="str">
            <v>элекрогазосварщик занятый на резке и ручной сварке о/г.р.</v>
          </cell>
          <cell r="E1119" t="str">
            <v>АЕ 2010030 521256</v>
          </cell>
          <cell r="F1119">
            <v>3083.7</v>
          </cell>
          <cell r="G1119">
            <v>2613.65</v>
          </cell>
          <cell r="H1119">
            <v>2192.73</v>
          </cell>
        </row>
        <row r="1120">
          <cell r="E1120" t="str">
            <v>АК 2010033 140713</v>
          </cell>
          <cell r="F1120">
            <v>2587</v>
          </cell>
          <cell r="G1120">
            <v>2192.73</v>
          </cell>
          <cell r="H1120">
            <v>0</v>
          </cell>
        </row>
        <row r="1121">
          <cell r="C1121" t="str">
            <v>Шарапова Оксана Михайловна</v>
          </cell>
          <cell r="D1121" t="str">
            <v>горнорабочий на маркшейдерских работах</v>
          </cell>
          <cell r="E1121" t="str">
            <v>ЭТ 2010663 842492</v>
          </cell>
          <cell r="F1121">
            <v>2674.6</v>
          </cell>
          <cell r="G1121">
            <v>2266.96</v>
          </cell>
          <cell r="H1121">
            <v>0</v>
          </cell>
        </row>
        <row r="1122">
          <cell r="C1122" t="str">
            <v>Шауэрман Валерий Валерьевич</v>
          </cell>
          <cell r="D1122" t="str">
            <v>проходчик на поверхностных работах</v>
          </cell>
          <cell r="E1122" t="str">
            <v>ЧБ 2010571 562825</v>
          </cell>
          <cell r="F1122">
            <v>3083.7</v>
          </cell>
          <cell r="G1122">
            <v>2613.65</v>
          </cell>
          <cell r="H1122">
            <v>0</v>
          </cell>
        </row>
        <row r="1123">
          <cell r="C1123" t="str">
            <v>Шеин Валерий Сергеевич</v>
          </cell>
          <cell r="D1123" t="str">
            <v>машинист компрессорных установок</v>
          </cell>
          <cell r="E1123" t="str">
            <v>ВЛ 2010086 293104</v>
          </cell>
          <cell r="F1123">
            <v>2299.4</v>
          </cell>
          <cell r="G1123">
            <v>1948.99</v>
          </cell>
          <cell r="H1123">
            <v>1638.82</v>
          </cell>
        </row>
        <row r="1124">
          <cell r="E1124" t="str">
            <v>АК 2010033 075550</v>
          </cell>
          <cell r="F1124">
            <v>1933.4</v>
          </cell>
          <cell r="G1124">
            <v>1638.82</v>
          </cell>
          <cell r="H1124">
            <v>1638.82</v>
          </cell>
        </row>
        <row r="1125">
          <cell r="E1125" t="str">
            <v>ВЛ 2010086 293472</v>
          </cell>
          <cell r="F1125">
            <v>1933.4</v>
          </cell>
          <cell r="G1125">
            <v>1638.82</v>
          </cell>
          <cell r="H1125">
            <v>0</v>
          </cell>
        </row>
        <row r="1126">
          <cell r="C1126" t="str">
            <v>Шеин Павел Валерьевич</v>
          </cell>
          <cell r="D1126" t="str">
            <v>проходчик на поверхностных работах</v>
          </cell>
          <cell r="E1126" t="str">
            <v>ЮМ 2010684 594874</v>
          </cell>
          <cell r="F1126">
            <v>1753.7</v>
          </cell>
          <cell r="G1126">
            <v>1561.39</v>
          </cell>
          <cell r="H1126">
            <v>0</v>
          </cell>
        </row>
        <row r="1127">
          <cell r="C1127" t="str">
            <v>Шиян Игорь Анатольевич</v>
          </cell>
          <cell r="D1127" t="str">
            <v>электрослесарь (слесарь) дежурный и по ремонту оборудования</v>
          </cell>
          <cell r="E1127" t="str">
            <v>ЧБ 2010571 781264</v>
          </cell>
          <cell r="F1127">
            <v>1323.5</v>
          </cell>
          <cell r="G1127">
            <v>1121.96</v>
          </cell>
          <cell r="H1127">
            <v>0</v>
          </cell>
        </row>
        <row r="1128">
          <cell r="C1128" t="str">
            <v>Шквира Славик Тамазович</v>
          </cell>
          <cell r="D1128" t="str">
            <v>электрогазосварщик, занятый на резке и ручной сварке</v>
          </cell>
          <cell r="E1128" t="str">
            <v>АК 2010033 140721</v>
          </cell>
          <cell r="F1128">
            <v>3083.7</v>
          </cell>
          <cell r="G1128">
            <v>2613.65</v>
          </cell>
          <cell r="H1128">
            <v>0</v>
          </cell>
        </row>
        <row r="1129">
          <cell r="C1129" t="str">
            <v>Юрьев Михаил Васильевич</v>
          </cell>
          <cell r="D1129" t="str">
            <v xml:space="preserve">горнорабочий </v>
          </cell>
          <cell r="E1129" t="str">
            <v>АИ 2010032 743707</v>
          </cell>
          <cell r="F1129">
            <v>2299.4</v>
          </cell>
          <cell r="G1129">
            <v>1948.99</v>
          </cell>
          <cell r="H1129">
            <v>0</v>
          </cell>
        </row>
        <row r="1130">
          <cell r="C1130" t="str">
            <v>Янченко Владимир Дмитриевич</v>
          </cell>
          <cell r="D1130" t="str">
            <v>электрогазосварщик, занятый на резке и ручной сварке</v>
          </cell>
          <cell r="E1130" t="str">
            <v>АК 2010033 140911</v>
          </cell>
          <cell r="F1130">
            <v>3240.4</v>
          </cell>
          <cell r="G1130">
            <v>2746.45</v>
          </cell>
          <cell r="H1130">
            <v>2192.73</v>
          </cell>
        </row>
        <row r="1131">
          <cell r="E1131" t="str">
            <v>С 2007014 105741</v>
          </cell>
          <cell r="F1131">
            <v>2587</v>
          </cell>
          <cell r="G1131">
            <v>2192.73</v>
          </cell>
          <cell r="H1131">
            <v>0</v>
          </cell>
        </row>
        <row r="1132">
          <cell r="H1132">
            <v>0</v>
          </cell>
        </row>
        <row r="1133">
          <cell r="C1133" t="str">
            <v>Пряников Евгений Александрович</v>
          </cell>
          <cell r="D1133" t="str">
            <v>Мастер РБУ</v>
          </cell>
          <cell r="E1133" t="str">
            <v>ГБ2010104 257434</v>
          </cell>
          <cell r="F1133">
            <v>2144.9</v>
          </cell>
          <cell r="G1133">
            <v>1895.02</v>
          </cell>
          <cell r="H1133">
            <v>0</v>
          </cell>
        </row>
        <row r="1134">
          <cell r="H1134">
            <v>0</v>
          </cell>
        </row>
        <row r="1135">
          <cell r="C1135" t="str">
            <v>Богомолов Николай Игоревич</v>
          </cell>
          <cell r="D1135" t="str">
            <v>Слесарь</v>
          </cell>
          <cell r="E1135" t="str">
            <v>ЮЭ2010697 681729</v>
          </cell>
          <cell r="F1135">
            <v>1618.3</v>
          </cell>
          <cell r="G1135">
            <v>1371.79</v>
          </cell>
          <cell r="H1135">
            <v>1491.2</v>
          </cell>
        </row>
        <row r="1136">
          <cell r="E1136" t="str">
            <v>БЭ2010074 130119</v>
          </cell>
          <cell r="F1136">
            <v>1759.2</v>
          </cell>
          <cell r="G1136">
            <v>1491.2</v>
          </cell>
          <cell r="H1136">
            <v>0</v>
          </cell>
        </row>
        <row r="1137">
          <cell r="C1137" t="str">
            <v>Буняк Андрей Владимирович</v>
          </cell>
          <cell r="D1137" t="str">
            <v>Электрогазосварщик, занятый на резке и ручной сварке</v>
          </cell>
          <cell r="E1137" t="str">
            <v>ГЕ2010108 885447</v>
          </cell>
          <cell r="F1137">
            <v>2717.7</v>
          </cell>
          <cell r="G1137">
            <v>2303.4899999999998</v>
          </cell>
          <cell r="H1137">
            <v>0</v>
          </cell>
        </row>
        <row r="1138">
          <cell r="C1138" t="str">
            <v>Ерохин Виктор Владимирович</v>
          </cell>
          <cell r="D1138" t="str">
            <v>Слесарь по КИП и автоматике</v>
          </cell>
          <cell r="E1138" t="str">
            <v>ВЛ2010086 539969</v>
          </cell>
          <cell r="F1138">
            <v>2587</v>
          </cell>
          <cell r="G1138">
            <v>2192.73</v>
          </cell>
          <cell r="H1138">
            <v>0</v>
          </cell>
        </row>
        <row r="1139">
          <cell r="C1139" t="str">
            <v>Сычевой Сергей Викторович</v>
          </cell>
          <cell r="D1139" t="str">
            <v>Моторист бетоносмесительных установок</v>
          </cell>
          <cell r="E1139" t="str">
            <v>ГЕ2010108 885446</v>
          </cell>
          <cell r="F1139">
            <v>2717.7</v>
          </cell>
          <cell r="G1139">
            <v>2303.4899999999998</v>
          </cell>
          <cell r="H1139">
            <v>0</v>
          </cell>
        </row>
        <row r="1140">
          <cell r="H1140">
            <v>0</v>
          </cell>
        </row>
        <row r="1141">
          <cell r="H1141">
            <v>0</v>
          </cell>
        </row>
        <row r="1142">
          <cell r="C1142" t="str">
            <v>Дьяковский Владимир Иванович</v>
          </cell>
          <cell r="D1142" t="str">
            <v>Машинист крана автомобильного</v>
          </cell>
          <cell r="E1142" t="str">
            <v>ВЛ2010086 243268</v>
          </cell>
          <cell r="F1142">
            <v>2259.1999999999998</v>
          </cell>
          <cell r="G1142">
            <v>1991.44</v>
          </cell>
          <cell r="H1142">
            <v>0</v>
          </cell>
        </row>
        <row r="1143">
          <cell r="C1143" t="str">
            <v>Зайцев Тимофей Иванович</v>
          </cell>
          <cell r="D1143" t="str">
            <v>Машинист крана автомобильного</v>
          </cell>
          <cell r="E1143" t="str">
            <v>ГЕ2010108 885343</v>
          </cell>
          <cell r="F1143">
            <v>2848.3</v>
          </cell>
          <cell r="G1143">
            <v>2414.16</v>
          </cell>
          <cell r="H1143">
            <v>0</v>
          </cell>
        </row>
        <row r="1144">
          <cell r="C1144" t="str">
            <v>Рыков Сергей Николаевич</v>
          </cell>
          <cell r="D1144" t="str">
            <v>Машинист крана автомобильного</v>
          </cell>
          <cell r="E1144" t="str">
            <v>ГБ2010104 551018</v>
          </cell>
          <cell r="F1144">
            <v>1140.5</v>
          </cell>
          <cell r="G1144">
            <v>966.87</v>
          </cell>
          <cell r="H1144">
            <v>0</v>
          </cell>
        </row>
        <row r="1145">
          <cell r="C1145" t="str">
            <v>Свининников Василий Александрович</v>
          </cell>
          <cell r="D1145" t="str">
            <v xml:space="preserve">Водитель погрузчиков,занятые погрузкой горной массы  </v>
          </cell>
          <cell r="E1145" t="str">
            <v>ЦН2010555 977570</v>
          </cell>
          <cell r="F1145">
            <v>2717.7</v>
          </cell>
          <cell r="G1145">
            <v>2304.4899999999998</v>
          </cell>
          <cell r="H1145">
            <v>0</v>
          </cell>
        </row>
        <row r="1146">
          <cell r="C1146" t="str">
            <v>Фильченко Сергей Михайлович</v>
          </cell>
          <cell r="D1146" t="str">
            <v xml:space="preserve">Водитель погрузчиков,занятые погрузкой горной массы  </v>
          </cell>
          <cell r="E1146" t="str">
            <v>ВЛ2010086 553693</v>
          </cell>
          <cell r="F1146">
            <v>2717.7</v>
          </cell>
          <cell r="G1146">
            <v>2303.4899999999998</v>
          </cell>
          <cell r="H1146">
            <v>0</v>
          </cell>
        </row>
        <row r="1147">
          <cell r="H1147">
            <v>0</v>
          </cell>
        </row>
        <row r="1148">
          <cell r="C1148" t="str">
            <v>Агафонов Андрей Андреевич</v>
          </cell>
          <cell r="D1148" t="str">
            <v>Водитель автомобиля</v>
          </cell>
          <cell r="E1148" t="str">
            <v>ГЕ2010108 884945</v>
          </cell>
          <cell r="F1148">
            <v>2717.7</v>
          </cell>
          <cell r="G1148">
            <v>2303.4899999999998</v>
          </cell>
          <cell r="H1148">
            <v>0</v>
          </cell>
        </row>
        <row r="1149">
          <cell r="C1149" t="str">
            <v>Жердев Руслан Геннадьевич</v>
          </cell>
          <cell r="D1149" t="str">
            <v>Водитель автомобиля</v>
          </cell>
          <cell r="E1149" t="str">
            <v>АЕ2010030 526812</v>
          </cell>
          <cell r="F1149">
            <v>2717.7</v>
          </cell>
          <cell r="G1149">
            <v>2303.4899999999998</v>
          </cell>
          <cell r="H1149">
            <v>0</v>
          </cell>
        </row>
        <row r="1150">
          <cell r="C1150" t="str">
            <v>Малухов Роман Сергеевич</v>
          </cell>
          <cell r="D1150" t="str">
            <v>Водитель автомобиля</v>
          </cell>
          <cell r="E1150" t="str">
            <v>ВЛ2010086 583836</v>
          </cell>
          <cell r="F1150">
            <v>1933.4</v>
          </cell>
          <cell r="G1150">
            <v>1638.82</v>
          </cell>
          <cell r="H1150">
            <v>0</v>
          </cell>
        </row>
        <row r="1151">
          <cell r="C1151" t="str">
            <v>Скрыпаль Андрей Викторович</v>
          </cell>
          <cell r="D1151" t="str">
            <v>Водитель автомобиля</v>
          </cell>
          <cell r="E1151" t="str">
            <v>ВЛ2010086 246519</v>
          </cell>
          <cell r="F1151">
            <v>2717.7</v>
          </cell>
          <cell r="G1151">
            <v>2303.4899999999998</v>
          </cell>
          <cell r="H1151">
            <v>0</v>
          </cell>
        </row>
        <row r="1152">
          <cell r="C1152" t="str">
            <v>Фищенко Александр Михайлович</v>
          </cell>
          <cell r="D1152" t="str">
            <v>Водитель автомобиля</v>
          </cell>
          <cell r="E1152" t="str">
            <v>ГЕ2010108 885331</v>
          </cell>
          <cell r="F1152">
            <v>1933.4</v>
          </cell>
          <cell r="G1152">
            <v>1638.82</v>
          </cell>
          <cell r="H1152">
            <v>0</v>
          </cell>
        </row>
        <row r="1153">
          <cell r="C1153" t="str">
            <v>Яньшин Александр Егорович</v>
          </cell>
          <cell r="D1153" t="str">
            <v>Водитель автомобиля</v>
          </cell>
          <cell r="E1153" t="str">
            <v>ВЛ2010086 248934</v>
          </cell>
          <cell r="F1153">
            <v>2848.3</v>
          </cell>
          <cell r="G1153">
            <v>2414.16</v>
          </cell>
          <cell r="H1153">
            <v>0</v>
          </cell>
        </row>
        <row r="1154">
          <cell r="H1154">
            <v>0</v>
          </cell>
        </row>
        <row r="1155">
          <cell r="C1155" t="str">
            <v>Рожновский Владимир Николаевич</v>
          </cell>
          <cell r="D1155" t="str">
            <v>Водитель автомобиля</v>
          </cell>
          <cell r="E1155" t="str">
            <v>АЕ2010030 526938</v>
          </cell>
          <cell r="F1155">
            <v>2717.7</v>
          </cell>
          <cell r="G1155">
            <v>2303.4899999999998</v>
          </cell>
          <cell r="H1155">
            <v>0</v>
          </cell>
        </row>
        <row r="1156">
          <cell r="H1156">
            <v>0</v>
          </cell>
        </row>
        <row r="1157">
          <cell r="C1157" t="str">
            <v>Костин Валерий Павлович</v>
          </cell>
          <cell r="D1157" t="str">
            <v>Водитель автобуса</v>
          </cell>
          <cell r="E1157" t="str">
            <v>ГБ2010104 622585</v>
          </cell>
          <cell r="F1157">
            <v>1410.4</v>
          </cell>
          <cell r="G1157">
            <v>1195.5999999999999</v>
          </cell>
          <cell r="H1157">
            <v>0</v>
          </cell>
        </row>
        <row r="1158">
          <cell r="H1158">
            <v>0</v>
          </cell>
        </row>
        <row r="1159">
          <cell r="H1159">
            <v>0</v>
          </cell>
        </row>
        <row r="1160">
          <cell r="C1160" t="str">
            <v>Мажугин Александр Петрович</v>
          </cell>
          <cell r="D1160" t="str">
            <v>Механик автомобильной колонны</v>
          </cell>
          <cell r="E1160" t="str">
            <v>ВЛ2010086 032678</v>
          </cell>
          <cell r="F1160">
            <v>2587</v>
          </cell>
          <cell r="G1160">
            <v>2193.5300000000002</v>
          </cell>
          <cell r="H1160">
            <v>0</v>
          </cell>
        </row>
        <row r="1161">
          <cell r="H1161">
            <v>0</v>
          </cell>
        </row>
        <row r="1162">
          <cell r="C1162" t="str">
            <v>Головченко Сергей Евгеньевич</v>
          </cell>
          <cell r="D1162" t="str">
            <v>Слесарь по ремонту автомобилей</v>
          </cell>
          <cell r="E1162" t="str">
            <v>ЦН2010555 973048</v>
          </cell>
          <cell r="F1162">
            <v>2717.7</v>
          </cell>
          <cell r="G1162">
            <v>2303.4899999999998</v>
          </cell>
          <cell r="H1162">
            <v>0</v>
          </cell>
        </row>
        <row r="1163">
          <cell r="C1163" t="str">
            <v>Усанов Михаил Юрьевич</v>
          </cell>
          <cell r="D1163" t="str">
            <v>Слесарь по ремонту автомобилей</v>
          </cell>
          <cell r="E1163" t="str">
            <v>ВЛ2010086 552290</v>
          </cell>
          <cell r="F1163">
            <v>1759.2</v>
          </cell>
          <cell r="G1163">
            <v>1491.2</v>
          </cell>
          <cell r="H1163">
            <v>0</v>
          </cell>
        </row>
        <row r="1164">
          <cell r="H1164">
            <v>0</v>
          </cell>
        </row>
        <row r="1165">
          <cell r="C1165" t="str">
            <v>Горохова Алена Николаевна</v>
          </cell>
          <cell r="D1165" t="str">
            <v>Инженер-лаборант</v>
          </cell>
          <cell r="E1165" t="str">
            <v>ЕВ2010156 957659</v>
          </cell>
          <cell r="F1165">
            <v>2848.3</v>
          </cell>
          <cell r="G1165">
            <v>2414.16</v>
          </cell>
          <cell r="H1165">
            <v>2879.42</v>
          </cell>
        </row>
        <row r="1166">
          <cell r="E1166" t="str">
            <v>ЕВ2010156 957658</v>
          </cell>
          <cell r="F1166">
            <v>3397.3</v>
          </cell>
          <cell r="G1166">
            <v>2879.42</v>
          </cell>
          <cell r="H1166">
            <v>0</v>
          </cell>
        </row>
        <row r="1167">
          <cell r="C1167" t="str">
            <v>Карпенко Любовь Валентиновна</v>
          </cell>
          <cell r="D1167" t="str">
            <v>Инженер II категории</v>
          </cell>
          <cell r="E1167" t="str">
            <v>5556126 354551</v>
          </cell>
          <cell r="F1167">
            <v>2616.3000000000002</v>
          </cell>
          <cell r="G1167">
            <v>2217.1999999999998</v>
          </cell>
          <cell r="H1167">
            <v>2217.1999999999998</v>
          </cell>
        </row>
        <row r="1168">
          <cell r="E1168" t="str">
            <v>823612 505401</v>
          </cell>
          <cell r="F1168">
            <v>2616.3000000000002</v>
          </cell>
          <cell r="G1168">
            <v>2217.1999999999998</v>
          </cell>
          <cell r="H1168">
            <v>0</v>
          </cell>
        </row>
        <row r="1175">
          <cell r="H1175">
            <v>0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ах(б)"/>
      <sheetName val="эл т"/>
      <sheetName val="вах(т)"/>
      <sheetName val="#ССЫЛКА"/>
      <sheetName val="июнь ТО-45"/>
      <sheetName val="C.с  (2)"/>
      <sheetName val="инд. 2кв. 09г. ДОП 1"/>
    </sheetNames>
    <sheetDataSet>
      <sheetData sheetId="0" refreshError="1">
        <row r="37">
          <cell r="E37">
            <v>15856.866666666667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ороги"/>
      <sheetName val="Сети"/>
      <sheetName val="Площадки"/>
      <sheetName val="база"/>
      <sheetName val="Коэффициенты"/>
    </sheetNames>
    <sheetDataSet>
      <sheetData sheetId="0" refreshError="1"/>
      <sheetData sheetId="1"/>
      <sheetData sheetId="2" refreshError="1"/>
      <sheetData sheetId="3">
        <row r="1">
          <cell r="A1" t="str">
            <v xml:space="preserve"> </v>
          </cell>
          <cell r="E1" t="str">
            <v xml:space="preserve"> </v>
          </cell>
        </row>
        <row r="2">
          <cell r="A2" t="str">
            <v>ООО "Институт Каналстройпроект"</v>
          </cell>
          <cell r="E2" t="str">
            <v>Моськин В.А.</v>
          </cell>
          <cell r="G2" t="str">
            <v>Исполнительная смета № 1</v>
          </cell>
          <cell r="J2" t="str">
            <v>стадия П</v>
          </cell>
        </row>
        <row r="3">
          <cell r="A3" t="str">
            <v>ЗАО "Капстройпроект"</v>
          </cell>
          <cell r="E3" t="str">
            <v>Лысов А.Е.</v>
          </cell>
          <cell r="G3" t="str">
            <v>Cмета № 1</v>
          </cell>
          <cell r="J3" t="str">
            <v>стадия РД</v>
          </cell>
        </row>
        <row r="4">
          <cell r="A4" t="str">
            <v>ООО "Каналсетьпроект"</v>
          </cell>
          <cell r="E4" t="str">
            <v>Четыркина Г.В.</v>
          </cell>
          <cell r="G4" t="str">
            <v>Исполнительная смета № 2</v>
          </cell>
        </row>
        <row r="5">
          <cell r="A5" t="str">
            <v>ЗАО "Гендирекция Центр"</v>
          </cell>
          <cell r="E5" t="str">
            <v>Шлячков Д.</v>
          </cell>
          <cell r="G5" t="str">
            <v>Cмета № 2</v>
          </cell>
        </row>
        <row r="6">
          <cell r="A6" t="str">
            <v>ЗАО "ТУКС - 4"</v>
          </cell>
          <cell r="E6" t="str">
            <v>Шувалов Д.Ю.</v>
          </cell>
          <cell r="G6" t="str">
            <v>Исполнительная смета № 3</v>
          </cell>
        </row>
        <row r="7">
          <cell r="A7" t="str">
            <v>ЗАО "ТУКС - 2"</v>
          </cell>
          <cell r="E7" t="str">
            <v>Сагаев Р.Б.</v>
          </cell>
          <cell r="G7" t="str">
            <v>Cмета № 3</v>
          </cell>
        </row>
        <row r="8">
          <cell r="A8" t="str">
            <v>ЗАО "ТУКС - 1"</v>
          </cell>
        </row>
        <row r="9">
          <cell r="A9" t="str">
            <v>ЗАО "ТУКС - 3"</v>
          </cell>
        </row>
        <row r="10">
          <cell r="A10" t="str">
            <v>ЗАО "ТУКС № 7 ЮВ"</v>
          </cell>
        </row>
        <row r="11">
          <cell r="A11" t="str">
            <v>ГУП "Моссвет"</v>
          </cell>
        </row>
        <row r="12">
          <cell r="A12" t="str">
            <v>ЗАО "Альстрой"</v>
          </cell>
        </row>
        <row r="13">
          <cell r="A13" t="str">
            <v>ООО "Архинж"</v>
          </cell>
        </row>
        <row r="14">
          <cell r="A14" t="str">
            <v>МГУП "Мосводоканал УКС ГТС"</v>
          </cell>
        </row>
        <row r="15">
          <cell r="A15" t="str">
            <v>ПУНС МГП "Мосводоканал"</v>
          </cell>
        </row>
        <row r="16">
          <cell r="A16" t="str">
            <v>ЗАО "УКС"</v>
          </cell>
        </row>
        <row r="17">
          <cell r="A17" t="str">
            <v>ЗАО "УКС объектов здравоохранения"</v>
          </cell>
        </row>
        <row r="18">
          <cell r="A18" t="str">
            <v>ООО "Зеленоградкапстрой"</v>
          </cell>
        </row>
        <row r="19">
          <cell r="A19" t="str">
            <v>ГУП МНИИП "Моспроект-4"</v>
          </cell>
        </row>
        <row r="20">
          <cell r="A20" t="str">
            <v>ЗАО "Дон-строй"</v>
          </cell>
        </row>
        <row r="21">
          <cell r="A21" t="str">
            <v>ООО "Региональная финансово-строительная компания"</v>
          </cell>
        </row>
        <row r="22">
          <cell r="A22" t="str">
            <v>ООО "ПИК Инвест"</v>
          </cell>
        </row>
        <row r="23">
          <cell r="A23" t="str">
            <v>ЗАО "Инвестстрой"</v>
          </cell>
        </row>
        <row r="24">
          <cell r="A24" t="str">
            <v>ООО  ОКС "СУ-155"</v>
          </cell>
        </row>
        <row r="25">
          <cell r="A25" t="str">
            <v>ООО "Фирма Вершина"</v>
          </cell>
        </row>
        <row r="26">
          <cell r="A26" t="str">
            <v>ООО "АПЦ "Проспроект"</v>
          </cell>
        </row>
        <row r="27">
          <cell r="A27" t="str">
            <v>ОАО "Метрогипротранс"</v>
          </cell>
        </row>
        <row r="28">
          <cell r="A28" t="str">
            <v>ООО ПСФ "КРОСТ"</v>
          </cell>
        </row>
        <row r="29">
          <cell r="A29" t="str">
            <v>УКС ГУП "Мосгаз"</v>
          </cell>
        </row>
        <row r="30">
          <cell r="A30" t="str">
            <v>ООО "Межрегиональный союз строителей"</v>
          </cell>
        </row>
        <row r="31">
          <cell r="A31" t="str">
            <v>ООО "Жилкапстрой"</v>
          </cell>
        </row>
        <row r="32">
          <cell r="A32" t="str">
            <v>ЗАО "УКС ИКС и Д"</v>
          </cell>
        </row>
        <row r="33">
          <cell r="A33" t="str">
            <v>ГУП "Мосинжпроект"</v>
          </cell>
        </row>
        <row r="34">
          <cell r="A34" t="str">
            <v>ООО "Жилкапстрой"</v>
          </cell>
        </row>
        <row r="35">
          <cell r="A35" t="str">
            <v>ООО "СветоСервиС"</v>
          </cell>
        </row>
        <row r="36">
          <cell r="A36" t="str">
            <v>ООО "МНПП СВЭН"</v>
          </cell>
        </row>
        <row r="37">
          <cell r="A37" t="str">
            <v>ЗАО "СОРВиК"</v>
          </cell>
        </row>
        <row r="38">
          <cell r="A38" t="str">
            <v>ЗАО "ИНЖПРОЕКТСЕРВИС"</v>
          </cell>
        </row>
        <row r="39">
          <cell r="A39" t="str">
            <v>ЗАО "ИНСТИТУТ ПРОМОС"</v>
          </cell>
        </row>
        <row r="40">
          <cell r="A40" t="str">
            <v>ЗАО "УКС КБН"</v>
          </cell>
        </row>
        <row r="41">
          <cell r="A41" t="str">
            <v>ЗАО "ГЕОТОК"</v>
          </cell>
        </row>
        <row r="42">
          <cell r="A42" t="str">
            <v>ЗАО "ММА + Фицрой Робинсон Интернэшенл"</v>
          </cell>
        </row>
        <row r="43">
          <cell r="A43" t="str">
            <v>ЗАО "МОСПРОМСТРОЙ" ФИРМА "АРС"</v>
          </cell>
        </row>
        <row r="44">
          <cell r="A44" t="str">
            <v>Архитектурно-проектная мастерская ООО "Малая Студия"</v>
          </cell>
        </row>
        <row r="45">
          <cell r="A45" t="str">
            <v>ООО "ТУКС МОСПРОМСТРОЙ"</v>
          </cell>
        </row>
        <row r="46">
          <cell r="A46" t="str">
            <v>ГУП "МНИИТЭП"</v>
          </cell>
        </row>
        <row r="47">
          <cell r="A47" t="str">
            <v>НПО "КОСМОС"</v>
          </cell>
        </row>
        <row r="48">
          <cell r="A48" t="str">
            <v>ООО "ПРОК - энерго 2001"</v>
          </cell>
        </row>
        <row r="49">
          <cell r="A49" t="str">
            <v>ОАО "УКС НАУКА"</v>
          </cell>
        </row>
        <row r="50">
          <cell r="A50" t="str">
            <v>ГУП "МосводоканалНИИпроект"</v>
          </cell>
        </row>
        <row r="51">
          <cell r="A51" t="str">
            <v>ФГУП «Институт общественных зданий»</v>
          </cell>
        </row>
        <row r="52">
          <cell r="A52" t="str">
            <v>ОАО "СТРОЙПРОЕКТ"</v>
          </cell>
        </row>
        <row r="53">
          <cell r="A53" t="str">
            <v>ЗАО "ИНВЕСТСТРОЙ"</v>
          </cell>
        </row>
        <row r="54">
          <cell r="A54" t="str">
            <v>ЗАО "СТРОЙИНДУСТРИЯ"</v>
          </cell>
        </row>
      </sheetData>
      <sheetData sheetId="4">
        <row r="1">
          <cell r="A1" t="str">
            <v xml:space="preserve"> </v>
          </cell>
        </row>
        <row r="2">
          <cell r="A2" t="str">
            <v>1,1</v>
          </cell>
        </row>
        <row r="3">
          <cell r="A3" t="str">
            <v>1,25</v>
          </cell>
        </row>
        <row r="4">
          <cell r="A4" t="str">
            <v>1,43</v>
          </cell>
        </row>
        <row r="5">
          <cell r="A5" t="str">
            <v>1,67</v>
          </cell>
        </row>
        <row r="6">
          <cell r="A6" t="str">
            <v>2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Тр. "/>
      <sheetName val="ПИР"/>
      <sheetName val="ПИР т"/>
      <sheetName val="П.з. л. c"/>
      <sheetName val="зим"/>
      <sheetName val="C.с "/>
      <sheetName val="Сод.р.в."/>
      <sheetName val="П.з.р.в."/>
      <sheetName val="сод"/>
      <sheetName val="Лист1"/>
      <sheetName val="Обстановка дороги"/>
      <sheetName val="Автопавильон"/>
      <sheetName val="Дорожная одежда"/>
      <sheetName val="Вертик.планировка"/>
      <sheetName val=" Подготовительные работы"/>
      <sheetName val="Врем.здания"/>
      <sheetName val="Земляное полотно"/>
      <sheetName val="Зима"/>
      <sheetName val="Объездные дороги"/>
      <sheetName val="Озеленение"/>
      <sheetName val="Пересечения и примыкания"/>
      <sheetName val="Рекультивация"/>
      <sheetName val="Искусственные сооружения"/>
      <sheetName val="К.С.М. (ПУТ)"/>
      <sheetName val="цены_азот"/>
    </sheetNames>
    <sheetDataSet>
      <sheetData sheetId="0" refreshError="1"/>
      <sheetData sheetId="1"/>
      <sheetData sheetId="2">
        <row r="33">
          <cell r="P33">
            <v>77.190000000000012</v>
          </cell>
        </row>
      </sheetData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Тр."/>
      <sheetName val="C.с "/>
      <sheetName val="зим"/>
      <sheetName val="эл"/>
      <sheetName val="вах"/>
      <sheetName val="П.з. л. c"/>
      <sheetName val="П.з.р.в."/>
      <sheetName val="ПИРб"/>
      <sheetName val="ПИРт"/>
      <sheetName val="Сод р.в."/>
      <sheetName val="Сод.л.см"/>
      <sheetName val="вах(б)"/>
      <sheetName val="Расчет"/>
      <sheetName val="C.с"/>
    </sheetNames>
    <sheetDataSet>
      <sheetData sheetId="0"/>
      <sheetData sheetId="1"/>
      <sheetData sheetId="2"/>
      <sheetData sheetId="3">
        <row r="18">
          <cell r="H18">
            <v>11.68</v>
          </cell>
        </row>
      </sheetData>
      <sheetData sheetId="4"/>
      <sheetData sheetId="5">
        <row r="33">
          <cell r="C33">
            <v>249.96</v>
          </cell>
        </row>
        <row r="48">
          <cell r="H48">
            <v>24.19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С-3"/>
      <sheetName val="Инструкция"/>
      <sheetName val="Бланк"/>
      <sheetName val="Данные"/>
    </sheetNames>
    <sheetDataSet>
      <sheetData sheetId="0">
        <row r="1">
          <cell r="J1" t="str">
            <v>18</v>
          </cell>
        </row>
        <row r="3">
          <cell r="M3" t="str">
            <v>Апрель 2014</v>
          </cell>
          <cell r="N3" t="str">
            <v>Силовое электрооборудование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"/>
      <sheetName val="Сводка ТКЛ"/>
      <sheetName val="КС-3дек"/>
      <sheetName val="Лист3"/>
      <sheetName val="143 (на сентябрь)"/>
      <sheetName val="126"/>
    </sheetNames>
    <sheetDataSet>
      <sheetData sheetId="0" refreshError="1">
        <row r="1">
          <cell r="G1" t="str">
            <v>1759и-3-59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(дор.+мост)"/>
      <sheetName val="Тр.(дор.)"/>
      <sheetName val="Тр.  (мост)"/>
      <sheetName val="Сод.л.см"/>
      <sheetName val="Сод.р.в."/>
      <sheetName val="П.з.р.в"/>
      <sheetName val="П.з.л.см"/>
      <sheetName val="C.с"/>
      <sheetName val="В.ст.дор"/>
      <sheetName val="В.ст.мост"/>
      <sheetName val="Вр"/>
      <sheetName val="зим"/>
      <sheetName val="эл"/>
      <sheetName val="ПИРб"/>
      <sheetName val="ПИРт"/>
      <sheetName val="2012(КСЛ) (2)"/>
      <sheetName val="12"/>
      <sheetName val="C.с "/>
      <sheetName val="К.С.М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9">
          <cell r="D39">
            <v>6.12</v>
          </cell>
        </row>
        <row r="92">
          <cell r="D92">
            <v>10.24</v>
          </cell>
        </row>
        <row r="123">
          <cell r="D123">
            <v>56.15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отокол ДЦ"/>
      <sheetName val="СВОД"/>
      <sheetName val="Расчет стоимости"/>
      <sheetName val="Лист1"/>
      <sheetName val="Расшифровка гр.3"/>
      <sheetName val="Разбивка ОиС работ"/>
      <sheetName val="Календарный план"/>
      <sheetName val="Расшифровка смет.стоим_сл"/>
      <sheetName val="Для КС-3"/>
      <sheetName val="Распределение_служебная"/>
      <sheetName val="КС-2 ИЮНЬ 2014"/>
      <sheetName val="КС-3 (июнь) 14"/>
      <sheetName val="КС-3 &lt;- &gt;КС-3"/>
      <sheetName val="Реестр"/>
      <sheetName val="Тр.  (мост)"/>
    </sheetNames>
    <sheetDataSet>
      <sheetData sheetId="0">
        <row r="11">
          <cell r="E11">
            <v>1581306492.8099999</v>
          </cell>
        </row>
        <row r="22">
          <cell r="E22">
            <v>113307051.39000002</v>
          </cell>
        </row>
      </sheetData>
      <sheetData sheetId="1"/>
      <sheetData sheetId="2">
        <row r="910">
          <cell r="J910">
            <v>1353380760.0050001</v>
          </cell>
          <cell r="K910">
            <v>45276057.115599997</v>
          </cell>
          <cell r="L910">
            <v>6956477.450000003</v>
          </cell>
          <cell r="M910">
            <v>15433375.630000001</v>
          </cell>
          <cell r="N910">
            <v>28369350.390000008</v>
          </cell>
          <cell r="O910">
            <v>1449416020.5906</v>
          </cell>
        </row>
      </sheetData>
      <sheetData sheetId="3">
        <row r="138">
          <cell r="M138">
            <v>0.98439548548203604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6">
          <cell r="N26" t="str">
            <v>Компенсация с НДС</v>
          </cell>
        </row>
      </sheetData>
      <sheetData sheetId="13"/>
      <sheetData sheetId="1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ЭН1_БНС"/>
      <sheetName val="ЭН2_БНС"/>
      <sheetName val="ЭН14_БНС"/>
      <sheetName val="1-1-4"/>
      <sheetName val="8-4_времен.дорога А-В"/>
      <sheetName val="2-4-9_дорога 3"/>
      <sheetName val="1-1-11_Зем.работы площадки"/>
      <sheetName val="1-1-8_островки"/>
      <sheetName val="9 навМОСТОВИК"/>
      <sheetName val="Эл.энергия без 100 кВт"/>
      <sheetName val="М2_БНС"/>
      <sheetName val="ЭН14_Ростверк"/>
      <sheetName val="ЭН14_СВСиУ"/>
      <sheetName val="ЭН15_БНС"/>
      <sheetName val="ЭН13_БНС"/>
      <sheetName val="ЭН13_СВСиУ"/>
      <sheetName val="ЭН3_БНС"/>
      <sheetName val="ЭН16_БНС"/>
      <sheetName val="Ф-2 надбавка ДВ%"/>
      <sheetName val="Ф-2 вах.метод"/>
      <sheetName val="перебазировка"/>
      <sheetName val="Аренда флота"/>
      <sheetName val="КС-3"/>
      <sheetName val="КС-3_ноябрь полная"/>
      <sheetName val="КС-3_ноябрь"/>
      <sheetName val="Реестр актов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.з.р.в."/>
      <sheetName val="К"/>
      <sheetName val="Ф"/>
      <sheetName val="К.С.М."/>
      <sheetName val="Тр."/>
      <sheetName val="Сод р.в."/>
      <sheetName val="Сод.л.см"/>
      <sheetName val="зим"/>
      <sheetName val="C.с "/>
      <sheetName val="вах"/>
      <sheetName val="ГИБДД"/>
      <sheetName val="П.з. л. c"/>
      <sheetName val="12"/>
      <sheetName val="C.с"/>
      <sheetName val="контрагенты"/>
    </sheetNames>
    <sheetDataSet>
      <sheetData sheetId="0"/>
      <sheetData sheetId="1"/>
      <sheetData sheetId="2">
        <row r="52">
          <cell r="H52">
            <v>58.765040000000006</v>
          </cell>
        </row>
      </sheetData>
      <sheetData sheetId="3"/>
      <sheetData sheetId="4">
        <row r="35">
          <cell r="H35">
            <v>9.33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Тр."/>
      <sheetName val="C.с "/>
      <sheetName val="зим"/>
      <sheetName val="эл"/>
      <sheetName val="вах"/>
      <sheetName val="П.з. л. c"/>
      <sheetName val="П.з.р.в."/>
      <sheetName val="ПИРб"/>
      <sheetName val="ПИРт"/>
      <sheetName val="Сод р.в."/>
      <sheetName val="Сод.л.см"/>
      <sheetName val="C.с"/>
    </sheetNames>
    <sheetDataSet>
      <sheetData sheetId="0"/>
      <sheetData sheetId="1"/>
      <sheetData sheetId="2"/>
      <sheetData sheetId="3" refreshError="1">
        <row r="18">
          <cell r="H18">
            <v>11.68</v>
          </cell>
        </row>
        <row r="21">
          <cell r="H21">
            <v>9.64</v>
          </cell>
        </row>
        <row r="27">
          <cell r="H27">
            <v>4.5599999999999996</v>
          </cell>
        </row>
        <row r="30">
          <cell r="H30">
            <v>2.04</v>
          </cell>
        </row>
        <row r="39">
          <cell r="H39">
            <v>1.97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Тр."/>
      <sheetName val="Тр. (2)"/>
      <sheetName val="C.с "/>
      <sheetName val="C.с  (2)"/>
      <sheetName val="C.сбаз.и"/>
      <sheetName val="Р1 (2)"/>
      <sheetName val="Р1 (И)"/>
      <sheetName val="П.з "/>
      <sheetName val="сод"/>
      <sheetName val="сод (2)"/>
      <sheetName val="сод р.в."/>
      <sheetName val="П.з  (2)"/>
      <sheetName val="П.з  (3)"/>
      <sheetName val="C.сбаз.и (РД)"/>
      <sheetName val="Ер"/>
      <sheetName val="Р1"/>
      <sheetName val="ПИР"/>
      <sheetName val="C.с  (3)"/>
      <sheetName val="ок.ср."/>
      <sheetName val="#ССЫЛКА"/>
      <sheetName val="отгр ГОК"/>
    </sheetNames>
    <sheetDataSet>
      <sheetData sheetId="0" refreshError="1"/>
      <sheetData sheetId="1"/>
      <sheetData sheetId="2"/>
      <sheetData sheetId="3">
        <row r="31">
          <cell r="H31">
            <v>2.1999999999999997</v>
          </cell>
        </row>
      </sheetData>
      <sheetData sheetId="4">
        <row r="31">
          <cell r="H31">
            <v>2.1999999999999997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"/>
      <sheetName val="Е.р."/>
      <sheetName val="К"/>
      <sheetName val="Ф"/>
      <sheetName val="К.С.М."/>
      <sheetName val="Тр."/>
      <sheetName val="Р1"/>
      <sheetName val="Р2"/>
      <sheetName val="Р2 (2)"/>
      <sheetName val="Р3"/>
      <sheetName val="C.с"/>
      <sheetName val="C.с (2)"/>
      <sheetName val="C.с (3)"/>
      <sheetName val="Сод"/>
      <sheetName val="П.з"/>
      <sheetName val="ПИР"/>
      <sheetName val="Тр. (2)"/>
      <sheetName val="Консолидированный"/>
    </sheetNames>
    <sheetDataSet>
      <sheetData sheetId="0"/>
      <sheetData sheetId="1"/>
      <sheetData sheetId="2"/>
      <sheetData sheetId="3"/>
      <sheetData sheetId="4"/>
      <sheetData sheetId="5">
        <row r="27">
          <cell r="H27">
            <v>2.41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.С.М."/>
      <sheetName val="Тр."/>
      <sheetName val="сод"/>
      <sheetName val="ПИРБ"/>
      <sheetName val="C.с  Б"/>
      <sheetName val="врБ"/>
      <sheetName val="зимБ"/>
      <sheetName val="вах"/>
      <sheetName val="Тр.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Ер"/>
      <sheetName val="К"/>
      <sheetName val="Ф"/>
      <sheetName val="К.С.М."/>
      <sheetName val="Тр."/>
      <sheetName val="Тр. (2)"/>
      <sheetName val="C.с "/>
      <sheetName val="Р1"/>
      <sheetName val="Р1 (2)"/>
      <sheetName val="ПИР"/>
      <sheetName val="П.з "/>
      <sheetName val="C.с  (2)"/>
      <sheetName val="C.с  (3)"/>
      <sheetName val="ок.ср."/>
      <sheetName val="сод"/>
      <sheetName val="C.сбаз.и"/>
      <sheetName val="Р1 (И)"/>
      <sheetName val="сод (2)"/>
      <sheetName val="сод р.в."/>
      <sheetName val="П.з  (2)"/>
      <sheetName val="П.з  (3)"/>
      <sheetName val="#ССЫЛКА"/>
      <sheetName val="отгр ГОК"/>
    </sheetNames>
    <sheetDataSet>
      <sheetData sheetId="0"/>
      <sheetData sheetId="1"/>
      <sheetData sheetId="2"/>
      <sheetData sheetId="3"/>
      <sheetData sheetId="4">
        <row r="31">
          <cell r="H31">
            <v>2.1999999999999997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С-3"/>
      <sheetName val="Данные"/>
    </sheetNames>
    <sheetDataSet>
      <sheetData sheetId="0"/>
      <sheetData sheetId="1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Source"/>
      <sheetName val="SmtRes"/>
      <sheetName val="ClcRes"/>
      <sheetName val="РЕЕСТР"/>
      <sheetName val="Тр."/>
      <sheetName val="К.С.М."/>
    </sheetNames>
    <sheetDataSet>
      <sheetData sheetId="0">
        <row r="414">
          <cell r="B414" t="str">
            <v>Всего</v>
          </cell>
          <cell r="J414">
            <v>1304025.2641999999</v>
          </cell>
        </row>
      </sheetData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.см.дор"/>
      <sheetName val="зим Д"/>
      <sheetName val="об.см.пут"/>
      <sheetName val="зимП"/>
      <sheetName val="об.см.эл."/>
      <sheetName val="Сод. к ч.4"/>
      <sheetName val="Сод. к ч.3"/>
      <sheetName val="Сод. к ч.2"/>
      <sheetName val="Сод. к ч.1"/>
      <sheetName val="ПИРб"/>
      <sheetName val="ПИРт"/>
      <sheetName val="К"/>
      <sheetName val="Ф"/>
      <sheetName val="Тощ.бет."/>
      <sheetName val="К.С.М."/>
      <sheetName val="К.С.М. (ПУТ)"/>
      <sheetName val="Тр.(пут)"/>
      <sheetName val="Тр.(дорога)"/>
      <sheetName val="зим"/>
      <sheetName val="C.с"/>
      <sheetName val="П.з. л. c"/>
      <sheetName val="П.з.р.в."/>
      <sheetName val="Лист1"/>
      <sheetName val="Тр.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.С.М."/>
      <sheetName val="Ер"/>
      <sheetName val="К"/>
      <sheetName val="Ф"/>
      <sheetName val="Тр."/>
      <sheetName val="Тр. (2)"/>
      <sheetName val="а.б. 1 м"/>
      <sheetName val="битум"/>
      <sheetName val="Р1 "/>
      <sheetName val="ПИР"/>
      <sheetName val="Р2"/>
      <sheetName val="C.с "/>
      <sheetName val="C.с  (2)"/>
      <sheetName val="C.с  (4)"/>
      <sheetName val="П.з "/>
      <sheetName val="С.с зам"/>
      <sheetName val="зим.зам"/>
      <sheetName val="П.з  (2)"/>
      <sheetName val="Ведомость потр.рес."/>
      <sheetName val="Распределение"/>
      <sheetName val="К.С.М. (ПУТ)"/>
      <sheetName val="цены"/>
      <sheetName val="Лист1"/>
    </sheetNames>
    <sheetDataSet>
      <sheetData sheetId="0" refreshError="1">
        <row r="159">
          <cell r="P159">
            <v>12.82</v>
          </cell>
        </row>
        <row r="163">
          <cell r="P163">
            <v>7.339999999999999</v>
          </cell>
        </row>
        <row r="167">
          <cell r="P167">
            <v>17.14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м"/>
      <sheetName val="К.С.М. (ПУТ)"/>
      <sheetName val="Тощ.бет."/>
      <sheetName val="К.С.М."/>
      <sheetName val="Тр.(дорога)"/>
      <sheetName val="Тр.(пут)"/>
      <sheetName val="ПИР"/>
      <sheetName val="зим"/>
      <sheetName val="C.с"/>
      <sheetName val="Сод.л.см"/>
      <sheetName val="П.з.л.см. "/>
      <sheetName val="П.з.р.в."/>
      <sheetName val="C.с  (2)"/>
    </sheetNames>
    <sheetDataSet>
      <sheetData sheetId="0"/>
      <sheetData sheetId="1">
        <row r="17">
          <cell r="H17">
            <v>16.07</v>
          </cell>
        </row>
        <row r="22">
          <cell r="H22">
            <v>335.33</v>
          </cell>
        </row>
        <row r="24">
          <cell r="H24">
            <v>72.89</v>
          </cell>
        </row>
        <row r="26">
          <cell r="H26">
            <v>14.31</v>
          </cell>
        </row>
        <row r="28">
          <cell r="H28">
            <v>38.82</v>
          </cell>
        </row>
        <row r="30">
          <cell r="H30">
            <v>45.74</v>
          </cell>
        </row>
        <row r="32">
          <cell r="H32">
            <v>42.26</v>
          </cell>
        </row>
        <row r="34">
          <cell r="H34">
            <v>48.3</v>
          </cell>
        </row>
        <row r="36">
          <cell r="H36">
            <v>72.239999999999995</v>
          </cell>
        </row>
        <row r="38">
          <cell r="H38">
            <v>75.37</v>
          </cell>
        </row>
        <row r="40">
          <cell r="H40">
            <v>55.67</v>
          </cell>
        </row>
        <row r="42">
          <cell r="H42">
            <v>44.14</v>
          </cell>
        </row>
      </sheetData>
      <sheetData sheetId="2">
        <row r="86">
          <cell r="P86">
            <v>29.44</v>
          </cell>
        </row>
        <row r="90">
          <cell r="P90">
            <v>32.39</v>
          </cell>
        </row>
        <row r="94">
          <cell r="P94">
            <v>38.200000000000003</v>
          </cell>
        </row>
        <row r="98">
          <cell r="P98">
            <v>34.200000000000003</v>
          </cell>
        </row>
        <row r="102">
          <cell r="P102">
            <v>37.200000000000003</v>
          </cell>
        </row>
        <row r="106">
          <cell r="P106">
            <v>10.64</v>
          </cell>
        </row>
        <row r="110">
          <cell r="P110">
            <v>10.39</v>
          </cell>
        </row>
        <row r="113">
          <cell r="P113">
            <v>12.18</v>
          </cell>
        </row>
      </sheetData>
      <sheetData sheetId="3"/>
      <sheetData sheetId="4"/>
      <sheetData sheetId="5"/>
      <sheetData sheetId="6">
        <row r="17">
          <cell r="P17">
            <v>3.08</v>
          </cell>
        </row>
        <row r="20">
          <cell r="P20">
            <v>2.61</v>
          </cell>
        </row>
        <row r="23">
          <cell r="P23">
            <v>3.21</v>
          </cell>
        </row>
        <row r="26">
          <cell r="P26">
            <v>5.14</v>
          </cell>
        </row>
        <row r="29">
          <cell r="P29">
            <v>8.34</v>
          </cell>
        </row>
        <row r="35">
          <cell r="P35">
            <v>10.36</v>
          </cell>
        </row>
        <row r="38">
          <cell r="P38">
            <v>5.0199999999999996</v>
          </cell>
        </row>
        <row r="41">
          <cell r="P41">
            <v>4.87</v>
          </cell>
        </row>
      </sheetData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Тр. "/>
      <sheetName val="ПИР"/>
      <sheetName val="ПИР т"/>
      <sheetName val="П.з. л. c"/>
      <sheetName val="зим"/>
      <sheetName val="C.с "/>
      <sheetName val="Сод.р.в."/>
      <sheetName val="П.з.р.в."/>
      <sheetName val="сод"/>
      <sheetName val="К.С.М. (ПУТ)"/>
      <sheetName val="цены_азот"/>
    </sheetNames>
    <sheetDataSet>
      <sheetData sheetId="0"/>
      <sheetData sheetId="1"/>
      <sheetData sheetId="2">
        <row r="33">
          <cell r="P33">
            <v>77.190000000000012</v>
          </cell>
        </row>
        <row r="64">
          <cell r="P64">
            <v>18.95</v>
          </cell>
        </row>
        <row r="68">
          <cell r="P68">
            <v>19.45</v>
          </cell>
        </row>
        <row r="83">
          <cell r="P83">
            <v>8.4</v>
          </cell>
        </row>
        <row r="87">
          <cell r="P87">
            <v>10.29</v>
          </cell>
        </row>
        <row r="91">
          <cell r="P91">
            <v>3.03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Тр."/>
      <sheetName val="C.с баз"/>
      <sheetName val="сод.л.см."/>
      <sheetName val="зим Б"/>
      <sheetName val="П.з"/>
      <sheetName val="ПИР"/>
      <sheetName val="Лист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ч. щ. 1"/>
      <sheetName val="ч. щ. 2"/>
      <sheetName val="К.С.М."/>
      <sheetName val="Тр."/>
      <sheetName val="Тр.(ж.д.)"/>
      <sheetName val="зим."/>
      <sheetName val="вах"/>
      <sheetName val="окно"/>
      <sheetName val="вр"/>
      <sheetName val="C.с"/>
      <sheetName val="П.з.л.см"/>
      <sheetName val="П.з.р.в"/>
      <sheetName val="Сод.л.см"/>
      <sheetName val="Сод.р.в."/>
      <sheetName val="отгр ГОК"/>
    </sheetNames>
    <sheetDataSet>
      <sheetData sheetId="0" refreshError="1"/>
      <sheetData sheetId="1">
        <row r="57">
          <cell r="H57">
            <v>136.85</v>
          </cell>
        </row>
      </sheetData>
      <sheetData sheetId="2" refreshError="1"/>
      <sheetData sheetId="3" refreshError="1"/>
      <sheetData sheetId="4">
        <row r="319">
          <cell r="P319">
            <v>10.35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Тр. ж.д."/>
      <sheetName val="сод"/>
      <sheetName val="ПИРБ"/>
      <sheetName val="C.с  Б"/>
      <sheetName val="зимБ"/>
      <sheetName val="вах"/>
      <sheetName val="врБ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ч. щ. 1"/>
      <sheetName val="ч. щ. 2"/>
      <sheetName val="К.С.М."/>
      <sheetName val="Тр."/>
      <sheetName val="Тр.(ж.д.)"/>
      <sheetName val="зим."/>
      <sheetName val="вах"/>
      <sheetName val="окно"/>
      <sheetName val="вр"/>
      <sheetName val="C.с"/>
      <sheetName val="П.з.л.см"/>
      <sheetName val="П.з.р.в"/>
      <sheetName val="Сод.л.см"/>
      <sheetName val="Сод.р.в."/>
      <sheetName val="коэф"/>
    </sheetNames>
    <sheetDataSet>
      <sheetData sheetId="0"/>
      <sheetData sheetId="1"/>
      <sheetData sheetId="2"/>
      <sheetData sheetId="3"/>
      <sheetData sheetId="4">
        <row r="354">
          <cell r="P354">
            <v>15.41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.з.р.в."/>
      <sheetName val="К"/>
      <sheetName val="Ф"/>
      <sheetName val="К.С.М."/>
      <sheetName val="Тр."/>
      <sheetName val="Сод р.в."/>
      <sheetName val="Сод.л.см"/>
      <sheetName val="зим"/>
      <sheetName val="C.с "/>
      <sheetName val="вах"/>
      <sheetName val="ГИБДД"/>
      <sheetName val="П.з. л. c"/>
    </sheetNames>
    <sheetDataSet>
      <sheetData sheetId="0"/>
      <sheetData sheetId="1"/>
      <sheetData sheetId="2"/>
      <sheetData sheetId="3">
        <row r="51">
          <cell r="P51">
            <v>8.94</v>
          </cell>
        </row>
        <row r="78">
          <cell r="P78">
            <v>52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3"/>
      <sheetName val="зимтек"/>
      <sheetName val="C.с тек"/>
      <sheetName val="ф2"/>
      <sheetName val="ф8"/>
      <sheetName val="ф9"/>
      <sheetName val="ф10"/>
      <sheetName val="C.с тек ЭЛ"/>
      <sheetName val="К.С.М."/>
      <sheetName val="Ф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Ф (177)"/>
      <sheetName val="К.С.М."/>
      <sheetName val="Тр"/>
      <sheetName val="зим"/>
      <sheetName val="C.с"/>
      <sheetName val="П.з. л. c"/>
      <sheetName val="П.з.р.в."/>
      <sheetName val="окно"/>
      <sheetName val="ПИРб"/>
      <sheetName val="ПИР т"/>
      <sheetName val="Сод р.в."/>
      <sheetName val="Сод.л.см"/>
      <sheetName val="ф9"/>
      <sheetName val="ф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естр"/>
      <sheetName val="Лист1"/>
      <sheetName val="Source"/>
      <sheetName val="SmtRes"/>
      <sheetName val="ClcRes"/>
      <sheetName val="ф9"/>
      <sheetName val="ф10"/>
      <sheetName val="К.С.М.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2 нов (2)"/>
      <sheetName val="сод.т.ц."/>
      <sheetName val="Изопласт"/>
      <sheetName val="C.с"/>
      <sheetName val="C.с (2)"/>
      <sheetName val="врБ"/>
      <sheetName val="врБ (2)"/>
      <sheetName val="врТ"/>
      <sheetName val="зимБ"/>
      <sheetName val="зимБ (2)"/>
      <sheetName val="зимТ"/>
      <sheetName val="Возврат"/>
      <sheetName val="экспертиза"/>
      <sheetName val="ПИР"/>
      <sheetName val="перБ"/>
      <sheetName val="перТ"/>
      <sheetName val="К.С.М."/>
      <sheetName val="Ф"/>
      <sheetName val="ф9"/>
      <sheetName val="ф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0">
          <cell r="F20">
            <v>145.58000000000001</v>
          </cell>
        </row>
      </sheetData>
      <sheetData sheetId="14"/>
      <sheetData sheetId="15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м"/>
      <sheetName val="К.С.М. (ПУТ)"/>
      <sheetName val="Тощ.бет."/>
      <sheetName val="К.С.М."/>
      <sheetName val="Тр.(дорога)"/>
      <sheetName val="Тр.(пут)"/>
      <sheetName val="ПИР"/>
      <sheetName val="зим"/>
      <sheetName val="C.с"/>
      <sheetName val="Сод.л.см"/>
      <sheetName val="П.з.л.см. "/>
      <sheetName val="П.з.р.в."/>
    </sheetNames>
    <sheetDataSet>
      <sheetData sheetId="0"/>
      <sheetData sheetId="1"/>
      <sheetData sheetId="2"/>
      <sheetData sheetId="3"/>
      <sheetData sheetId="4"/>
      <sheetData sheetId="5"/>
      <sheetData sheetId="6">
        <row r="32">
          <cell r="P32">
            <v>10.23</v>
          </cell>
        </row>
      </sheetData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Source"/>
      <sheetName val="SmtRes"/>
      <sheetName val="ClcRes"/>
      <sheetName val="К.С.М."/>
      <sheetName val="Ф"/>
    </sheetNames>
    <sheetDataSet>
      <sheetData sheetId="0">
        <row r="317">
          <cell r="B317" t="str">
            <v xml:space="preserve">Локальная смета </v>
          </cell>
          <cell r="C317" t="str">
            <v>Локальная смета 5 Укрепление откоса габионами</v>
          </cell>
        </row>
      </sheetData>
      <sheetData sheetId="1"/>
      <sheetData sheetId="2"/>
      <sheetData sheetId="3"/>
      <sheetData sheetId="4" refreshError="1"/>
      <sheetData sheetId="5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Тр. "/>
      <sheetName val="П.з.р.в."/>
      <sheetName val="ПИР"/>
      <sheetName val="П.з. л. c"/>
      <sheetName val="зимбаз"/>
      <sheetName val="C.с баз"/>
      <sheetName val="Зима тек"/>
      <sheetName val="C.с тек"/>
      <sheetName val="содбаз"/>
      <sheetName val="содтек"/>
      <sheetName val="ф2"/>
      <sheetName val="ф8"/>
      <sheetName val="ф9 "/>
      <sheetName val="ф10"/>
      <sheetName val="Лист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Тр."/>
      <sheetName val="C.с баз"/>
      <sheetName val="зим Б"/>
      <sheetName val="П.з"/>
      <sheetName val="ПИР"/>
      <sheetName val="сод.л.см."/>
      <sheetName val="Лист1"/>
      <sheetName val="C.с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Source"/>
      <sheetName val="SmtRes"/>
      <sheetName val="ClcRes"/>
      <sheetName val="Ф"/>
      <sheetName val="ПИР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9 "/>
      <sheetName val="ф8"/>
      <sheetName val="ф2"/>
      <sheetName val="ф10"/>
      <sheetName val="Ф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2"/>
      <sheetName val="сод.т.ц."/>
      <sheetName val="Возврат"/>
      <sheetName val="зим "/>
      <sheetName val="C.с "/>
      <sheetName val="ПИР"/>
      <sheetName val="эл т "/>
      <sheetName val="Лист1"/>
      <sheetName val="ф10"/>
      <sheetName val="списки"/>
    </sheetNames>
    <sheetDataSet>
      <sheetData sheetId="0" refreshError="1"/>
      <sheetData sheetId="1" refreshError="1"/>
      <sheetData sheetId="2" refreshError="1"/>
      <sheetData sheetId="3" refreshError="1"/>
      <sheetData sheetId="4">
        <row r="86">
          <cell r="H86">
            <v>7289.42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x_abc4"/>
      <sheetName val="hx_abc4 (2)"/>
      <sheetName val="ф10"/>
      <sheetName val="C.с "/>
      <sheetName val="Лист1"/>
    </sheetNames>
    <sheetDataSet>
      <sheetData sheetId="0">
        <row r="20">
          <cell r="L20" t="str">
            <v>на един.</v>
          </cell>
          <cell r="M20" t="str">
            <v>всего</v>
          </cell>
        </row>
      </sheetData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x_abc4"/>
      <sheetName val="C.с "/>
    </sheetNames>
    <sheetDataSet>
      <sheetData sheetId="0"/>
      <sheetData sheetId="1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кт КС-2 по ТСН-2001"/>
      <sheetName val="Source"/>
      <sheetName val="SourceObSm"/>
      <sheetName val="SmtRes"/>
      <sheetName val="EtalonRes"/>
    </sheetNames>
    <sheetDataSet>
      <sheetData sheetId="0" refreshError="1"/>
      <sheetData sheetId="1">
        <row r="20">
          <cell r="G20" t="str">
            <v>Станционный комплекс "Аминьевское шоссе". Платформенная чать. Архитектурные решения служебных и технических помещений. Уровень платформы.</v>
          </cell>
        </row>
        <row r="24">
          <cell r="G24" t="str">
            <v>Полы</v>
          </cell>
        </row>
        <row r="28">
          <cell r="G28" t="str">
            <v>Полы помещения зоны безопасности МГН</v>
          </cell>
        </row>
        <row r="87">
          <cell r="G87" t="str">
            <v>Полы помещения зоны безопасности МГН</v>
          </cell>
        </row>
        <row r="117">
          <cell r="G117" t="str">
            <v>Полы служебных помещений</v>
          </cell>
        </row>
        <row r="208">
          <cell r="G208" t="str">
            <v>Полы служебных помещений</v>
          </cell>
        </row>
        <row r="238">
          <cell r="G238" t="str">
            <v>Лестницы (ступени, подступенки, площадки)</v>
          </cell>
        </row>
        <row r="271">
          <cell r="G271" t="str">
            <v>Лестницы (ступени, подступенки, площадки)</v>
          </cell>
        </row>
        <row r="301">
          <cell r="G301" t="str">
            <v>Полы</v>
          </cell>
        </row>
        <row r="331">
          <cell r="G331" t="str">
            <v>Стены и перегородки</v>
          </cell>
        </row>
        <row r="335">
          <cell r="E335" t="str">
            <v>36</v>
          </cell>
          <cell r="F335" t="str">
            <v>3.29-1684-1</v>
          </cell>
          <cell r="H335" t="str">
            <v>100 м2</v>
          </cell>
          <cell r="I335">
            <v>0.1736</v>
          </cell>
          <cell r="P335">
            <v>1577.53</v>
          </cell>
          <cell r="Q335">
            <v>18.350000000000001</v>
          </cell>
          <cell r="R335">
            <v>0.18</v>
          </cell>
          <cell r="S335">
            <v>629.28</v>
          </cell>
          <cell r="U335">
            <v>33.030872000000002</v>
          </cell>
          <cell r="X335">
            <v>0</v>
          </cell>
          <cell r="Y335">
            <v>0</v>
          </cell>
          <cell r="AL335">
            <v>9087.1299999999992</v>
          </cell>
          <cell r="AM335">
            <v>105.7</v>
          </cell>
          <cell r="AN335">
            <v>1.01</v>
          </cell>
          <cell r="AO335">
            <v>3624.86</v>
          </cell>
          <cell r="AQ335">
            <v>190.27</v>
          </cell>
          <cell r="DD335" t="str">
            <v/>
          </cell>
          <cell r="DE335" t="str">
            <v/>
          </cell>
          <cell r="DF335" t="str">
            <v/>
          </cell>
          <cell r="DG335" t="str">
            <v/>
          </cell>
          <cell r="DI335" t="str">
            <v/>
          </cell>
        </row>
        <row r="336">
          <cell r="P336">
            <v>11169.03</v>
          </cell>
          <cell r="Q336">
            <v>40.58</v>
          </cell>
          <cell r="R336">
            <v>4.3099999999999996</v>
          </cell>
          <cell r="S336">
            <v>15215.55</v>
          </cell>
          <cell r="X336">
            <v>18562.97</v>
          </cell>
          <cell r="Y336">
            <v>7759.93</v>
          </cell>
          <cell r="AV336">
            <v>1.01</v>
          </cell>
          <cell r="AW336">
            <v>1.01</v>
          </cell>
          <cell r="BA336">
            <v>23.94</v>
          </cell>
          <cell r="BB336">
            <v>2.19</v>
          </cell>
          <cell r="BC336">
            <v>7.01</v>
          </cell>
          <cell r="BS336">
            <v>23.94</v>
          </cell>
          <cell r="BZ336">
            <v>122</v>
          </cell>
          <cell r="CA336">
            <v>51</v>
          </cell>
          <cell r="DN336">
            <v>122</v>
          </cell>
          <cell r="DO336">
            <v>51</v>
          </cell>
        </row>
        <row r="347">
          <cell r="E347" t="str">
            <v>39</v>
          </cell>
          <cell r="H347" t="str">
            <v>100 м шва</v>
          </cell>
          <cell r="I347">
            <v>5.7200000000000001E-2</v>
          </cell>
          <cell r="Q347">
            <v>1.45</v>
          </cell>
          <cell r="R347">
            <v>0.4</v>
          </cell>
          <cell r="S347">
            <v>4.1900000000000004</v>
          </cell>
          <cell r="U347">
            <v>0.22158707999999999</v>
          </cell>
          <cell r="X347">
            <v>4.4000000000000004</v>
          </cell>
          <cell r="Y347">
            <v>3.23</v>
          </cell>
          <cell r="AM347">
            <v>21.51</v>
          </cell>
          <cell r="AN347">
            <v>4.0199999999999996</v>
          </cell>
          <cell r="AO347">
            <v>41.88</v>
          </cell>
          <cell r="AQ347">
            <v>3.7</v>
          </cell>
          <cell r="DE347" t="str">
            <v/>
          </cell>
          <cell r="DG347" t="str">
            <v>)*1,67</v>
          </cell>
          <cell r="DI347" t="str">
            <v/>
          </cell>
        </row>
        <row r="348">
          <cell r="Q348">
            <v>15.44</v>
          </cell>
          <cell r="R348">
            <v>9.58</v>
          </cell>
          <cell r="S348">
            <v>100.31</v>
          </cell>
          <cell r="X348">
            <v>85.26</v>
          </cell>
          <cell r="Y348">
            <v>41.13</v>
          </cell>
          <cell r="AV348">
            <v>1.0469999999999999</v>
          </cell>
          <cell r="BA348">
            <v>23.94</v>
          </cell>
          <cell r="BB348">
            <v>9</v>
          </cell>
          <cell r="BS348">
            <v>23.94</v>
          </cell>
          <cell r="BZ348">
            <v>85</v>
          </cell>
          <cell r="CA348">
            <v>41</v>
          </cell>
          <cell r="DN348">
            <v>85</v>
          </cell>
          <cell r="DO348">
            <v>41</v>
          </cell>
        </row>
        <row r="349">
          <cell r="E349" t="str">
            <v>39,1</v>
          </cell>
          <cell r="F349" t="str">
            <v>1.1-1-394</v>
          </cell>
          <cell r="H349" t="str">
            <v>кг</v>
          </cell>
          <cell r="I349">
            <v>1.716</v>
          </cell>
          <cell r="O349">
            <v>17.14</v>
          </cell>
          <cell r="R349">
            <v>0</v>
          </cell>
          <cell r="X349">
            <v>0</v>
          </cell>
          <cell r="Y349">
            <v>0</v>
          </cell>
          <cell r="AK349">
            <v>9.99</v>
          </cell>
        </row>
        <row r="350">
          <cell r="O350">
            <v>62.22</v>
          </cell>
          <cell r="R350">
            <v>0</v>
          </cell>
          <cell r="X350">
            <v>0</v>
          </cell>
          <cell r="Y350">
            <v>0</v>
          </cell>
          <cell r="AW350">
            <v>1</v>
          </cell>
          <cell r="BC350">
            <v>3.63</v>
          </cell>
        </row>
        <row r="351">
          <cell r="E351" t="str">
            <v>39,2</v>
          </cell>
          <cell r="F351" t="str">
            <v>1.1-1-884</v>
          </cell>
          <cell r="H351" t="str">
            <v>м3</v>
          </cell>
          <cell r="I351">
            <v>4.5760000000000002E-2</v>
          </cell>
          <cell r="O351">
            <v>27.88</v>
          </cell>
          <cell r="R351">
            <v>0</v>
          </cell>
          <cell r="X351">
            <v>0</v>
          </cell>
          <cell r="Y351">
            <v>0</v>
          </cell>
          <cell r="AK351">
            <v>609.28</v>
          </cell>
        </row>
        <row r="352">
          <cell r="O352">
            <v>100.93</v>
          </cell>
          <cell r="R352">
            <v>0</v>
          </cell>
          <cell r="X352">
            <v>0</v>
          </cell>
          <cell r="Y352">
            <v>0</v>
          </cell>
          <cell r="AW352">
            <v>1</v>
          </cell>
          <cell r="BC352">
            <v>3.62</v>
          </cell>
        </row>
        <row r="356">
          <cell r="G356" t="str">
            <v>Высококачественная отделка стен и перегородок</v>
          </cell>
        </row>
        <row r="379">
          <cell r="G379" t="str">
            <v>Высококачественная отделка стен и перегородок</v>
          </cell>
        </row>
        <row r="409">
          <cell r="G409" t="str">
            <v>Улучшенная отделка стен и перегородок</v>
          </cell>
        </row>
        <row r="440">
          <cell r="G440" t="str">
            <v>Улучшенная отделка стен и перегородок</v>
          </cell>
        </row>
        <row r="470">
          <cell r="G470" t="str">
            <v>Простая отделка стен и перегородок</v>
          </cell>
        </row>
        <row r="501">
          <cell r="G501" t="str">
            <v>Простая отделка стен и перегородок</v>
          </cell>
        </row>
        <row r="531">
          <cell r="G531" t="str">
            <v>Облицовка стен керамической плиткой</v>
          </cell>
        </row>
        <row r="552">
          <cell r="G552" t="str">
            <v>Облицовка стен керамической плиткой</v>
          </cell>
        </row>
        <row r="582">
          <cell r="G582" t="str">
            <v>Обеспыливающая пропитка</v>
          </cell>
        </row>
        <row r="591">
          <cell r="G591" t="str">
            <v>Обеспыливающая пропитка</v>
          </cell>
        </row>
        <row r="621">
          <cell r="G621" t="str">
            <v>Устройство плинтусов</v>
          </cell>
        </row>
        <row r="644">
          <cell r="G644" t="str">
            <v>Устройство плинтусов</v>
          </cell>
        </row>
        <row r="674">
          <cell r="G674" t="str">
            <v>Стены и перегородки</v>
          </cell>
        </row>
        <row r="704">
          <cell r="G704" t="str">
            <v>Потолки</v>
          </cell>
        </row>
        <row r="708">
          <cell r="G708" t="str">
            <v>Улучшенная отделка потолка</v>
          </cell>
        </row>
        <row r="721">
          <cell r="G721" t="str">
            <v>Улучшенная отделка потолка</v>
          </cell>
        </row>
        <row r="751">
          <cell r="G751" t="str">
            <v>Простая отделка потолков</v>
          </cell>
        </row>
        <row r="764">
          <cell r="G764" t="str">
            <v>Простая отделка потолков</v>
          </cell>
        </row>
        <row r="794">
          <cell r="G794" t="str">
            <v>Монтаж подвесных потолков</v>
          </cell>
        </row>
        <row r="817">
          <cell r="G817" t="str">
            <v>Монтаж подвесных потолков</v>
          </cell>
        </row>
        <row r="847">
          <cell r="G847" t="str">
            <v>Обеспыливающая пропитка потолка</v>
          </cell>
        </row>
        <row r="856">
          <cell r="G856" t="str">
            <v>Обеспыливающая пропитка потолка</v>
          </cell>
        </row>
        <row r="886">
          <cell r="G886" t="str">
            <v>Потолки</v>
          </cell>
        </row>
        <row r="916">
          <cell r="G916" t="str">
            <v>Двери</v>
          </cell>
        </row>
        <row r="920">
          <cell r="E920" t="str">
            <v>69</v>
          </cell>
          <cell r="H920" t="str">
            <v>10 шт.</v>
          </cell>
          <cell r="I920">
            <v>0.34</v>
          </cell>
          <cell r="P920">
            <v>940.55</v>
          </cell>
          <cell r="Q920">
            <v>9.3299999999999983</v>
          </cell>
          <cell r="R920">
            <v>1.78</v>
          </cell>
          <cell r="S920">
            <v>407.63</v>
          </cell>
          <cell r="U920">
            <v>20.7630044</v>
          </cell>
          <cell r="X920">
            <v>354.64</v>
          </cell>
          <cell r="Y920">
            <v>428.01</v>
          </cell>
          <cell r="AL920">
            <v>2766.32</v>
          </cell>
          <cell r="AM920">
            <v>23.33</v>
          </cell>
          <cell r="AN920">
            <v>2.88</v>
          </cell>
          <cell r="AO920">
            <v>660.45</v>
          </cell>
          <cell r="AQ920">
            <v>56.18</v>
          </cell>
          <cell r="DD920" t="str">
            <v/>
          </cell>
          <cell r="DE920" t="str">
            <v/>
          </cell>
          <cell r="DG920" t="str">
            <v>)*1,67</v>
          </cell>
          <cell r="DI920" t="str">
            <v/>
          </cell>
        </row>
        <row r="921">
          <cell r="P921">
            <v>3781.01</v>
          </cell>
          <cell r="Q921">
            <v>77.25</v>
          </cell>
          <cell r="R921">
            <v>42.61</v>
          </cell>
          <cell r="S921">
            <v>9758.66</v>
          </cell>
          <cell r="X921">
            <v>6831.06</v>
          </cell>
          <cell r="Y921">
            <v>4879.33</v>
          </cell>
          <cell r="AV921">
            <v>1.087</v>
          </cell>
          <cell r="AW921">
            <v>1</v>
          </cell>
          <cell r="BA921">
            <v>23.94</v>
          </cell>
          <cell r="BB921">
            <v>6.99</v>
          </cell>
          <cell r="BC921">
            <v>4.0199999999999996</v>
          </cell>
          <cell r="BS921">
            <v>23.94</v>
          </cell>
          <cell r="BZ921">
            <v>70</v>
          </cell>
          <cell r="CA921">
            <v>50</v>
          </cell>
          <cell r="DN921">
            <v>70</v>
          </cell>
          <cell r="DO921">
            <v>50</v>
          </cell>
        </row>
        <row r="922">
          <cell r="E922" t="str">
            <v>69,1</v>
          </cell>
          <cell r="F922" t="str">
            <v>1.7-2-118</v>
          </cell>
          <cell r="H922" t="str">
            <v>т</v>
          </cell>
          <cell r="I922">
            <v>9.6000000000000002E-2</v>
          </cell>
          <cell r="O922">
            <v>4838.0200000000004</v>
          </cell>
          <cell r="R922">
            <v>0</v>
          </cell>
          <cell r="X922">
            <v>0</v>
          </cell>
          <cell r="Y922">
            <v>0</v>
          </cell>
          <cell r="AK922">
            <v>50396</v>
          </cell>
        </row>
        <row r="923">
          <cell r="O923">
            <v>7595.69</v>
          </cell>
          <cell r="R923">
            <v>0</v>
          </cell>
          <cell r="X923">
            <v>0</v>
          </cell>
          <cell r="Y923">
            <v>0</v>
          </cell>
          <cell r="AW923">
            <v>1</v>
          </cell>
          <cell r="BC923">
            <v>1.57</v>
          </cell>
        </row>
        <row r="924">
          <cell r="E924" t="str">
            <v>69,2</v>
          </cell>
          <cell r="F924" t="str">
            <v>1.7-2-20</v>
          </cell>
          <cell r="H924" t="str">
            <v>шт.</v>
          </cell>
          <cell r="I924">
            <v>0.2</v>
          </cell>
          <cell r="O924">
            <v>192.55</v>
          </cell>
          <cell r="R924">
            <v>0</v>
          </cell>
          <cell r="X924">
            <v>0</v>
          </cell>
          <cell r="Y924">
            <v>0</v>
          </cell>
          <cell r="AK924">
            <v>962.77</v>
          </cell>
        </row>
        <row r="925">
          <cell r="O925">
            <v>1765.68</v>
          </cell>
          <cell r="R925">
            <v>0</v>
          </cell>
          <cell r="X925">
            <v>0</v>
          </cell>
          <cell r="Y925">
            <v>0</v>
          </cell>
          <cell r="AW925">
            <v>1</v>
          </cell>
          <cell r="BC925">
            <v>9.17</v>
          </cell>
        </row>
        <row r="926">
          <cell r="E926" t="str">
            <v>69,3</v>
          </cell>
          <cell r="F926" t="str">
            <v>1.7-2-119</v>
          </cell>
          <cell r="H926" t="str">
            <v>т</v>
          </cell>
          <cell r="I926">
            <v>0.23100000000000004</v>
          </cell>
          <cell r="O926">
            <v>11494.91</v>
          </cell>
          <cell r="R926">
            <v>0</v>
          </cell>
          <cell r="X926">
            <v>0</v>
          </cell>
          <cell r="Y926">
            <v>0</v>
          </cell>
          <cell r="AK926">
            <v>49761.5</v>
          </cell>
        </row>
        <row r="927">
          <cell r="O927">
            <v>16782.57</v>
          </cell>
          <cell r="R927">
            <v>0</v>
          </cell>
          <cell r="X927">
            <v>0</v>
          </cell>
          <cell r="Y927">
            <v>0</v>
          </cell>
          <cell r="AW927">
            <v>1</v>
          </cell>
          <cell r="BC927">
            <v>1.46</v>
          </cell>
        </row>
        <row r="928">
          <cell r="E928" t="str">
            <v>70</v>
          </cell>
          <cell r="H928" t="str">
            <v>10 шт.</v>
          </cell>
          <cell r="I928">
            <v>0.06</v>
          </cell>
          <cell r="P928">
            <v>219.95</v>
          </cell>
          <cell r="Q928">
            <v>2.35</v>
          </cell>
          <cell r="R928">
            <v>0.46</v>
          </cell>
          <cell r="S928">
            <v>119.78</v>
          </cell>
          <cell r="U928">
            <v>6.0869825999999998</v>
          </cell>
          <cell r="X928">
            <v>104.21</v>
          </cell>
          <cell r="Y928">
            <v>125.77</v>
          </cell>
          <cell r="AL928">
            <v>3665.84</v>
          </cell>
          <cell r="AM928">
            <v>33.33</v>
          </cell>
          <cell r="AN928">
            <v>4.2300000000000004</v>
          </cell>
          <cell r="AO928">
            <v>1099.73</v>
          </cell>
          <cell r="AQ928">
            <v>93.33</v>
          </cell>
          <cell r="DD928" t="str">
            <v/>
          </cell>
          <cell r="DE928" t="str">
            <v/>
          </cell>
          <cell r="DG928" t="str">
            <v>)*1,67</v>
          </cell>
          <cell r="DI928" t="str">
            <v/>
          </cell>
        </row>
        <row r="929">
          <cell r="P929">
            <v>910.59</v>
          </cell>
          <cell r="Q929">
            <v>19.72</v>
          </cell>
          <cell r="R929">
            <v>11.01</v>
          </cell>
          <cell r="S929">
            <v>2867.53</v>
          </cell>
          <cell r="X929">
            <v>2007.27</v>
          </cell>
          <cell r="Y929">
            <v>1433.77</v>
          </cell>
          <cell r="AV929">
            <v>1.087</v>
          </cell>
          <cell r="AW929">
            <v>1</v>
          </cell>
          <cell r="BA929">
            <v>23.94</v>
          </cell>
          <cell r="BB929">
            <v>7.1</v>
          </cell>
          <cell r="BC929">
            <v>4.1399999999999997</v>
          </cell>
          <cell r="BS929">
            <v>23.94</v>
          </cell>
          <cell r="BZ929">
            <v>70</v>
          </cell>
          <cell r="CA929">
            <v>50</v>
          </cell>
          <cell r="DN929">
            <v>70</v>
          </cell>
          <cell r="DO929">
            <v>50</v>
          </cell>
        </row>
        <row r="930">
          <cell r="E930" t="str">
            <v>70,1</v>
          </cell>
          <cell r="F930" t="str">
            <v>1.7-2-125</v>
          </cell>
          <cell r="H930" t="str">
            <v>т</v>
          </cell>
          <cell r="I930">
            <v>8.2799999999999999E-2</v>
          </cell>
          <cell r="O930">
            <v>4127.7299999999996</v>
          </cell>
          <cell r="R930">
            <v>0</v>
          </cell>
          <cell r="X930">
            <v>0</v>
          </cell>
          <cell r="Y930">
            <v>0</v>
          </cell>
          <cell r="AK930">
            <v>49851.77</v>
          </cell>
        </row>
        <row r="931">
          <cell r="O931">
            <v>7347.36</v>
          </cell>
          <cell r="R931">
            <v>0</v>
          </cell>
          <cell r="X931">
            <v>0</v>
          </cell>
          <cell r="Y931">
            <v>0</v>
          </cell>
          <cell r="AW931">
            <v>1</v>
          </cell>
          <cell r="BC931">
            <v>1.78</v>
          </cell>
        </row>
        <row r="936">
          <cell r="E936" t="str">
            <v>71</v>
          </cell>
          <cell r="H936" t="str">
            <v>10 компл.</v>
          </cell>
          <cell r="I936">
            <v>0.06</v>
          </cell>
          <cell r="P936">
            <v>0.1</v>
          </cell>
          <cell r="Q936">
            <v>0.04</v>
          </cell>
          <cell r="R936">
            <v>0.01</v>
          </cell>
          <cell r="S936">
            <v>6.03</v>
          </cell>
          <cell r="U936">
            <v>0.24939539999999996</v>
          </cell>
          <cell r="X936">
            <v>7.24</v>
          </cell>
          <cell r="Y936">
            <v>5.07</v>
          </cell>
          <cell r="AL936">
            <v>1.61</v>
          </cell>
          <cell r="AM936">
            <v>0.42</v>
          </cell>
          <cell r="AN936">
            <v>0.12</v>
          </cell>
          <cell r="AO936">
            <v>57.51</v>
          </cell>
          <cell r="AQ936">
            <v>3.97</v>
          </cell>
          <cell r="DD936" t="str">
            <v/>
          </cell>
          <cell r="DE936" t="str">
            <v/>
          </cell>
          <cell r="DG936" t="str">
            <v>)*1,67</v>
          </cell>
          <cell r="DI936" t="str">
            <v/>
          </cell>
        </row>
        <row r="937">
          <cell r="P937">
            <v>3.16</v>
          </cell>
          <cell r="Q937">
            <v>0.56000000000000005</v>
          </cell>
          <cell r="R937">
            <v>0.24</v>
          </cell>
          <cell r="S937">
            <v>144.36000000000001</v>
          </cell>
          <cell r="X937">
            <v>125.59</v>
          </cell>
          <cell r="Y937">
            <v>59.19</v>
          </cell>
          <cell r="AV937">
            <v>1.0469999999999999</v>
          </cell>
          <cell r="AW937">
            <v>1</v>
          </cell>
          <cell r="BA937">
            <v>23.94</v>
          </cell>
          <cell r="BB937">
            <v>10.6</v>
          </cell>
          <cell r="BC937">
            <v>31.57</v>
          </cell>
          <cell r="BS937">
            <v>23.94</v>
          </cell>
          <cell r="BZ937">
            <v>87</v>
          </cell>
          <cell r="CA937">
            <v>41</v>
          </cell>
          <cell r="DN937">
            <v>87</v>
          </cell>
          <cell r="DO937">
            <v>41</v>
          </cell>
        </row>
        <row r="938">
          <cell r="E938" t="str">
            <v>71,1</v>
          </cell>
          <cell r="F938" t="str">
            <v>1.8-1-8</v>
          </cell>
          <cell r="H938" t="str">
            <v>компл.</v>
          </cell>
          <cell r="I938">
            <v>0.6</v>
          </cell>
          <cell r="O938">
            <v>43.36</v>
          </cell>
          <cell r="R938">
            <v>0</v>
          </cell>
          <cell r="X938">
            <v>0</v>
          </cell>
          <cell r="Y938">
            <v>0</v>
          </cell>
          <cell r="AK938">
            <v>72.27</v>
          </cell>
        </row>
        <row r="939">
          <cell r="O939">
            <v>213.76</v>
          </cell>
          <cell r="R939">
            <v>0</v>
          </cell>
          <cell r="X939">
            <v>0</v>
          </cell>
          <cell r="Y939">
            <v>0</v>
          </cell>
          <cell r="AW939">
            <v>1</v>
          </cell>
          <cell r="BC939">
            <v>4.93</v>
          </cell>
        </row>
        <row r="940">
          <cell r="E940" t="str">
            <v>72</v>
          </cell>
          <cell r="H940" t="str">
            <v>1  ШТ.</v>
          </cell>
          <cell r="I940">
            <v>3.2</v>
          </cell>
          <cell r="P940">
            <v>1.31</v>
          </cell>
          <cell r="Q940">
            <v>6.87</v>
          </cell>
          <cell r="R940">
            <v>0.5</v>
          </cell>
          <cell r="S940">
            <v>83.26</v>
          </cell>
          <cell r="U940">
            <v>3.718944</v>
          </cell>
          <cell r="X940">
            <v>87.42</v>
          </cell>
          <cell r="Y940">
            <v>64.11</v>
          </cell>
          <cell r="AL940">
            <v>0.41</v>
          </cell>
          <cell r="AM940">
            <v>1.99</v>
          </cell>
          <cell r="AN940">
            <v>0.09</v>
          </cell>
          <cell r="AO940">
            <v>14.88</v>
          </cell>
          <cell r="AQ940">
            <v>1.1100000000000001</v>
          </cell>
          <cell r="DD940" t="str">
            <v/>
          </cell>
          <cell r="DE940" t="str">
            <v/>
          </cell>
          <cell r="DG940" t="str">
            <v>)*1,67</v>
          </cell>
          <cell r="DI940" t="str">
            <v/>
          </cell>
        </row>
        <row r="941">
          <cell r="P941">
            <v>6.17</v>
          </cell>
          <cell r="Q941">
            <v>53.15</v>
          </cell>
          <cell r="R941">
            <v>11.97</v>
          </cell>
          <cell r="S941">
            <v>1993.24</v>
          </cell>
          <cell r="X941">
            <v>1694.25</v>
          </cell>
          <cell r="Y941">
            <v>817.23</v>
          </cell>
          <cell r="AV941">
            <v>1.0469999999999999</v>
          </cell>
          <cell r="AW941">
            <v>1</v>
          </cell>
          <cell r="BA941">
            <v>23.94</v>
          </cell>
          <cell r="BB941">
            <v>7.25</v>
          </cell>
          <cell r="BC941">
            <v>4.71</v>
          </cell>
          <cell r="BS941">
            <v>23.94</v>
          </cell>
          <cell r="BZ941">
            <v>85</v>
          </cell>
          <cell r="CA941">
            <v>41</v>
          </cell>
          <cell r="DN941">
            <v>85</v>
          </cell>
          <cell r="DO941">
            <v>41</v>
          </cell>
        </row>
        <row r="942">
          <cell r="E942" t="str">
            <v>72,1</v>
          </cell>
          <cell r="F942" t="str">
            <v>1.8-1-74</v>
          </cell>
          <cell r="H942" t="str">
            <v>шт.</v>
          </cell>
          <cell r="I942">
            <v>2.6</v>
          </cell>
          <cell r="O942">
            <v>700.54</v>
          </cell>
          <cell r="R942">
            <v>0</v>
          </cell>
          <cell r="X942">
            <v>0</v>
          </cell>
          <cell r="Y942">
            <v>0</v>
          </cell>
          <cell r="AK942">
            <v>269.44</v>
          </cell>
        </row>
        <row r="943">
          <cell r="O943">
            <v>2423.87</v>
          </cell>
          <cell r="R943">
            <v>0</v>
          </cell>
          <cell r="X943">
            <v>0</v>
          </cell>
          <cell r="Y943">
            <v>0</v>
          </cell>
          <cell r="AW943">
            <v>1</v>
          </cell>
          <cell r="BC943">
            <v>3.46</v>
          </cell>
        </row>
        <row r="944">
          <cell r="E944" t="str">
            <v>72,2</v>
          </cell>
          <cell r="F944" t="str">
            <v>1.8-1-75</v>
          </cell>
          <cell r="H944" t="str">
            <v>шт.</v>
          </cell>
          <cell r="I944">
            <v>0.6</v>
          </cell>
          <cell r="O944">
            <v>163.59</v>
          </cell>
          <cell r="R944">
            <v>0</v>
          </cell>
          <cell r="X944">
            <v>0</v>
          </cell>
          <cell r="Y944">
            <v>0</v>
          </cell>
          <cell r="AK944">
            <v>272.64999999999998</v>
          </cell>
        </row>
        <row r="945">
          <cell r="O945">
            <v>703.44</v>
          </cell>
          <cell r="R945">
            <v>0</v>
          </cell>
          <cell r="X945">
            <v>0</v>
          </cell>
          <cell r="Y945">
            <v>0</v>
          </cell>
          <cell r="AW945">
            <v>1</v>
          </cell>
          <cell r="BC945">
            <v>4.3</v>
          </cell>
        </row>
        <row r="947">
          <cell r="G947" t="str">
            <v>Двери</v>
          </cell>
        </row>
        <row r="977">
          <cell r="G977" t="str">
            <v>Перемычки</v>
          </cell>
        </row>
        <row r="981">
          <cell r="E981" t="str">
            <v>73</v>
          </cell>
          <cell r="H981" t="str">
            <v>100 шт. сборных конструкций</v>
          </cell>
          <cell r="I981">
            <v>8.0000000000000002E-3</v>
          </cell>
          <cell r="P981">
            <v>0.9</v>
          </cell>
          <cell r="R981">
            <v>0</v>
          </cell>
          <cell r="S981">
            <v>2.4700000000000002</v>
          </cell>
          <cell r="U981">
            <v>0.1287008</v>
          </cell>
          <cell r="X981">
            <v>3.93</v>
          </cell>
          <cell r="Y981">
            <v>2.94</v>
          </cell>
          <cell r="AL981">
            <v>112.78</v>
          </cell>
          <cell r="AO981">
            <v>169.76</v>
          </cell>
          <cell r="AQ981">
            <v>14.8</v>
          </cell>
          <cell r="DD981" t="str">
            <v/>
          </cell>
          <cell r="DG981" t="str">
            <v>)*1,67</v>
          </cell>
          <cell r="DI981" t="str">
            <v/>
          </cell>
        </row>
        <row r="982">
          <cell r="P982">
            <v>6.47</v>
          </cell>
          <cell r="R982">
            <v>0</v>
          </cell>
          <cell r="S982">
            <v>59.13</v>
          </cell>
          <cell r="X982">
            <v>73.319999999999993</v>
          </cell>
          <cell r="Y982">
            <v>33.11</v>
          </cell>
          <cell r="AV982">
            <v>1.087</v>
          </cell>
          <cell r="AW982">
            <v>1.0029999999999999</v>
          </cell>
          <cell r="BA982">
            <v>23.94</v>
          </cell>
          <cell r="BC982">
            <v>7.19</v>
          </cell>
          <cell r="BZ982">
            <v>124</v>
          </cell>
          <cell r="CA982">
            <v>56</v>
          </cell>
          <cell r="DN982">
            <v>124</v>
          </cell>
          <cell r="DO982">
            <v>56</v>
          </cell>
        </row>
        <row r="983">
          <cell r="E983" t="str">
            <v>73,1</v>
          </cell>
          <cell r="F983" t="str">
            <v>1.5-1-169</v>
          </cell>
          <cell r="H983" t="str">
            <v>м3</v>
          </cell>
          <cell r="I983">
            <v>4.4000000000000003E-3</v>
          </cell>
          <cell r="O983">
            <v>5.66</v>
          </cell>
          <cell r="R983">
            <v>0</v>
          </cell>
          <cell r="X983">
            <v>0</v>
          </cell>
          <cell r="Y983">
            <v>0</v>
          </cell>
          <cell r="AK983">
            <v>1283.54</v>
          </cell>
        </row>
        <row r="984">
          <cell r="O984">
            <v>67.47</v>
          </cell>
          <cell r="R984">
            <v>0</v>
          </cell>
          <cell r="X984">
            <v>0</v>
          </cell>
          <cell r="Y984">
            <v>0</v>
          </cell>
          <cell r="AW984">
            <v>1.0029999999999999</v>
          </cell>
          <cell r="BC984">
            <v>11.92</v>
          </cell>
        </row>
        <row r="987">
          <cell r="E987" t="str">
            <v>73,3</v>
          </cell>
          <cell r="F987" t="str">
            <v>1.5-1-169</v>
          </cell>
          <cell r="H987" t="str">
            <v>м3</v>
          </cell>
          <cell r="I987">
            <v>1.04E-2</v>
          </cell>
          <cell r="O987">
            <v>13.39</v>
          </cell>
          <cell r="R987">
            <v>0</v>
          </cell>
          <cell r="X987">
            <v>0</v>
          </cell>
          <cell r="Y987">
            <v>0</v>
          </cell>
          <cell r="AK987">
            <v>1283.54</v>
          </cell>
        </row>
        <row r="988">
          <cell r="O988">
            <v>159.61000000000001</v>
          </cell>
          <cell r="R988">
            <v>0</v>
          </cell>
          <cell r="X988">
            <v>0</v>
          </cell>
          <cell r="Y988">
            <v>0</v>
          </cell>
          <cell r="AW988">
            <v>1.0029999999999999</v>
          </cell>
          <cell r="BC988">
            <v>11.92</v>
          </cell>
        </row>
        <row r="989">
          <cell r="E989" t="str">
            <v>73,4</v>
          </cell>
          <cell r="F989" t="str">
            <v>1.5-1-169</v>
          </cell>
          <cell r="H989" t="str">
            <v>м3</v>
          </cell>
          <cell r="I989">
            <v>6.6E-3</v>
          </cell>
          <cell r="O989">
            <v>8.5</v>
          </cell>
          <cell r="R989">
            <v>0</v>
          </cell>
          <cell r="X989">
            <v>0</v>
          </cell>
          <cell r="Y989">
            <v>0</v>
          </cell>
          <cell r="AK989">
            <v>1283.54</v>
          </cell>
        </row>
        <row r="990">
          <cell r="O990">
            <v>101.32</v>
          </cell>
          <cell r="R990">
            <v>0</v>
          </cell>
          <cell r="X990">
            <v>0</v>
          </cell>
          <cell r="Y990">
            <v>0</v>
          </cell>
          <cell r="AW990">
            <v>1.0029999999999999</v>
          </cell>
          <cell r="BC990">
            <v>11.92</v>
          </cell>
        </row>
        <row r="998">
          <cell r="G998" t="str">
            <v>Перемычки</v>
          </cell>
        </row>
        <row r="1028">
          <cell r="G1028" t="str">
            <v>Изделия</v>
          </cell>
        </row>
        <row r="1041">
          <cell r="G1041" t="str">
            <v>Изделия</v>
          </cell>
        </row>
        <row r="1071">
          <cell r="G1071" t="str">
            <v>Станционный комплекс "Аминьевское шоссе". Платформенная чать. Архитектурные решения служебных и технических помещений. Уровень платформы.</v>
          </cell>
        </row>
        <row r="1077">
          <cell r="F1077">
            <v>24373.61</v>
          </cell>
          <cell r="H1077" t="str">
            <v>Стоимость материалов (всего)</v>
          </cell>
          <cell r="P1077">
            <v>53200.35</v>
          </cell>
        </row>
        <row r="1085">
          <cell r="F1085">
            <v>3.33</v>
          </cell>
          <cell r="H1085" t="str">
            <v>ЗП машинистов</v>
          </cell>
          <cell r="P1085">
            <v>79.72</v>
          </cell>
        </row>
        <row r="1086">
          <cell r="F1086">
            <v>1252.6400000000001</v>
          </cell>
          <cell r="H1086" t="str">
            <v>Основная ЗП рабочих</v>
          </cell>
          <cell r="P1086">
            <v>30138.78</v>
          </cell>
        </row>
        <row r="1101">
          <cell r="G1101" t="str">
            <v>48482-ТПК_5-0569-р-сср2  12-4017-Л-Р-11.3.1.2.2-АР2-СМ1</v>
          </cell>
        </row>
        <row r="1129">
          <cell r="P1129">
            <v>128074.41</v>
          </cell>
        </row>
        <row r="1130">
          <cell r="F1130">
            <v>24373.61</v>
          </cell>
          <cell r="H1130" t="str">
            <v>Стоимость материалов (всего)</v>
          </cell>
          <cell r="P1130">
            <v>53200.35</v>
          </cell>
        </row>
        <row r="1131">
          <cell r="F1131">
            <v>3.33</v>
          </cell>
          <cell r="H1131" t="str">
            <v>ЗП машинистов</v>
          </cell>
          <cell r="P1131">
            <v>79.72</v>
          </cell>
        </row>
        <row r="1132">
          <cell r="F1132">
            <v>1252.6400000000001</v>
          </cell>
          <cell r="H1132" t="str">
            <v>Основная ЗП рабочих</v>
          </cell>
          <cell r="P1132">
            <v>30138.78</v>
          </cell>
        </row>
        <row r="1133">
          <cell r="F1133">
            <v>0</v>
          </cell>
          <cell r="H1133" t="str">
            <v>Оборудование</v>
          </cell>
          <cell r="P1133">
            <v>0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кт КС-2 по ТСН-2001"/>
      <sheetName val="Source"/>
      <sheetName val="SourceObSm"/>
      <sheetName val="SmtRes"/>
      <sheetName val="EtalonRes"/>
    </sheetNames>
    <sheetDataSet>
      <sheetData sheetId="0" refreshError="1"/>
      <sheetData sheetId="1">
        <row r="20">
          <cell r="G20" t="str">
            <v>Станционный комплекс "Аминьевское шоссе".Вестибюль №2, камера съездов, ТПП. Архитектурные решения служебных и технических помещений. Уровни кассового зала и машинного зала эскалаторов.</v>
          </cell>
        </row>
        <row r="24">
          <cell r="G24" t="str">
            <v>1.ПОЛЫ</v>
          </cell>
        </row>
        <row r="28">
          <cell r="G28" t="str">
            <v>1.1. Тип В2-1</v>
          </cell>
        </row>
        <row r="63">
          <cell r="G63" t="str">
            <v>1.1. Тип В2-1</v>
          </cell>
        </row>
        <row r="93">
          <cell r="G93" t="str">
            <v>1.2. Тип В2- 2</v>
          </cell>
        </row>
        <row r="134">
          <cell r="G134" t="str">
            <v>1.2. Тип В2- 2</v>
          </cell>
        </row>
        <row r="164">
          <cell r="G164" t="str">
            <v>1.3. Тип В2-3</v>
          </cell>
        </row>
        <row r="189">
          <cell r="G189" t="str">
            <v>1.3. Тип В2-3</v>
          </cell>
        </row>
        <row r="219">
          <cell r="G219" t="str">
            <v>1.4. Тип В2-4</v>
          </cell>
        </row>
        <row r="252">
          <cell r="G252" t="str">
            <v>1.4. Тип В2-4</v>
          </cell>
        </row>
        <row r="282">
          <cell r="G282" t="str">
            <v>1.5. Тип В2-4а</v>
          </cell>
        </row>
        <row r="315">
          <cell r="G315" t="str">
            <v>1.5. Тип В2-4а</v>
          </cell>
        </row>
        <row r="345">
          <cell r="G345" t="str">
            <v>1.6.Тип В2-4б</v>
          </cell>
        </row>
        <row r="378">
          <cell r="G378" t="str">
            <v>1.6.Тип В2-4б</v>
          </cell>
        </row>
        <row r="408">
          <cell r="G408" t="str">
            <v>1.7. Тип В2-4в</v>
          </cell>
        </row>
        <row r="441">
          <cell r="G441" t="str">
            <v>1.7. Тип В2-4в</v>
          </cell>
        </row>
        <row r="471">
          <cell r="G471" t="str">
            <v>1.8. Тип В2-6</v>
          </cell>
        </row>
        <row r="502">
          <cell r="G502" t="str">
            <v>1.8. Тип В2-6</v>
          </cell>
        </row>
        <row r="532">
          <cell r="G532" t="str">
            <v>1.9. Тип В2-8</v>
          </cell>
        </row>
        <row r="569">
          <cell r="G569" t="str">
            <v>1.9. Тип В2-8</v>
          </cell>
        </row>
        <row r="599">
          <cell r="G599" t="str">
            <v>1.10. Тип В2-8а</v>
          </cell>
        </row>
        <row r="636">
          <cell r="G636" t="str">
            <v>1.10. Тип В2-8а</v>
          </cell>
        </row>
        <row r="666">
          <cell r="G666" t="str">
            <v>1.11. Марши, площадки лестниц</v>
          </cell>
        </row>
        <row r="695">
          <cell r="G695" t="str">
            <v>1.11. Марши, площадки лестниц</v>
          </cell>
        </row>
        <row r="725">
          <cell r="G725" t="str">
            <v>1.12. Устройство плинтусов</v>
          </cell>
        </row>
        <row r="754">
          <cell r="G754" t="str">
            <v>1.12. Устройство плинтусов</v>
          </cell>
        </row>
        <row r="784">
          <cell r="G784" t="str">
            <v>1.ПОЛЫ</v>
          </cell>
        </row>
        <row r="814">
          <cell r="G814" t="str">
            <v>2.ПОТОЛКИ</v>
          </cell>
        </row>
        <row r="879">
          <cell r="G879" t="str">
            <v>2.ПОТОЛКИ</v>
          </cell>
        </row>
        <row r="909">
          <cell r="G909" t="str">
            <v>3.СТЕНЫ</v>
          </cell>
        </row>
        <row r="913">
          <cell r="E913" t="str">
            <v>83</v>
          </cell>
          <cell r="F913" t="str">
            <v>3.29-1684-1</v>
          </cell>
          <cell r="H913" t="str">
            <v>100 м2</v>
          </cell>
          <cell r="I913">
            <v>0.88839999999999997</v>
          </cell>
          <cell r="P913">
            <v>8073.01</v>
          </cell>
          <cell r="Q913">
            <v>93.9</v>
          </cell>
          <cell r="R913">
            <v>0.9</v>
          </cell>
          <cell r="S913">
            <v>3220.33</v>
          </cell>
          <cell r="U913">
            <v>169.03586799999999</v>
          </cell>
          <cell r="X913">
            <v>0</v>
          </cell>
          <cell r="Y913">
            <v>0</v>
          </cell>
          <cell r="AL913">
            <v>9087.1299999999992</v>
          </cell>
          <cell r="AM913">
            <v>105.7</v>
          </cell>
          <cell r="AN913">
            <v>1.01</v>
          </cell>
          <cell r="AO913">
            <v>3624.86</v>
          </cell>
          <cell r="AQ913">
            <v>190.27</v>
          </cell>
          <cell r="DD913" t="str">
            <v/>
          </cell>
          <cell r="DE913" t="str">
            <v/>
          </cell>
          <cell r="DF913" t="str">
            <v/>
          </cell>
          <cell r="DG913" t="str">
            <v/>
          </cell>
          <cell r="DI913" t="str">
            <v/>
          </cell>
        </row>
        <row r="914">
          <cell r="P914">
            <v>57157.72</v>
          </cell>
          <cell r="Q914">
            <v>207.7</v>
          </cell>
          <cell r="R914">
            <v>21.79</v>
          </cell>
          <cell r="S914">
            <v>77865.570000000007</v>
          </cell>
          <cell r="X914">
            <v>94996</v>
          </cell>
          <cell r="Y914">
            <v>39711.440000000002</v>
          </cell>
          <cell r="AV914">
            <v>1.01</v>
          </cell>
          <cell r="AW914">
            <v>1.01</v>
          </cell>
          <cell r="BA914">
            <v>23.94</v>
          </cell>
          <cell r="BB914">
            <v>2.19</v>
          </cell>
          <cell r="BC914">
            <v>7.01</v>
          </cell>
          <cell r="BS914">
            <v>23.94</v>
          </cell>
          <cell r="BZ914">
            <v>122</v>
          </cell>
          <cell r="CA914">
            <v>51</v>
          </cell>
          <cell r="DN914">
            <v>131</v>
          </cell>
          <cell r="DO914">
            <v>134</v>
          </cell>
        </row>
        <row r="915">
          <cell r="E915" t="str">
            <v>84</v>
          </cell>
          <cell r="H915" t="str">
            <v>1 м3 кладки</v>
          </cell>
          <cell r="I915">
            <v>2.78</v>
          </cell>
          <cell r="P915">
            <v>12.4</v>
          </cell>
          <cell r="R915">
            <v>0</v>
          </cell>
          <cell r="S915">
            <v>244.91</v>
          </cell>
          <cell r="U915">
            <v>13.466820399999998</v>
          </cell>
          <cell r="X915">
            <v>279.2</v>
          </cell>
          <cell r="Y915">
            <v>220.42</v>
          </cell>
          <cell r="AL915">
            <v>4.3499999999999996</v>
          </cell>
          <cell r="AO915">
            <v>49.44</v>
          </cell>
          <cell r="AQ915">
            <v>4.54</v>
          </cell>
          <cell r="DD915" t="str">
            <v/>
          </cell>
          <cell r="DG915" t="str">
            <v>)*1,67</v>
          </cell>
          <cell r="DI915" t="str">
            <v/>
          </cell>
        </row>
        <row r="916">
          <cell r="P916">
            <v>53.32</v>
          </cell>
          <cell r="R916">
            <v>0</v>
          </cell>
          <cell r="S916">
            <v>5863.15</v>
          </cell>
          <cell r="X916">
            <v>5394.1</v>
          </cell>
          <cell r="Y916">
            <v>2403.89</v>
          </cell>
          <cell r="AV916">
            <v>1.0669999999999999</v>
          </cell>
          <cell r="AW916">
            <v>1.0249999999999999</v>
          </cell>
          <cell r="BA916">
            <v>23.94</v>
          </cell>
          <cell r="BC916">
            <v>4.3</v>
          </cell>
          <cell r="BZ916">
            <v>92</v>
          </cell>
          <cell r="CA916">
            <v>41</v>
          </cell>
          <cell r="DN916">
            <v>114</v>
          </cell>
          <cell r="DO916">
            <v>90</v>
          </cell>
        </row>
        <row r="917">
          <cell r="E917" t="str">
            <v>84,1</v>
          </cell>
          <cell r="F917" t="str">
            <v>1.1-1-353</v>
          </cell>
          <cell r="H917" t="str">
            <v>1000 шт.</v>
          </cell>
          <cell r="I917">
            <v>1.0564</v>
          </cell>
          <cell r="O917">
            <v>1155.51</v>
          </cell>
          <cell r="R917">
            <v>0</v>
          </cell>
          <cell r="X917">
            <v>0</v>
          </cell>
          <cell r="Y917">
            <v>0</v>
          </cell>
          <cell r="AK917">
            <v>1067.1400000000001</v>
          </cell>
        </row>
        <row r="918">
          <cell r="O918">
            <v>10041.379999999999</v>
          </cell>
          <cell r="R918">
            <v>0</v>
          </cell>
          <cell r="X918">
            <v>0</v>
          </cell>
          <cell r="Y918">
            <v>0</v>
          </cell>
          <cell r="AW918">
            <v>1.0249999999999999</v>
          </cell>
          <cell r="BC918">
            <v>8.69</v>
          </cell>
        </row>
        <row r="919">
          <cell r="E919" t="str">
            <v>84,2</v>
          </cell>
          <cell r="F919" t="str">
            <v>1.3-2-14</v>
          </cell>
          <cell r="H919" t="str">
            <v>м3</v>
          </cell>
          <cell r="I919">
            <v>0.66720000000000002</v>
          </cell>
          <cell r="O919">
            <v>326.64999999999998</v>
          </cell>
          <cell r="R919">
            <v>0</v>
          </cell>
          <cell r="X919">
            <v>0</v>
          </cell>
          <cell r="Y919">
            <v>0</v>
          </cell>
          <cell r="AK919">
            <v>477.64</v>
          </cell>
        </row>
        <row r="920">
          <cell r="O920">
            <v>2322.48</v>
          </cell>
          <cell r="R920">
            <v>0</v>
          </cell>
          <cell r="X920">
            <v>0</v>
          </cell>
          <cell r="Y920">
            <v>0</v>
          </cell>
          <cell r="AW920">
            <v>1.0249999999999999</v>
          </cell>
          <cell r="BC920">
            <v>7.11</v>
          </cell>
        </row>
        <row r="921">
          <cell r="E921" t="str">
            <v>85</v>
          </cell>
          <cell r="H921" t="str">
            <v>1 т металлических изделий</v>
          </cell>
          <cell r="I921">
            <v>7.1623999999999993E-2</v>
          </cell>
          <cell r="Q921">
            <v>1.8499999999999999</v>
          </cell>
          <cell r="R921">
            <v>0.51</v>
          </cell>
          <cell r="S921">
            <v>74.930000000000007</v>
          </cell>
          <cell r="U921">
            <v>4.310246371199999</v>
          </cell>
          <cell r="X921">
            <v>85.42</v>
          </cell>
          <cell r="Y921">
            <v>67.44</v>
          </cell>
          <cell r="AM921">
            <v>21.51</v>
          </cell>
          <cell r="AN921">
            <v>4.0199999999999996</v>
          </cell>
          <cell r="AO921">
            <v>587.12</v>
          </cell>
          <cell r="AQ921">
            <v>56.4</v>
          </cell>
          <cell r="DE921" t="str">
            <v/>
          </cell>
          <cell r="DG921" t="str">
            <v>)*1,67</v>
          </cell>
          <cell r="DI921" t="str">
            <v/>
          </cell>
        </row>
        <row r="922">
          <cell r="Q922">
            <v>19.79</v>
          </cell>
          <cell r="R922">
            <v>12.21</v>
          </cell>
          <cell r="S922">
            <v>1793.82</v>
          </cell>
          <cell r="X922">
            <v>1650.31</v>
          </cell>
          <cell r="Y922">
            <v>735.47</v>
          </cell>
          <cell r="AV922">
            <v>1.0669999999999999</v>
          </cell>
          <cell r="BA922">
            <v>23.94</v>
          </cell>
          <cell r="BB922">
            <v>9</v>
          </cell>
          <cell r="BS922">
            <v>23.94</v>
          </cell>
          <cell r="BZ922">
            <v>92</v>
          </cell>
          <cell r="CA922">
            <v>41</v>
          </cell>
          <cell r="DN922">
            <v>114</v>
          </cell>
          <cell r="DO922">
            <v>90</v>
          </cell>
        </row>
        <row r="923">
          <cell r="E923" t="str">
            <v>85,1</v>
          </cell>
          <cell r="F923" t="str">
            <v>1.3-4-75</v>
          </cell>
          <cell r="H923" t="str">
            <v>т</v>
          </cell>
          <cell r="I923">
            <v>7.1623999999999993E-2</v>
          </cell>
          <cell r="O923">
            <v>714.58</v>
          </cell>
          <cell r="R923">
            <v>0</v>
          </cell>
          <cell r="X923">
            <v>0</v>
          </cell>
          <cell r="Y923">
            <v>0</v>
          </cell>
          <cell r="AK923">
            <v>9733.52</v>
          </cell>
        </row>
        <row r="924">
          <cell r="O924">
            <v>2279.5100000000002</v>
          </cell>
          <cell r="R924">
            <v>0</v>
          </cell>
          <cell r="X924">
            <v>0</v>
          </cell>
          <cell r="Y924">
            <v>0</v>
          </cell>
          <cell r="AW924">
            <v>1.0249999999999999</v>
          </cell>
          <cell r="BC924">
            <v>3.19</v>
          </cell>
        </row>
        <row r="931">
          <cell r="E931" t="str">
            <v>87</v>
          </cell>
          <cell r="H931" t="str">
            <v>100 м шва</v>
          </cell>
          <cell r="I931">
            <v>0.26719999999999999</v>
          </cell>
          <cell r="Q931">
            <v>6.77</v>
          </cell>
          <cell r="R931">
            <v>1.88</v>
          </cell>
          <cell r="S931">
            <v>19.57</v>
          </cell>
          <cell r="U931">
            <v>1.03510608</v>
          </cell>
          <cell r="X931">
            <v>20.55</v>
          </cell>
          <cell r="Y931">
            <v>15.07</v>
          </cell>
          <cell r="AM931">
            <v>21.51</v>
          </cell>
          <cell r="AN931">
            <v>4.0199999999999996</v>
          </cell>
          <cell r="AO931">
            <v>41.88</v>
          </cell>
          <cell r="AQ931">
            <v>3.7</v>
          </cell>
          <cell r="DE931" t="str">
            <v/>
          </cell>
          <cell r="DG931" t="str">
            <v>)*1,67</v>
          </cell>
          <cell r="DI931" t="str">
            <v/>
          </cell>
        </row>
        <row r="932">
          <cell r="Q932">
            <v>72.14</v>
          </cell>
          <cell r="R932">
            <v>45.01</v>
          </cell>
          <cell r="S932">
            <v>468.51</v>
          </cell>
          <cell r="X932">
            <v>398.23</v>
          </cell>
          <cell r="Y932">
            <v>192.09</v>
          </cell>
          <cell r="AV932">
            <v>1.0469999999999999</v>
          </cell>
          <cell r="BA932">
            <v>23.94</v>
          </cell>
          <cell r="BB932">
            <v>9</v>
          </cell>
          <cell r="BS932">
            <v>23.94</v>
          </cell>
          <cell r="BZ932">
            <v>85</v>
          </cell>
          <cell r="CA932">
            <v>41</v>
          </cell>
          <cell r="DN932">
            <v>105</v>
          </cell>
          <cell r="DO932">
            <v>77</v>
          </cell>
        </row>
        <row r="933">
          <cell r="E933" t="str">
            <v>87,1</v>
          </cell>
          <cell r="F933" t="str">
            <v>1.1-1-394</v>
          </cell>
          <cell r="H933" t="str">
            <v>кг</v>
          </cell>
          <cell r="I933">
            <v>8.016</v>
          </cell>
          <cell r="O933">
            <v>80.08</v>
          </cell>
          <cell r="R933">
            <v>0</v>
          </cell>
          <cell r="X933">
            <v>0</v>
          </cell>
          <cell r="Y933">
            <v>0</v>
          </cell>
          <cell r="AK933">
            <v>9.99</v>
          </cell>
        </row>
        <row r="934">
          <cell r="O934">
            <v>290.69</v>
          </cell>
          <cell r="R934">
            <v>0</v>
          </cell>
          <cell r="X934">
            <v>0</v>
          </cell>
          <cell r="Y934">
            <v>0</v>
          </cell>
          <cell r="AW934">
            <v>1</v>
          </cell>
          <cell r="BC934">
            <v>3.63</v>
          </cell>
        </row>
        <row r="935">
          <cell r="E935" t="str">
            <v>87,2</v>
          </cell>
          <cell r="F935" t="str">
            <v>1.1-1-884</v>
          </cell>
          <cell r="H935" t="str">
            <v>м3</v>
          </cell>
          <cell r="I935">
            <v>0.21376000000000001</v>
          </cell>
          <cell r="O935">
            <v>130.24</v>
          </cell>
          <cell r="R935">
            <v>0</v>
          </cell>
          <cell r="X935">
            <v>0</v>
          </cell>
          <cell r="Y935">
            <v>0</v>
          </cell>
          <cell r="AK935">
            <v>609.28</v>
          </cell>
        </row>
        <row r="936">
          <cell r="O936">
            <v>471.47</v>
          </cell>
          <cell r="R936">
            <v>0</v>
          </cell>
          <cell r="X936">
            <v>0</v>
          </cell>
          <cell r="Y936">
            <v>0</v>
          </cell>
          <cell r="AW936">
            <v>1</v>
          </cell>
          <cell r="BC936">
            <v>3.62</v>
          </cell>
        </row>
        <row r="939">
          <cell r="G939" t="str">
            <v>Простая отделка стен</v>
          </cell>
        </row>
        <row r="948">
          <cell r="E948" t="str">
            <v>89</v>
          </cell>
          <cell r="H948" t="str">
            <v>100 м2</v>
          </cell>
          <cell r="I948">
            <v>1.4356</v>
          </cell>
          <cell r="Q948">
            <v>1.35</v>
          </cell>
          <cell r="R948">
            <v>0.34</v>
          </cell>
          <cell r="S948">
            <v>127.74</v>
          </cell>
          <cell r="U948">
            <v>6.8424285000000005</v>
          </cell>
          <cell r="X948">
            <v>153.29</v>
          </cell>
          <cell r="Y948">
            <v>107.3</v>
          </cell>
          <cell r="AM948">
            <v>0.82</v>
          </cell>
          <cell r="AN948">
            <v>0.14000000000000001</v>
          </cell>
          <cell r="AO948">
            <v>51.98</v>
          </cell>
          <cell r="AQ948">
            <v>4.6500000000000004</v>
          </cell>
          <cell r="DE948" t="str">
            <v/>
          </cell>
          <cell r="DG948" t="str">
            <v>)*1,67</v>
          </cell>
          <cell r="DI948" t="str">
            <v/>
          </cell>
        </row>
        <row r="949">
          <cell r="Q949">
            <v>13.99</v>
          </cell>
          <cell r="R949">
            <v>8.14</v>
          </cell>
          <cell r="S949">
            <v>3058.1</v>
          </cell>
          <cell r="X949">
            <v>2691.13</v>
          </cell>
          <cell r="Y949">
            <v>1284.4000000000001</v>
          </cell>
          <cell r="AV949">
            <v>1.0249999999999999</v>
          </cell>
          <cell r="BA949">
            <v>23.94</v>
          </cell>
          <cell r="BB949">
            <v>8.7899999999999991</v>
          </cell>
          <cell r="BS949">
            <v>23.94</v>
          </cell>
          <cell r="BZ949">
            <v>88</v>
          </cell>
          <cell r="CA949">
            <v>42</v>
          </cell>
          <cell r="DN949">
            <v>120</v>
          </cell>
          <cell r="DO949">
            <v>84</v>
          </cell>
        </row>
        <row r="950">
          <cell r="E950" t="str">
            <v>89,1</v>
          </cell>
          <cell r="F950" t="str">
            <v>1.1-1-3552</v>
          </cell>
          <cell r="H950" t="str">
            <v>л</v>
          </cell>
          <cell r="I950">
            <v>14.78668</v>
          </cell>
          <cell r="O950">
            <v>593.98</v>
          </cell>
          <cell r="R950">
            <v>0</v>
          </cell>
          <cell r="X950">
            <v>0</v>
          </cell>
          <cell r="Y950">
            <v>0</v>
          </cell>
          <cell r="AK950">
            <v>40.17</v>
          </cell>
        </row>
        <row r="951">
          <cell r="O951">
            <v>867.21</v>
          </cell>
          <cell r="R951">
            <v>0</v>
          </cell>
          <cell r="X951">
            <v>0</v>
          </cell>
          <cell r="Y951">
            <v>0</v>
          </cell>
          <cell r="AW951">
            <v>1</v>
          </cell>
          <cell r="BC951">
            <v>1.46</v>
          </cell>
        </row>
        <row r="958">
          <cell r="E958" t="str">
            <v>91</v>
          </cell>
          <cell r="H958" t="str">
            <v>100 м2</v>
          </cell>
          <cell r="I958">
            <v>0.48020000000000002</v>
          </cell>
          <cell r="Q958">
            <v>0.45</v>
          </cell>
          <cell r="R958">
            <v>0.12</v>
          </cell>
          <cell r="S958">
            <v>42.73</v>
          </cell>
          <cell r="U958">
            <v>2.2887532500000001</v>
          </cell>
          <cell r="X958">
            <v>51.28</v>
          </cell>
          <cell r="Y958">
            <v>35.89</v>
          </cell>
          <cell r="AM958">
            <v>0.82</v>
          </cell>
          <cell r="AN958">
            <v>0.14000000000000001</v>
          </cell>
          <cell r="AO958">
            <v>51.98</v>
          </cell>
          <cell r="AQ958">
            <v>4.6500000000000004</v>
          </cell>
          <cell r="DE958" t="str">
            <v/>
          </cell>
          <cell r="DG958" t="str">
            <v>)*1,67</v>
          </cell>
          <cell r="DI958" t="str">
            <v/>
          </cell>
        </row>
        <row r="959">
          <cell r="Q959">
            <v>4.72</v>
          </cell>
          <cell r="R959">
            <v>2.87</v>
          </cell>
          <cell r="S959">
            <v>1022.96</v>
          </cell>
          <cell r="X959">
            <v>900.2</v>
          </cell>
          <cell r="Y959">
            <v>429.64</v>
          </cell>
          <cell r="AV959">
            <v>1.0249999999999999</v>
          </cell>
          <cell r="BA959">
            <v>23.94</v>
          </cell>
          <cell r="BB959">
            <v>8.7899999999999991</v>
          </cell>
          <cell r="BS959">
            <v>23.94</v>
          </cell>
          <cell r="BZ959">
            <v>88</v>
          </cell>
          <cell r="CA959">
            <v>42</v>
          </cell>
          <cell r="DN959">
            <v>120</v>
          </cell>
          <cell r="DO959">
            <v>84</v>
          </cell>
        </row>
        <row r="960">
          <cell r="E960" t="str">
            <v>91,1</v>
          </cell>
          <cell r="F960" t="str">
            <v>1.1-1-3552</v>
          </cell>
          <cell r="H960" t="str">
            <v>л</v>
          </cell>
          <cell r="I960">
            <v>4.9460600000000001</v>
          </cell>
          <cell r="O960">
            <v>198.68</v>
          </cell>
          <cell r="R960">
            <v>0</v>
          </cell>
          <cell r="X960">
            <v>0</v>
          </cell>
          <cell r="Y960">
            <v>0</v>
          </cell>
          <cell r="AK960">
            <v>40.17</v>
          </cell>
        </row>
        <row r="961">
          <cell r="O961">
            <v>290.07</v>
          </cell>
          <cell r="R961">
            <v>0</v>
          </cell>
          <cell r="X961">
            <v>0</v>
          </cell>
          <cell r="Y961">
            <v>0</v>
          </cell>
          <cell r="AW961">
            <v>1</v>
          </cell>
          <cell r="BC961">
            <v>1.46</v>
          </cell>
        </row>
        <row r="968">
          <cell r="G968" t="str">
            <v>Улучшенная отделка стен</v>
          </cell>
        </row>
        <row r="977">
          <cell r="E977" t="str">
            <v>94</v>
          </cell>
          <cell r="H977" t="str">
            <v>100 м2</v>
          </cell>
          <cell r="I977">
            <v>1.5666</v>
          </cell>
          <cell r="Q977">
            <v>1.47</v>
          </cell>
          <cell r="R977">
            <v>0.38</v>
          </cell>
          <cell r="S977">
            <v>139.38999999999999</v>
          </cell>
          <cell r="U977">
            <v>7.4668072500000005</v>
          </cell>
          <cell r="X977">
            <v>167.27</v>
          </cell>
          <cell r="Y977">
            <v>117.09</v>
          </cell>
          <cell r="AM977">
            <v>0.82</v>
          </cell>
          <cell r="AN977">
            <v>0.14000000000000001</v>
          </cell>
          <cell r="AO977">
            <v>51.98</v>
          </cell>
          <cell r="AQ977">
            <v>4.6500000000000004</v>
          </cell>
          <cell r="DE977" t="str">
            <v/>
          </cell>
          <cell r="DG977" t="str">
            <v>)*1,67</v>
          </cell>
          <cell r="DI977" t="str">
            <v/>
          </cell>
        </row>
        <row r="978">
          <cell r="Q978">
            <v>15.19</v>
          </cell>
          <cell r="R978">
            <v>9.1</v>
          </cell>
          <cell r="S978">
            <v>3337</v>
          </cell>
          <cell r="X978">
            <v>2936.56</v>
          </cell>
          <cell r="Y978">
            <v>1401.54</v>
          </cell>
          <cell r="AV978">
            <v>1.0249999999999999</v>
          </cell>
          <cell r="BA978">
            <v>23.94</v>
          </cell>
          <cell r="BB978">
            <v>8.7899999999999991</v>
          </cell>
          <cell r="BS978">
            <v>23.94</v>
          </cell>
          <cell r="BZ978">
            <v>88</v>
          </cell>
          <cell r="CA978">
            <v>42</v>
          </cell>
          <cell r="DN978">
            <v>120</v>
          </cell>
          <cell r="DO978">
            <v>84</v>
          </cell>
        </row>
        <row r="979">
          <cell r="E979" t="str">
            <v>94,1</v>
          </cell>
          <cell r="F979" t="str">
            <v>1.1-1-3552</v>
          </cell>
          <cell r="H979" t="str">
            <v>л</v>
          </cell>
          <cell r="I979">
            <v>16.13598</v>
          </cell>
          <cell r="O979">
            <v>648.17999999999995</v>
          </cell>
          <cell r="R979">
            <v>0</v>
          </cell>
          <cell r="X979">
            <v>0</v>
          </cell>
          <cell r="Y979">
            <v>0</v>
          </cell>
          <cell r="AK979">
            <v>40.17</v>
          </cell>
        </row>
        <row r="980">
          <cell r="O980">
            <v>946.34</v>
          </cell>
          <cell r="R980">
            <v>0</v>
          </cell>
          <cell r="X980">
            <v>0</v>
          </cell>
          <cell r="Y980">
            <v>0</v>
          </cell>
          <cell r="AW980">
            <v>1</v>
          </cell>
          <cell r="BC980">
            <v>1.46</v>
          </cell>
        </row>
        <row r="987">
          <cell r="E987" t="str">
            <v>96</v>
          </cell>
          <cell r="H987" t="str">
            <v>100 м2</v>
          </cell>
          <cell r="I987">
            <v>0.38419999999999999</v>
          </cell>
          <cell r="Q987">
            <v>0.36</v>
          </cell>
          <cell r="R987">
            <v>0.09</v>
          </cell>
          <cell r="S987">
            <v>34.18</v>
          </cell>
          <cell r="U987">
            <v>1.8311932500000001</v>
          </cell>
          <cell r="X987">
            <v>41.02</v>
          </cell>
          <cell r="Y987">
            <v>28.71</v>
          </cell>
          <cell r="AM987">
            <v>0.82</v>
          </cell>
          <cell r="AN987">
            <v>0.14000000000000001</v>
          </cell>
          <cell r="AO987">
            <v>51.98</v>
          </cell>
          <cell r="AQ987">
            <v>4.6500000000000004</v>
          </cell>
          <cell r="DE987" t="str">
            <v/>
          </cell>
          <cell r="DG987" t="str">
            <v>)*1,67</v>
          </cell>
          <cell r="DI987" t="str">
            <v/>
          </cell>
        </row>
        <row r="988">
          <cell r="Q988">
            <v>3.77</v>
          </cell>
          <cell r="R988">
            <v>2.15</v>
          </cell>
          <cell r="S988">
            <v>818.27</v>
          </cell>
          <cell r="X988">
            <v>720.08</v>
          </cell>
          <cell r="Y988">
            <v>343.67</v>
          </cell>
          <cell r="AV988">
            <v>1.0249999999999999</v>
          </cell>
          <cell r="BA988">
            <v>23.94</v>
          </cell>
          <cell r="BB988">
            <v>8.7899999999999991</v>
          </cell>
          <cell r="BS988">
            <v>23.94</v>
          </cell>
          <cell r="BZ988">
            <v>88</v>
          </cell>
          <cell r="CA988">
            <v>42</v>
          </cell>
          <cell r="DN988">
            <v>120</v>
          </cell>
          <cell r="DO988">
            <v>84</v>
          </cell>
        </row>
        <row r="989">
          <cell r="E989" t="str">
            <v>96,1</v>
          </cell>
          <cell r="F989" t="str">
            <v>1.1-1-3552</v>
          </cell>
          <cell r="H989" t="str">
            <v>л</v>
          </cell>
          <cell r="I989">
            <v>3.9572600000000002</v>
          </cell>
          <cell r="O989">
            <v>158.96</v>
          </cell>
          <cell r="R989">
            <v>0</v>
          </cell>
          <cell r="X989">
            <v>0</v>
          </cell>
          <cell r="Y989">
            <v>0</v>
          </cell>
          <cell r="AK989">
            <v>40.17</v>
          </cell>
        </row>
        <row r="990">
          <cell r="O990">
            <v>232.08</v>
          </cell>
          <cell r="R990">
            <v>0</v>
          </cell>
          <cell r="X990">
            <v>0</v>
          </cell>
          <cell r="Y990">
            <v>0</v>
          </cell>
          <cell r="AW990">
            <v>1</v>
          </cell>
          <cell r="BC990">
            <v>1.46</v>
          </cell>
        </row>
        <row r="997">
          <cell r="G997" t="str">
            <v>Облицовка стен керамической плиткой</v>
          </cell>
        </row>
        <row r="1016">
          <cell r="E1016" t="str">
            <v>100</v>
          </cell>
          <cell r="H1016" t="str">
            <v>100 м2</v>
          </cell>
          <cell r="I1016">
            <v>5.4600000000000003E-2</v>
          </cell>
          <cell r="Q1016">
            <v>6.0000000000000005E-2</v>
          </cell>
          <cell r="R1016">
            <v>0.01</v>
          </cell>
          <cell r="S1016">
            <v>4.8600000000000003</v>
          </cell>
          <cell r="U1016">
            <v>0.26023725000000003</v>
          </cell>
          <cell r="X1016">
            <v>5.83</v>
          </cell>
          <cell r="Y1016">
            <v>4.08</v>
          </cell>
          <cell r="AM1016">
            <v>0.82</v>
          </cell>
          <cell r="AN1016">
            <v>0.14000000000000001</v>
          </cell>
          <cell r="AO1016">
            <v>51.98</v>
          </cell>
          <cell r="AQ1016">
            <v>4.6500000000000004</v>
          </cell>
          <cell r="DE1016" t="str">
            <v/>
          </cell>
          <cell r="DG1016" t="str">
            <v>)*1,67</v>
          </cell>
          <cell r="DI1016" t="str">
            <v/>
          </cell>
        </row>
        <row r="1017">
          <cell r="Q1017">
            <v>0.67999999999999994</v>
          </cell>
          <cell r="R1017">
            <v>0.24</v>
          </cell>
          <cell r="S1017">
            <v>116.35</v>
          </cell>
          <cell r="X1017">
            <v>102.39</v>
          </cell>
          <cell r="Y1017">
            <v>48.87</v>
          </cell>
          <cell r="AV1017">
            <v>1.0249999999999999</v>
          </cell>
          <cell r="BA1017">
            <v>23.94</v>
          </cell>
          <cell r="BB1017">
            <v>8.7899999999999991</v>
          </cell>
          <cell r="BS1017">
            <v>23.94</v>
          </cell>
          <cell r="BZ1017">
            <v>88</v>
          </cell>
          <cell r="CA1017">
            <v>42</v>
          </cell>
          <cell r="DN1017">
            <v>120</v>
          </cell>
          <cell r="DO1017">
            <v>84</v>
          </cell>
        </row>
        <row r="1018">
          <cell r="E1018" t="str">
            <v>100,1</v>
          </cell>
          <cell r="F1018" t="str">
            <v>1.1-1-3715</v>
          </cell>
          <cell r="H1018" t="str">
            <v>кг</v>
          </cell>
          <cell r="I1018">
            <v>0.56237999999999999</v>
          </cell>
          <cell r="O1018">
            <v>20.36</v>
          </cell>
          <cell r="R1018">
            <v>0</v>
          </cell>
          <cell r="X1018">
            <v>0</v>
          </cell>
          <cell r="Y1018">
            <v>0</v>
          </cell>
          <cell r="AK1018">
            <v>36.21</v>
          </cell>
        </row>
        <row r="1019">
          <cell r="O1019">
            <v>103.23</v>
          </cell>
          <cell r="R1019">
            <v>0</v>
          </cell>
          <cell r="X1019">
            <v>0</v>
          </cell>
          <cell r="Y1019">
            <v>0</v>
          </cell>
          <cell r="AW1019">
            <v>1</v>
          </cell>
          <cell r="BC1019">
            <v>5.07</v>
          </cell>
        </row>
        <row r="1043">
          <cell r="G1043" t="str">
            <v>3.СТЕНЫ</v>
          </cell>
        </row>
        <row r="1073">
          <cell r="G1073" t="str">
            <v>4.ДВЕРИ</v>
          </cell>
        </row>
        <row r="1102">
          <cell r="G1102" t="str">
            <v>4.ДВЕРИ</v>
          </cell>
        </row>
        <row r="1132">
          <cell r="G1132" t="str">
            <v>5.ПЕРЕМЫЧКИ</v>
          </cell>
        </row>
        <row r="1136">
          <cell r="E1136" t="str">
            <v>108</v>
          </cell>
          <cell r="H1136" t="str">
            <v>100 шт. сборных конструкций</v>
          </cell>
          <cell r="I1136">
            <v>3.2000000000000001E-2</v>
          </cell>
          <cell r="P1136">
            <v>3.62</v>
          </cell>
          <cell r="R1136">
            <v>0</v>
          </cell>
          <cell r="S1136">
            <v>9.86</v>
          </cell>
          <cell r="U1136">
            <v>0.51480320000000002</v>
          </cell>
          <cell r="X1136">
            <v>15.68</v>
          </cell>
          <cell r="Y1136">
            <v>11.73</v>
          </cell>
          <cell r="AL1136">
            <v>112.78</v>
          </cell>
          <cell r="AO1136">
            <v>169.76</v>
          </cell>
          <cell r="AQ1136">
            <v>14.8</v>
          </cell>
          <cell r="DD1136" t="str">
            <v/>
          </cell>
          <cell r="DG1136" t="str">
            <v>)*1,67</v>
          </cell>
          <cell r="DI1136" t="str">
            <v/>
          </cell>
        </row>
        <row r="1137">
          <cell r="P1137">
            <v>26.03</v>
          </cell>
          <cell r="R1137">
            <v>0</v>
          </cell>
          <cell r="S1137">
            <v>236.05</v>
          </cell>
          <cell r="X1137">
            <v>292.7</v>
          </cell>
          <cell r="Y1137">
            <v>132.19</v>
          </cell>
          <cell r="AV1137">
            <v>1.087</v>
          </cell>
          <cell r="AW1137">
            <v>1.0029999999999999</v>
          </cell>
          <cell r="BA1137">
            <v>23.94</v>
          </cell>
          <cell r="BC1137">
            <v>7.19</v>
          </cell>
          <cell r="BZ1137">
            <v>124</v>
          </cell>
          <cell r="CA1137">
            <v>56</v>
          </cell>
          <cell r="DN1137">
            <v>159</v>
          </cell>
          <cell r="DO1137">
            <v>119</v>
          </cell>
        </row>
        <row r="1138">
          <cell r="E1138" t="str">
            <v>108,1</v>
          </cell>
          <cell r="F1138" t="str">
            <v>1.5-1-169</v>
          </cell>
          <cell r="H1138" t="str">
            <v>м3</v>
          </cell>
          <cell r="I1138">
            <v>6.7999999999999996E-3</v>
          </cell>
          <cell r="O1138">
            <v>8.75</v>
          </cell>
          <cell r="R1138">
            <v>0</v>
          </cell>
          <cell r="X1138">
            <v>0</v>
          </cell>
          <cell r="Y1138">
            <v>0</v>
          </cell>
          <cell r="AK1138">
            <v>1283.54</v>
          </cell>
        </row>
        <row r="1139">
          <cell r="O1139">
            <v>104.3</v>
          </cell>
          <cell r="R1139">
            <v>0</v>
          </cell>
          <cell r="X1139">
            <v>0</v>
          </cell>
          <cell r="Y1139">
            <v>0</v>
          </cell>
          <cell r="AW1139">
            <v>1.0029999999999999</v>
          </cell>
          <cell r="BC1139">
            <v>11.92</v>
          </cell>
        </row>
        <row r="1140">
          <cell r="E1140" t="str">
            <v>108,2</v>
          </cell>
          <cell r="F1140" t="str">
            <v>1.5-1-169</v>
          </cell>
          <cell r="H1140" t="str">
            <v>м3</v>
          </cell>
          <cell r="I1140">
            <v>5.28E-2</v>
          </cell>
          <cell r="O1140">
            <v>67.97</v>
          </cell>
          <cell r="R1140">
            <v>0</v>
          </cell>
          <cell r="X1140">
            <v>0</v>
          </cell>
          <cell r="Y1140">
            <v>0</v>
          </cell>
          <cell r="AK1140">
            <v>1283.54</v>
          </cell>
        </row>
        <row r="1141">
          <cell r="O1141">
            <v>810.2</v>
          </cell>
          <cell r="R1141">
            <v>0</v>
          </cell>
          <cell r="X1141">
            <v>0</v>
          </cell>
          <cell r="Y1141">
            <v>0</v>
          </cell>
          <cell r="AW1141">
            <v>1.0029999999999999</v>
          </cell>
          <cell r="BC1141">
            <v>11.92</v>
          </cell>
        </row>
        <row r="1142">
          <cell r="E1142" t="str">
            <v>108,3</v>
          </cell>
          <cell r="F1142" t="str">
            <v>1.5-1-169</v>
          </cell>
          <cell r="H1142" t="str">
            <v>м3</v>
          </cell>
          <cell r="I1142">
            <v>1.2E-2</v>
          </cell>
          <cell r="O1142">
            <v>15.45</v>
          </cell>
          <cell r="R1142">
            <v>0</v>
          </cell>
          <cell r="X1142">
            <v>0</v>
          </cell>
          <cell r="Y1142">
            <v>0</v>
          </cell>
          <cell r="AK1142">
            <v>1283.54</v>
          </cell>
        </row>
        <row r="1143">
          <cell r="O1143">
            <v>184.16</v>
          </cell>
          <cell r="R1143">
            <v>0</v>
          </cell>
          <cell r="X1143">
            <v>0</v>
          </cell>
          <cell r="Y1143">
            <v>0</v>
          </cell>
          <cell r="AW1143">
            <v>1.0029999999999999</v>
          </cell>
          <cell r="BC1143">
            <v>11.92</v>
          </cell>
        </row>
        <row r="1149">
          <cell r="G1149" t="str">
            <v>5.ПЕРЕМЫЧКИ</v>
          </cell>
        </row>
        <row r="1179">
          <cell r="G1179" t="str">
            <v>6.ИЗДЕЛИЯ</v>
          </cell>
        </row>
        <row r="1183">
          <cell r="G1183" t="str">
            <v>6.1. Решетки для дренажной системы</v>
          </cell>
        </row>
        <row r="1196">
          <cell r="G1196" t="str">
            <v>6.1. Решетки для дренажной системы</v>
          </cell>
        </row>
        <row r="1226">
          <cell r="G1226" t="str">
            <v>6.ИЗДЕЛИЯ</v>
          </cell>
        </row>
        <row r="1256">
          <cell r="G1256" t="str">
            <v>Станционный комплекс "Аминьевское шоссе".Вестибюль №2, камера съездов, ТПП. Архитектурные решения служебных и технических помещений. Уровни кассового зала и машинного зала эскалаторов.</v>
          </cell>
        </row>
        <row r="1262">
          <cell r="F1262">
            <v>12208.42</v>
          </cell>
          <cell r="H1262" t="str">
            <v>Стоимость материалов (всего)</v>
          </cell>
          <cell r="P1262">
            <v>76180.19</v>
          </cell>
        </row>
        <row r="1270">
          <cell r="F1270">
            <v>4.2300000000000004</v>
          </cell>
          <cell r="H1270" t="str">
            <v>ЗП машинистов</v>
          </cell>
          <cell r="P1270">
            <v>101.51</v>
          </cell>
        </row>
        <row r="1271">
          <cell r="F1271">
            <v>3918.5</v>
          </cell>
          <cell r="H1271" t="str">
            <v>Основная ЗП рабочих</v>
          </cell>
          <cell r="P1271">
            <v>94579.78</v>
          </cell>
        </row>
        <row r="1286">
          <cell r="G1286" t="str">
            <v>48701-ТПК_5-0647-Р-ССР2 12-4017-Л-Р-11.4.1.2.1-АР1-СМ1 (48701)</v>
          </cell>
        </row>
        <row r="1314">
          <cell r="P1314">
            <v>328022.24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 м"/>
      <sheetName val="ТрМ. "/>
      <sheetName val="вск1"/>
      <sheetName val="вск1 (2)"/>
      <sheetName val="сод"/>
      <sheetName val="П.з "/>
      <sheetName val="C.с"/>
      <sheetName val="C.сМ"/>
      <sheetName val="C.сП"/>
      <sheetName val="C.с (3)"/>
      <sheetName val="зим"/>
      <sheetName val="вр"/>
      <sheetName val="Тр.(пут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кт КС-2 по ТСН-2001"/>
      <sheetName val="Source"/>
      <sheetName val="SourceObSm"/>
      <sheetName val="SmtRes"/>
      <sheetName val="EtalonRes"/>
    </sheetNames>
    <sheetDataSet>
      <sheetData sheetId="0" refreshError="1"/>
      <sheetData sheetId="1">
        <row r="12">
          <cell r="G12" t="str">
            <v>(48701 доп.1) 12-4017-Л-Р-11.4.1.2.1-АР1-СМ1-Доп1  Ст.комплекс Аминьевское шоссе. Вестибюль №2, камера съездов, ТПП. АР. Уровень кассового зала и машинного зала эскалаторов.</v>
          </cell>
        </row>
        <row r="1388">
          <cell r="G1388" t="str">
            <v>Закладные элементы в полах</v>
          </cell>
        </row>
        <row r="1398">
          <cell r="E1398" t="str">
            <v>182</v>
          </cell>
          <cell r="F1398" t="str">
            <v>3.6-6-6</v>
          </cell>
          <cell r="H1398" t="str">
            <v>1 Т</v>
          </cell>
          <cell r="I1398">
            <v>2.5539999999999998</v>
          </cell>
          <cell r="P1398">
            <v>131.4</v>
          </cell>
          <cell r="Q1398">
            <v>760.92</v>
          </cell>
          <cell r="R1398">
            <v>174.74</v>
          </cell>
          <cell r="S1398">
            <v>2395.15</v>
          </cell>
          <cell r="U1398">
            <v>113.64661499999998</v>
          </cell>
          <cell r="X1398">
            <v>2347.25</v>
          </cell>
          <cell r="Y1398">
            <v>1676.61</v>
          </cell>
          <cell r="AL1398">
            <v>50.34</v>
          </cell>
          <cell r="AM1398">
            <v>258.33999999999997</v>
          </cell>
          <cell r="AN1398">
            <v>39.130000000000003</v>
          </cell>
          <cell r="AO1398">
            <v>536.35</v>
          </cell>
          <cell r="AQ1398">
            <v>42.5</v>
          </cell>
          <cell r="DD1398">
            <v>0</v>
          </cell>
          <cell r="DE1398">
            <v>0</v>
          </cell>
          <cell r="DG1398" t="str">
            <v>)*1,67</v>
          </cell>
          <cell r="DI1398">
            <v>0</v>
          </cell>
        </row>
        <row r="1399">
          <cell r="P1399">
            <v>1501.9</v>
          </cell>
          <cell r="Q1399">
            <v>7785.1900000000005</v>
          </cell>
          <cell r="R1399">
            <v>4183.28</v>
          </cell>
          <cell r="S1399">
            <v>57339.89</v>
          </cell>
          <cell r="X1399">
            <v>52752.7</v>
          </cell>
          <cell r="Y1399">
            <v>37270.93</v>
          </cell>
          <cell r="AV1399">
            <v>1.0469999999999999</v>
          </cell>
          <cell r="AW1399">
            <v>1.022</v>
          </cell>
          <cell r="BA1399">
            <v>23.94</v>
          </cell>
          <cell r="BB1399">
            <v>8.84</v>
          </cell>
          <cell r="BC1399">
            <v>11.43</v>
          </cell>
          <cell r="BS1399">
            <v>23.94</v>
          </cell>
          <cell r="BZ1399">
            <v>92</v>
          </cell>
          <cell r="CA1399">
            <v>65</v>
          </cell>
          <cell r="DN1399">
            <v>98</v>
          </cell>
          <cell r="DO1399">
            <v>70</v>
          </cell>
        </row>
        <row r="1400">
          <cell r="E1400" t="str">
            <v>182,1</v>
          </cell>
          <cell r="F1400" t="str">
            <v>1.12-6-17</v>
          </cell>
          <cell r="H1400" t="str">
            <v>м</v>
          </cell>
          <cell r="I1400">
            <v>6.6000000000000003E-2</v>
          </cell>
          <cell r="O1400">
            <v>2.79</v>
          </cell>
          <cell r="R1400">
            <v>0</v>
          </cell>
          <cell r="X1400">
            <v>0</v>
          </cell>
          <cell r="Y1400">
            <v>0</v>
          </cell>
          <cell r="AK1400">
            <v>41.37</v>
          </cell>
        </row>
        <row r="1401">
          <cell r="O1401">
            <v>8.51</v>
          </cell>
          <cell r="R1401">
            <v>0</v>
          </cell>
          <cell r="X1401">
            <v>0</v>
          </cell>
          <cell r="Y1401">
            <v>0</v>
          </cell>
          <cell r="AW1401">
            <v>1.022</v>
          </cell>
          <cell r="BC1401">
            <v>3.05</v>
          </cell>
        </row>
        <row r="1402">
          <cell r="E1402" t="str">
            <v>182,2</v>
          </cell>
          <cell r="F1402" t="str">
            <v>1.12-6-25</v>
          </cell>
          <cell r="H1402" t="str">
            <v>м</v>
          </cell>
          <cell r="I1402">
            <v>2.4460000000000002</v>
          </cell>
          <cell r="O1402">
            <v>217.26</v>
          </cell>
          <cell r="R1402">
            <v>0</v>
          </cell>
          <cell r="X1402">
            <v>0</v>
          </cell>
          <cell r="Y1402">
            <v>0</v>
          </cell>
          <cell r="AK1402">
            <v>86.91</v>
          </cell>
        </row>
        <row r="1403">
          <cell r="O1403">
            <v>686.54</v>
          </cell>
          <cell r="R1403">
            <v>0</v>
          </cell>
          <cell r="X1403">
            <v>0</v>
          </cell>
          <cell r="Y1403">
            <v>0</v>
          </cell>
          <cell r="AW1403">
            <v>1.022</v>
          </cell>
          <cell r="BC1403">
            <v>3.16</v>
          </cell>
        </row>
        <row r="1404">
          <cell r="E1404" t="str">
            <v>182,3</v>
          </cell>
          <cell r="F1404" t="str">
            <v>1.12-6-32</v>
          </cell>
          <cell r="H1404" t="str">
            <v>м</v>
          </cell>
          <cell r="I1404">
            <v>4.200000000000001E-2</v>
          </cell>
          <cell r="O1404">
            <v>4.4400000000000004</v>
          </cell>
          <cell r="R1404">
            <v>0</v>
          </cell>
          <cell r="X1404">
            <v>0</v>
          </cell>
          <cell r="Y1404">
            <v>0</v>
          </cell>
          <cell r="AK1404">
            <v>103.48</v>
          </cell>
        </row>
        <row r="1405">
          <cell r="O1405">
            <v>13.36</v>
          </cell>
          <cell r="R1405">
            <v>0</v>
          </cell>
          <cell r="X1405">
            <v>0</v>
          </cell>
          <cell r="Y1405">
            <v>0</v>
          </cell>
          <cell r="AW1405">
            <v>1.022</v>
          </cell>
          <cell r="BC1405">
            <v>3.01</v>
          </cell>
        </row>
        <row r="1407">
          <cell r="G1407" t="str">
            <v>Закладные элементы в полах</v>
          </cell>
        </row>
        <row r="1565">
          <cell r="G1565" t="str">
            <v>(48701 доп.1) 12-4017-Л-Р-11.4.1.2.1-АР1-СМ1-Доп1  Ст.комплекс Аминьевское шоссе. Вестибюль №2, камера съездов, ТПП. АР. Уровень кассового зала и машинного зала эскалаторов.</v>
          </cell>
        </row>
        <row r="1568">
          <cell r="F1568">
            <v>355.89</v>
          </cell>
          <cell r="H1568" t="str">
            <v>Стоимость материальных ресурсов (всего)</v>
          </cell>
          <cell r="P1568">
            <v>2210.31</v>
          </cell>
        </row>
        <row r="1579">
          <cell r="F1579">
            <v>174.74</v>
          </cell>
          <cell r="H1579" t="str">
            <v>ЗП машинистов</v>
          </cell>
          <cell r="P1579">
            <v>4183.28</v>
          </cell>
        </row>
        <row r="1580">
          <cell r="F1580">
            <v>2395.15</v>
          </cell>
          <cell r="H1580" t="str">
            <v>Основная ЗП рабочих</v>
          </cell>
          <cell r="P1580">
            <v>57339.89</v>
          </cell>
        </row>
        <row r="1593">
          <cell r="P1593">
            <v>163926.76999999999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кт КС-2 по ТСН-2001"/>
      <sheetName val="Source"/>
      <sheetName val="SourceObSm"/>
      <sheetName val="SmtRes"/>
      <sheetName val="EtalonRes"/>
    </sheetNames>
    <sheetDataSet>
      <sheetData sheetId="0" refreshError="1"/>
      <sheetData sheetId="1">
        <row r="24">
          <cell r="G24" t="str">
            <v>Полы, стены, покрытие</v>
          </cell>
        </row>
        <row r="28">
          <cell r="G28" t="str">
            <v>Тип Т01</v>
          </cell>
        </row>
        <row r="65">
          <cell r="G65" t="str">
            <v>Тип Т01</v>
          </cell>
        </row>
        <row r="95">
          <cell r="G95" t="str">
            <v>Тип Т01*</v>
          </cell>
        </row>
        <row r="99">
          <cell r="E99" t="str">
            <v>1</v>
          </cell>
          <cell r="H99" t="str">
            <v>100 м3 в деле</v>
          </cell>
          <cell r="I99">
            <v>1.8200000000000001E-2</v>
          </cell>
          <cell r="P99">
            <v>34.590000000000003</v>
          </cell>
          <cell r="Q99">
            <v>0.45999999999999996</v>
          </cell>
          <cell r="R99">
            <v>7.0000000000000007E-2</v>
          </cell>
          <cell r="S99">
            <v>43.91</v>
          </cell>
          <cell r="U99">
            <v>2.572479</v>
          </cell>
          <cell r="X99">
            <v>43.03</v>
          </cell>
          <cell r="Y99">
            <v>30.74</v>
          </cell>
          <cell r="AL99">
            <v>1859.87</v>
          </cell>
          <cell r="AM99">
            <v>22.6</v>
          </cell>
          <cell r="AN99">
            <v>2.09</v>
          </cell>
          <cell r="AO99">
            <v>1379.7</v>
          </cell>
          <cell r="AQ99">
            <v>135</v>
          </cell>
          <cell r="DD99" t="str">
            <v/>
          </cell>
          <cell r="DE99" t="str">
            <v/>
          </cell>
          <cell r="DG99" t="str">
            <v>)*1,67</v>
          </cell>
          <cell r="DI99" t="str">
            <v/>
          </cell>
        </row>
        <row r="100">
          <cell r="P100">
            <v>102.04</v>
          </cell>
          <cell r="Q100">
            <v>3.09</v>
          </cell>
          <cell r="R100">
            <v>1.65</v>
          </cell>
          <cell r="S100">
            <v>1038.03</v>
          </cell>
          <cell r="X100">
            <v>954.99</v>
          </cell>
          <cell r="Y100">
            <v>674.72</v>
          </cell>
          <cell r="AV100">
            <v>1.0469999999999999</v>
          </cell>
          <cell r="AW100">
            <v>1.022</v>
          </cell>
          <cell r="BA100">
            <v>23.64</v>
          </cell>
          <cell r="BB100">
            <v>5.54</v>
          </cell>
          <cell r="BC100">
            <v>2.95</v>
          </cell>
          <cell r="BS100">
            <v>23.64</v>
          </cell>
          <cell r="BZ100">
            <v>92</v>
          </cell>
          <cell r="CA100">
            <v>65</v>
          </cell>
          <cell r="DN100">
            <v>98</v>
          </cell>
          <cell r="DO100">
            <v>70</v>
          </cell>
        </row>
        <row r="101">
          <cell r="E101" t="str">
            <v>1,1</v>
          </cell>
          <cell r="F101" t="str">
            <v>1.3-1-34</v>
          </cell>
          <cell r="H101" t="str">
            <v>м3</v>
          </cell>
          <cell r="I101">
            <v>1.8564000000000001</v>
          </cell>
          <cell r="O101">
            <v>976.89</v>
          </cell>
          <cell r="R101">
            <v>0</v>
          </cell>
          <cell r="X101">
            <v>0</v>
          </cell>
          <cell r="Y101">
            <v>0</v>
          </cell>
          <cell r="AK101">
            <v>514.9</v>
          </cell>
        </row>
        <row r="102">
          <cell r="O102">
            <v>7561.13</v>
          </cell>
          <cell r="R102">
            <v>0</v>
          </cell>
          <cell r="X102">
            <v>0</v>
          </cell>
          <cell r="Y102">
            <v>0</v>
          </cell>
          <cell r="AW102">
            <v>1.022</v>
          </cell>
          <cell r="BC102">
            <v>7.74</v>
          </cell>
        </row>
        <row r="103">
          <cell r="E103" t="str">
            <v>2</v>
          </cell>
          <cell r="H103" t="str">
            <v>100 м2 изолируемой поверхности</v>
          </cell>
          <cell r="I103">
            <v>0.1462</v>
          </cell>
          <cell r="P103">
            <v>1536.4</v>
          </cell>
          <cell r="Q103">
            <v>68.27</v>
          </cell>
          <cell r="R103">
            <v>16.41</v>
          </cell>
          <cell r="S103">
            <v>96.2</v>
          </cell>
          <cell r="U103">
            <v>4.8982847999999999</v>
          </cell>
          <cell r="X103">
            <v>115.44</v>
          </cell>
          <cell r="Y103">
            <v>80.81</v>
          </cell>
          <cell r="AL103">
            <v>10508.86</v>
          </cell>
          <cell r="AM103">
            <v>403.01</v>
          </cell>
          <cell r="AN103">
            <v>64.180000000000007</v>
          </cell>
          <cell r="AO103">
            <v>376.32</v>
          </cell>
          <cell r="AQ103">
            <v>32</v>
          </cell>
          <cell r="DD103" t="str">
            <v/>
          </cell>
          <cell r="DE103" t="str">
            <v/>
          </cell>
          <cell r="DG103" t="str">
            <v>)*1,67</v>
          </cell>
          <cell r="DI103" t="str">
            <v/>
          </cell>
        </row>
        <row r="104">
          <cell r="P104">
            <v>3963.91</v>
          </cell>
          <cell r="Q104">
            <v>662.64</v>
          </cell>
          <cell r="R104">
            <v>387.93</v>
          </cell>
          <cell r="S104">
            <v>2274.17</v>
          </cell>
          <cell r="X104">
            <v>1978.53</v>
          </cell>
          <cell r="Y104">
            <v>932.41</v>
          </cell>
          <cell r="AV104">
            <v>1.0469999999999999</v>
          </cell>
          <cell r="AW104">
            <v>1</v>
          </cell>
          <cell r="BA104">
            <v>23.64</v>
          </cell>
          <cell r="BB104">
            <v>8.2200000000000006</v>
          </cell>
          <cell r="BC104">
            <v>2.58</v>
          </cell>
          <cell r="BS104">
            <v>23.64</v>
          </cell>
          <cell r="BZ104">
            <v>87</v>
          </cell>
          <cell r="CA104">
            <v>41</v>
          </cell>
          <cell r="DN104">
            <v>120</v>
          </cell>
          <cell r="DO104">
            <v>84</v>
          </cell>
        </row>
        <row r="105">
          <cell r="E105" t="str">
            <v>2,1</v>
          </cell>
          <cell r="F105" t="str">
            <v>1.1-1-1794</v>
          </cell>
          <cell r="H105" t="str">
            <v>м2</v>
          </cell>
          <cell r="I105">
            <v>16.374400000000001</v>
          </cell>
          <cell r="O105">
            <v>661.2</v>
          </cell>
          <cell r="R105">
            <v>0</v>
          </cell>
          <cell r="X105">
            <v>0</v>
          </cell>
          <cell r="Y105">
            <v>0</v>
          </cell>
          <cell r="AK105">
            <v>40.380000000000003</v>
          </cell>
        </row>
        <row r="106">
          <cell r="O106">
            <v>2942.34</v>
          </cell>
          <cell r="R106">
            <v>0</v>
          </cell>
          <cell r="X106">
            <v>0</v>
          </cell>
          <cell r="Y106">
            <v>0</v>
          </cell>
          <cell r="AW106">
            <v>1</v>
          </cell>
          <cell r="BC106">
            <v>4.45</v>
          </cell>
        </row>
        <row r="107">
          <cell r="E107" t="str">
            <v>3</v>
          </cell>
          <cell r="H107" t="str">
            <v>100 м2 изолируемой поверхности</v>
          </cell>
          <cell r="I107">
            <v>0.1462</v>
          </cell>
          <cell r="P107">
            <v>663.54</v>
          </cell>
          <cell r="Q107">
            <v>36.020000000000003</v>
          </cell>
          <cell r="R107">
            <v>8.07</v>
          </cell>
          <cell r="S107">
            <v>60.12</v>
          </cell>
          <cell r="U107">
            <v>3.0614279999999998</v>
          </cell>
          <cell r="X107">
            <v>72.14</v>
          </cell>
          <cell r="Y107">
            <v>50.5</v>
          </cell>
          <cell r="AL107">
            <v>4538.59</v>
          </cell>
          <cell r="AM107">
            <v>214.16</v>
          </cell>
          <cell r="AN107">
            <v>31.56</v>
          </cell>
          <cell r="AO107">
            <v>235.2</v>
          </cell>
          <cell r="AQ107">
            <v>20</v>
          </cell>
          <cell r="DD107" t="str">
            <v/>
          </cell>
          <cell r="DE107" t="str">
            <v/>
          </cell>
          <cell r="DG107" t="str">
            <v>)*1,67</v>
          </cell>
          <cell r="DI107" t="str">
            <v/>
          </cell>
        </row>
        <row r="108">
          <cell r="P108">
            <v>1619.04</v>
          </cell>
          <cell r="Q108">
            <v>338.83000000000004</v>
          </cell>
          <cell r="R108">
            <v>190.77</v>
          </cell>
          <cell r="S108">
            <v>1421.24</v>
          </cell>
          <cell r="X108">
            <v>1236.48</v>
          </cell>
          <cell r="Y108">
            <v>582.71</v>
          </cell>
          <cell r="AV108">
            <v>1.0469999999999999</v>
          </cell>
          <cell r="AW108">
            <v>1</v>
          </cell>
          <cell r="BA108">
            <v>23.64</v>
          </cell>
          <cell r="BB108">
            <v>8</v>
          </cell>
          <cell r="BC108">
            <v>2.44</v>
          </cell>
          <cell r="BS108">
            <v>23.64</v>
          </cell>
          <cell r="BZ108">
            <v>87</v>
          </cell>
          <cell r="CA108">
            <v>41</v>
          </cell>
          <cell r="DN108">
            <v>120</v>
          </cell>
          <cell r="DO108">
            <v>84</v>
          </cell>
        </row>
        <row r="109">
          <cell r="E109" t="str">
            <v>3,2</v>
          </cell>
          <cell r="F109" t="str">
            <v>1.1-1-1794</v>
          </cell>
          <cell r="H109" t="str">
            <v>м2</v>
          </cell>
          <cell r="I109">
            <v>16.374400000000001</v>
          </cell>
          <cell r="O109">
            <v>661.2</v>
          </cell>
          <cell r="R109">
            <v>0</v>
          </cell>
          <cell r="X109">
            <v>0</v>
          </cell>
          <cell r="Y109">
            <v>0</v>
          </cell>
          <cell r="AK109">
            <v>40.380000000000003</v>
          </cell>
        </row>
        <row r="110">
          <cell r="O110">
            <v>2942.34</v>
          </cell>
          <cell r="R110">
            <v>0</v>
          </cell>
          <cell r="X110">
            <v>0</v>
          </cell>
          <cell r="Y110">
            <v>0</v>
          </cell>
          <cell r="AW110">
            <v>1</v>
          </cell>
          <cell r="BC110">
            <v>4.45</v>
          </cell>
        </row>
        <row r="111">
          <cell r="E111" t="str">
            <v>4</v>
          </cell>
          <cell r="H111" t="str">
            <v>1 Т</v>
          </cell>
          <cell r="I111">
            <v>7.5999999999999998E-2</v>
          </cell>
          <cell r="P111">
            <v>20.11</v>
          </cell>
          <cell r="Q111">
            <v>3.8</v>
          </cell>
          <cell r="R111">
            <v>0.74</v>
          </cell>
          <cell r="S111">
            <v>17.899999999999999</v>
          </cell>
          <cell r="U111">
            <v>0.92303519999999994</v>
          </cell>
          <cell r="X111">
            <v>17.54</v>
          </cell>
          <cell r="Y111">
            <v>12.53</v>
          </cell>
          <cell r="AL111">
            <v>258.91000000000003</v>
          </cell>
          <cell r="AM111">
            <v>44</v>
          </cell>
          <cell r="AN111">
            <v>5.59</v>
          </cell>
          <cell r="AO111">
            <v>134.68</v>
          </cell>
          <cell r="AQ111">
            <v>11.6</v>
          </cell>
          <cell r="DD111" t="str">
            <v/>
          </cell>
          <cell r="DE111" t="str">
            <v/>
          </cell>
          <cell r="DG111" t="str">
            <v>)*1,67</v>
          </cell>
          <cell r="DI111" t="str">
            <v/>
          </cell>
        </row>
        <row r="112">
          <cell r="P112">
            <v>97.73</v>
          </cell>
          <cell r="Q112">
            <v>36.11</v>
          </cell>
          <cell r="R112">
            <v>17.489999999999998</v>
          </cell>
          <cell r="S112">
            <v>423.16</v>
          </cell>
          <cell r="X112">
            <v>389.31</v>
          </cell>
          <cell r="Y112">
            <v>275.05</v>
          </cell>
          <cell r="AV112">
            <v>1.0469999999999999</v>
          </cell>
          <cell r="AW112">
            <v>1.022</v>
          </cell>
          <cell r="BA112">
            <v>23.64</v>
          </cell>
          <cell r="BB112">
            <v>8.2899999999999991</v>
          </cell>
          <cell r="BC112">
            <v>4.8600000000000003</v>
          </cell>
          <cell r="BS112">
            <v>23.64</v>
          </cell>
          <cell r="BZ112">
            <v>92</v>
          </cell>
          <cell r="CA112">
            <v>65</v>
          </cell>
          <cell r="DN112">
            <v>98</v>
          </cell>
          <cell r="DO112">
            <v>70</v>
          </cell>
        </row>
        <row r="113">
          <cell r="E113" t="str">
            <v>4,1</v>
          </cell>
          <cell r="F113" t="str">
            <v>1.3-4-75</v>
          </cell>
          <cell r="H113" t="str">
            <v>т</v>
          </cell>
          <cell r="I113">
            <v>7.5999999999999998E-2</v>
          </cell>
          <cell r="O113">
            <v>756.02</v>
          </cell>
          <cell r="R113">
            <v>0</v>
          </cell>
          <cell r="X113">
            <v>0</v>
          </cell>
          <cell r="Y113">
            <v>0</v>
          </cell>
          <cell r="AK113">
            <v>9733.52</v>
          </cell>
        </row>
        <row r="114">
          <cell r="O114">
            <v>2411.6999999999998</v>
          </cell>
          <cell r="R114">
            <v>0</v>
          </cell>
          <cell r="X114">
            <v>0</v>
          </cell>
          <cell r="Y114">
            <v>0</v>
          </cell>
          <cell r="AW114">
            <v>1.022</v>
          </cell>
          <cell r="BC114">
            <v>3.19</v>
          </cell>
        </row>
        <row r="115">
          <cell r="E115" t="str">
            <v>5</v>
          </cell>
          <cell r="H115" t="str">
            <v>100 м2 стяжки</v>
          </cell>
          <cell r="I115">
            <v>0.1462</v>
          </cell>
          <cell r="P115">
            <v>3.62</v>
          </cell>
          <cell r="Q115">
            <v>1.96</v>
          </cell>
          <cell r="R115">
            <v>0.08</v>
          </cell>
          <cell r="S115">
            <v>62.08</v>
          </cell>
          <cell r="U115">
            <v>3.5711557619999996</v>
          </cell>
          <cell r="X115">
            <v>74.5</v>
          </cell>
          <cell r="Y115">
            <v>52.15</v>
          </cell>
          <cell r="AL115">
            <v>24.75</v>
          </cell>
          <cell r="AM115">
            <v>12.59</v>
          </cell>
          <cell r="AN115">
            <v>0.31</v>
          </cell>
          <cell r="AO115">
            <v>242.87</v>
          </cell>
          <cell r="AQ115">
            <v>23.33</v>
          </cell>
          <cell r="DD115" t="str">
            <v/>
          </cell>
          <cell r="DE115" t="str">
            <v/>
          </cell>
          <cell r="DG115" t="str">
            <v>)*1,67</v>
          </cell>
          <cell r="DI115" t="str">
            <v/>
          </cell>
        </row>
        <row r="116">
          <cell r="P116">
            <v>17.27</v>
          </cell>
          <cell r="Q116">
            <v>3.76</v>
          </cell>
          <cell r="R116">
            <v>1.89</v>
          </cell>
          <cell r="S116">
            <v>1467.57</v>
          </cell>
          <cell r="X116">
            <v>1276.79</v>
          </cell>
          <cell r="Y116">
            <v>601.70000000000005</v>
          </cell>
          <cell r="AV116">
            <v>1.0469999999999999</v>
          </cell>
          <cell r="AW116">
            <v>1</v>
          </cell>
          <cell r="BA116">
            <v>23.64</v>
          </cell>
          <cell r="BB116">
            <v>1.58</v>
          </cell>
          <cell r="BC116">
            <v>4.7699999999999996</v>
          </cell>
          <cell r="BS116">
            <v>23.64</v>
          </cell>
          <cell r="BZ116">
            <v>87</v>
          </cell>
          <cell r="CA116">
            <v>41</v>
          </cell>
          <cell r="DN116">
            <v>120</v>
          </cell>
          <cell r="DO116">
            <v>84</v>
          </cell>
        </row>
        <row r="117">
          <cell r="E117" t="str">
            <v>5,1</v>
          </cell>
          <cell r="F117" t="str">
            <v>1.3-2-6</v>
          </cell>
          <cell r="H117" t="str">
            <v>м3</v>
          </cell>
          <cell r="I117">
            <v>0.29824800000000001</v>
          </cell>
          <cell r="O117">
            <v>142.85</v>
          </cell>
          <cell r="R117">
            <v>0</v>
          </cell>
          <cell r="X117">
            <v>0</v>
          </cell>
          <cell r="Y117">
            <v>0</v>
          </cell>
          <cell r="AK117">
            <v>478.96</v>
          </cell>
        </row>
        <row r="118">
          <cell r="O118">
            <v>987.09</v>
          </cell>
          <cell r="R118">
            <v>0</v>
          </cell>
          <cell r="X118">
            <v>0</v>
          </cell>
          <cell r="Y118">
            <v>0</v>
          </cell>
          <cell r="AW118">
            <v>1</v>
          </cell>
          <cell r="BC118">
            <v>6.91</v>
          </cell>
        </row>
        <row r="119">
          <cell r="E119" t="str">
            <v>6</v>
          </cell>
          <cell r="H119" t="str">
            <v>100 м2 стяжки</v>
          </cell>
          <cell r="I119">
            <v>0.1462</v>
          </cell>
          <cell r="Q119">
            <v>3.01</v>
          </cell>
          <cell r="R119">
            <v>0.12</v>
          </cell>
          <cell r="S119">
            <v>6.9</v>
          </cell>
          <cell r="U119">
            <v>0.40410849599999998</v>
          </cell>
          <cell r="X119">
            <v>8.2799999999999994</v>
          </cell>
          <cell r="Y119">
            <v>5.8</v>
          </cell>
          <cell r="AM119">
            <v>3.22</v>
          </cell>
          <cell r="AN119">
            <v>0.08</v>
          </cell>
          <cell r="AO119">
            <v>4.5</v>
          </cell>
          <cell r="AQ119">
            <v>0.44</v>
          </cell>
          <cell r="DE119" t="str">
            <v>)*6</v>
          </cell>
          <cell r="DG119" t="str">
            <v>)*1,67)*6</v>
          </cell>
          <cell r="DI119" t="str">
            <v>)*6</v>
          </cell>
        </row>
        <row r="120">
          <cell r="Q120">
            <v>5.8599999999999994</v>
          </cell>
          <cell r="R120">
            <v>2.84</v>
          </cell>
          <cell r="S120">
            <v>163.12</v>
          </cell>
          <cell r="X120">
            <v>141.91</v>
          </cell>
          <cell r="Y120">
            <v>66.88</v>
          </cell>
          <cell r="AV120">
            <v>1.0469999999999999</v>
          </cell>
          <cell r="BA120">
            <v>23.64</v>
          </cell>
          <cell r="BB120">
            <v>1.58</v>
          </cell>
          <cell r="BS120">
            <v>23.64</v>
          </cell>
          <cell r="BZ120">
            <v>87</v>
          </cell>
          <cell r="CA120">
            <v>41</v>
          </cell>
          <cell r="DN120">
            <v>120</v>
          </cell>
          <cell r="DO120">
            <v>84</v>
          </cell>
        </row>
        <row r="121">
          <cell r="E121" t="str">
            <v>6,1</v>
          </cell>
          <cell r="F121" t="str">
            <v>1.3-2-6</v>
          </cell>
          <cell r="H121" t="str">
            <v>м3</v>
          </cell>
          <cell r="I121">
            <v>7.4562000000000003E-2</v>
          </cell>
          <cell r="O121">
            <v>214.27</v>
          </cell>
          <cell r="R121">
            <v>0</v>
          </cell>
          <cell r="X121">
            <v>0</v>
          </cell>
          <cell r="Y121">
            <v>0</v>
          </cell>
          <cell r="AK121">
            <v>478.96</v>
          </cell>
        </row>
        <row r="122">
          <cell r="O122">
            <v>1480.61</v>
          </cell>
          <cell r="R122">
            <v>0</v>
          </cell>
          <cell r="X122">
            <v>0</v>
          </cell>
          <cell r="Y122">
            <v>0</v>
          </cell>
          <cell r="AW122">
            <v>1</v>
          </cell>
          <cell r="BC122">
            <v>6.91</v>
          </cell>
        </row>
        <row r="123">
          <cell r="E123" t="str">
            <v>7</v>
          </cell>
          <cell r="H123" t="str">
            <v>100 м2 пола</v>
          </cell>
          <cell r="I123">
            <v>0.14779999999999999</v>
          </cell>
          <cell r="P123">
            <v>103.43</v>
          </cell>
          <cell r="Q123">
            <v>16.739999999999998</v>
          </cell>
          <cell r="R123">
            <v>3.23</v>
          </cell>
          <cell r="S123">
            <v>255.06</v>
          </cell>
          <cell r="U123">
            <v>13.011094127999998</v>
          </cell>
          <cell r="X123">
            <v>306.07</v>
          </cell>
          <cell r="Y123">
            <v>214.25</v>
          </cell>
          <cell r="AL123">
            <v>699.78</v>
          </cell>
          <cell r="AM123">
            <v>99.77</v>
          </cell>
          <cell r="AN123">
            <v>12.51</v>
          </cell>
          <cell r="AO123">
            <v>986.98</v>
          </cell>
          <cell r="AQ123">
            <v>84.08</v>
          </cell>
          <cell r="DD123" t="str">
            <v/>
          </cell>
          <cell r="DE123" t="str">
            <v/>
          </cell>
          <cell r="DG123" t="str">
            <v>)*1,67</v>
          </cell>
          <cell r="DI123" t="str">
            <v/>
          </cell>
        </row>
        <row r="124">
          <cell r="P124">
            <v>93.09</v>
          </cell>
          <cell r="Q124">
            <v>212.92</v>
          </cell>
          <cell r="R124">
            <v>76.36</v>
          </cell>
          <cell r="S124">
            <v>6029.62</v>
          </cell>
          <cell r="X124">
            <v>5245.77</v>
          </cell>
          <cell r="Y124">
            <v>2472.14</v>
          </cell>
          <cell r="AV124">
            <v>1.0469999999999999</v>
          </cell>
          <cell r="AW124">
            <v>1</v>
          </cell>
          <cell r="BA124">
            <v>23.64</v>
          </cell>
          <cell r="BB124">
            <v>11.8</v>
          </cell>
          <cell r="BC124">
            <v>0.9</v>
          </cell>
          <cell r="BS124">
            <v>23.64</v>
          </cell>
          <cell r="BZ124">
            <v>87</v>
          </cell>
          <cell r="CA124">
            <v>41</v>
          </cell>
          <cell r="DN124">
            <v>120</v>
          </cell>
          <cell r="DO124">
            <v>84</v>
          </cell>
        </row>
        <row r="125">
          <cell r="E125" t="str">
            <v>7,1</v>
          </cell>
          <cell r="F125" t="str">
            <v>1.3-2-138</v>
          </cell>
          <cell r="H125" t="str">
            <v>т</v>
          </cell>
          <cell r="I125">
            <v>5.2909999999999997E-3</v>
          </cell>
          <cell r="O125">
            <v>144.78</v>
          </cell>
          <cell r="R125">
            <v>0</v>
          </cell>
          <cell r="X125">
            <v>0</v>
          </cell>
          <cell r="Y125">
            <v>0</v>
          </cell>
          <cell r="AK125">
            <v>27362.67</v>
          </cell>
        </row>
        <row r="126">
          <cell r="O126">
            <v>146.22999999999999</v>
          </cell>
          <cell r="R126">
            <v>0</v>
          </cell>
          <cell r="X126">
            <v>0</v>
          </cell>
          <cell r="Y126">
            <v>0</v>
          </cell>
          <cell r="AW126">
            <v>1</v>
          </cell>
          <cell r="BC126">
            <v>1.01</v>
          </cell>
        </row>
        <row r="127">
          <cell r="E127" t="str">
            <v>7,2</v>
          </cell>
          <cell r="F127" t="str">
            <v>1.3-2-168</v>
          </cell>
          <cell r="H127" t="str">
            <v>т</v>
          </cell>
          <cell r="I127">
            <v>6.9466E-2</v>
          </cell>
          <cell r="O127">
            <v>453.55</v>
          </cell>
          <cell r="R127">
            <v>0</v>
          </cell>
          <cell r="X127">
            <v>0</v>
          </cell>
          <cell r="Y127">
            <v>0</v>
          </cell>
          <cell r="AK127">
            <v>6529.05</v>
          </cell>
        </row>
        <row r="128">
          <cell r="O128">
            <v>798.25</v>
          </cell>
          <cell r="R128">
            <v>0</v>
          </cell>
          <cell r="X128">
            <v>0</v>
          </cell>
          <cell r="Y128">
            <v>0</v>
          </cell>
          <cell r="AW128">
            <v>1</v>
          </cell>
          <cell r="BC128">
            <v>1.76</v>
          </cell>
        </row>
        <row r="129">
          <cell r="E129" t="str">
            <v>7,4</v>
          </cell>
          <cell r="F129" t="str">
            <v>1.1-1-2399</v>
          </cell>
          <cell r="H129" t="str">
            <v>м2</v>
          </cell>
          <cell r="I129">
            <v>15.075599999999998</v>
          </cell>
          <cell r="O129">
            <v>1730.83</v>
          </cell>
          <cell r="R129">
            <v>0</v>
          </cell>
          <cell r="X129">
            <v>0</v>
          </cell>
          <cell r="Y129">
            <v>0</v>
          </cell>
          <cell r="AK129">
            <v>114.81</v>
          </cell>
        </row>
        <row r="130">
          <cell r="O130">
            <v>8031.05</v>
          </cell>
          <cell r="R130">
            <v>0</v>
          </cell>
          <cell r="X130">
            <v>0</v>
          </cell>
          <cell r="Y130">
            <v>0</v>
          </cell>
          <cell r="AW130">
            <v>1</v>
          </cell>
          <cell r="BC130">
            <v>4.6399999999999997</v>
          </cell>
        </row>
        <row r="132">
          <cell r="G132" t="str">
            <v>Тип Т01*</v>
          </cell>
        </row>
        <row r="162">
          <cell r="G162" t="str">
            <v>Тип Т02*</v>
          </cell>
        </row>
        <row r="166">
          <cell r="E166" t="str">
            <v>1</v>
          </cell>
          <cell r="H166" t="str">
            <v>100 м3 в деле</v>
          </cell>
          <cell r="I166">
            <v>6.0000000000000001E-3</v>
          </cell>
          <cell r="P166">
            <v>11.4</v>
          </cell>
          <cell r="Q166">
            <v>0.15000000000000002</v>
          </cell>
          <cell r="R166">
            <v>0.02</v>
          </cell>
          <cell r="S166">
            <v>14.47</v>
          </cell>
          <cell r="U166">
            <v>0.84806999999999999</v>
          </cell>
          <cell r="X166">
            <v>14.18</v>
          </cell>
          <cell r="Y166">
            <v>10.130000000000001</v>
          </cell>
          <cell r="AL166">
            <v>1859.87</v>
          </cell>
          <cell r="AM166">
            <v>22.6</v>
          </cell>
          <cell r="AN166">
            <v>2.09</v>
          </cell>
          <cell r="AO166">
            <v>1379.7</v>
          </cell>
          <cell r="AQ166">
            <v>135</v>
          </cell>
          <cell r="DD166" t="str">
            <v/>
          </cell>
          <cell r="DE166" t="str">
            <v/>
          </cell>
          <cell r="DG166" t="str">
            <v>)*1,67</v>
          </cell>
          <cell r="DI166" t="str">
            <v/>
          </cell>
        </row>
        <row r="167">
          <cell r="P167">
            <v>33.630000000000003</v>
          </cell>
          <cell r="Q167">
            <v>1.02</v>
          </cell>
          <cell r="R167">
            <v>0.47</v>
          </cell>
          <cell r="S167">
            <v>342.07</v>
          </cell>
          <cell r="X167">
            <v>314.7</v>
          </cell>
          <cell r="Y167">
            <v>222.35</v>
          </cell>
          <cell r="AV167">
            <v>1.0469999999999999</v>
          </cell>
          <cell r="AW167">
            <v>1.022</v>
          </cell>
          <cell r="BA167">
            <v>23.64</v>
          </cell>
          <cell r="BB167">
            <v>5.54</v>
          </cell>
          <cell r="BC167">
            <v>2.95</v>
          </cell>
          <cell r="BS167">
            <v>23.64</v>
          </cell>
          <cell r="BZ167">
            <v>92</v>
          </cell>
          <cell r="CA167">
            <v>65</v>
          </cell>
          <cell r="DN167">
            <v>98</v>
          </cell>
          <cell r="DO167">
            <v>70</v>
          </cell>
        </row>
        <row r="168">
          <cell r="E168" t="str">
            <v>1,1</v>
          </cell>
          <cell r="F168" t="str">
            <v>1.3-1-34</v>
          </cell>
          <cell r="H168" t="str">
            <v>м3</v>
          </cell>
          <cell r="I168">
            <v>0.61199999999999999</v>
          </cell>
          <cell r="O168">
            <v>322.05</v>
          </cell>
          <cell r="R168">
            <v>0</v>
          </cell>
          <cell r="X168">
            <v>0</v>
          </cell>
          <cell r="Y168">
            <v>0</v>
          </cell>
          <cell r="AK168">
            <v>514.9</v>
          </cell>
        </row>
        <row r="169">
          <cell r="O169">
            <v>2492.67</v>
          </cell>
          <cell r="R169">
            <v>0</v>
          </cell>
          <cell r="X169">
            <v>0</v>
          </cell>
          <cell r="Y169">
            <v>0</v>
          </cell>
          <cell r="AW169">
            <v>1.022</v>
          </cell>
          <cell r="BC169">
            <v>7.74</v>
          </cell>
        </row>
        <row r="170">
          <cell r="E170" t="str">
            <v>2</v>
          </cell>
          <cell r="H170" t="str">
            <v>100 м2 изолируемой поверхности</v>
          </cell>
          <cell r="I170">
            <v>8.0799999999999997E-2</v>
          </cell>
          <cell r="P170">
            <v>849.12</v>
          </cell>
          <cell r="Q170">
            <v>37.730000000000004</v>
          </cell>
          <cell r="R170">
            <v>9.07</v>
          </cell>
          <cell r="S170">
            <v>53.17</v>
          </cell>
          <cell r="U170">
            <v>2.7071231999999998</v>
          </cell>
          <cell r="X170">
            <v>63.8</v>
          </cell>
          <cell r="Y170">
            <v>44.66</v>
          </cell>
          <cell r="AL170">
            <v>10508.86</v>
          </cell>
          <cell r="AM170">
            <v>403.01</v>
          </cell>
          <cell r="AN170">
            <v>64.180000000000007</v>
          </cell>
          <cell r="AO170">
            <v>376.32</v>
          </cell>
          <cell r="AQ170">
            <v>32</v>
          </cell>
          <cell r="DD170" t="str">
            <v/>
          </cell>
          <cell r="DE170" t="str">
            <v/>
          </cell>
          <cell r="DG170" t="str">
            <v>)*1,67</v>
          </cell>
          <cell r="DI170" t="str">
            <v/>
          </cell>
        </row>
        <row r="171">
          <cell r="P171">
            <v>2190.73</v>
          </cell>
          <cell r="Q171">
            <v>366.27000000000004</v>
          </cell>
          <cell r="R171">
            <v>214.41</v>
          </cell>
          <cell r="S171">
            <v>1256.94</v>
          </cell>
          <cell r="X171">
            <v>1093.54</v>
          </cell>
          <cell r="Y171">
            <v>515.35</v>
          </cell>
          <cell r="AV171">
            <v>1.0469999999999999</v>
          </cell>
          <cell r="AW171">
            <v>1</v>
          </cell>
          <cell r="BA171">
            <v>23.64</v>
          </cell>
          <cell r="BB171">
            <v>8.2200000000000006</v>
          </cell>
          <cell r="BC171">
            <v>2.58</v>
          </cell>
          <cell r="BS171">
            <v>23.64</v>
          </cell>
          <cell r="BZ171">
            <v>87</v>
          </cell>
          <cell r="CA171">
            <v>41</v>
          </cell>
          <cell r="DN171">
            <v>120</v>
          </cell>
          <cell r="DO171">
            <v>84</v>
          </cell>
        </row>
        <row r="172">
          <cell r="E172" t="str">
            <v>2,1</v>
          </cell>
          <cell r="F172" t="str">
            <v>1.1-1-1794</v>
          </cell>
          <cell r="H172" t="str">
            <v>м2</v>
          </cell>
          <cell r="I172">
            <v>9.0495999999999999</v>
          </cell>
          <cell r="O172">
            <v>365.42</v>
          </cell>
          <cell r="R172">
            <v>0</v>
          </cell>
          <cell r="X172">
            <v>0</v>
          </cell>
          <cell r="Y172">
            <v>0</v>
          </cell>
          <cell r="AK172">
            <v>40.380000000000003</v>
          </cell>
        </row>
        <row r="173">
          <cell r="O173">
            <v>1626.12</v>
          </cell>
          <cell r="R173">
            <v>0</v>
          </cell>
          <cell r="X173">
            <v>0</v>
          </cell>
          <cell r="Y173">
            <v>0</v>
          </cell>
          <cell r="AW173">
            <v>1</v>
          </cell>
          <cell r="BC173">
            <v>4.45</v>
          </cell>
        </row>
        <row r="174">
          <cell r="E174" t="str">
            <v>3</v>
          </cell>
          <cell r="H174" t="str">
            <v>100 м2 изолируемой поверхности</v>
          </cell>
          <cell r="I174">
            <v>8.0799999999999997E-2</v>
          </cell>
          <cell r="P174">
            <v>366.72</v>
          </cell>
          <cell r="Q174">
            <v>19.91</v>
          </cell>
          <cell r="R174">
            <v>4.46</v>
          </cell>
          <cell r="S174">
            <v>33.229999999999997</v>
          </cell>
          <cell r="U174">
            <v>1.6919519999999997</v>
          </cell>
          <cell r="X174">
            <v>39.880000000000003</v>
          </cell>
          <cell r="Y174">
            <v>27.91</v>
          </cell>
          <cell r="AL174">
            <v>4538.59</v>
          </cell>
          <cell r="AM174">
            <v>214.16</v>
          </cell>
          <cell r="AN174">
            <v>31.56</v>
          </cell>
          <cell r="AO174">
            <v>235.2</v>
          </cell>
          <cell r="AQ174">
            <v>20</v>
          </cell>
          <cell r="DD174" t="str">
            <v/>
          </cell>
          <cell r="DE174" t="str">
            <v/>
          </cell>
          <cell r="DG174" t="str">
            <v>)*1,67</v>
          </cell>
          <cell r="DI174" t="str">
            <v/>
          </cell>
        </row>
        <row r="175">
          <cell r="P175">
            <v>894.8</v>
          </cell>
          <cell r="Q175">
            <v>187.28</v>
          </cell>
          <cell r="R175">
            <v>105.43</v>
          </cell>
          <cell r="S175">
            <v>785.56</v>
          </cell>
          <cell r="X175">
            <v>683.44</v>
          </cell>
          <cell r="Y175">
            <v>322.08</v>
          </cell>
          <cell r="AV175">
            <v>1.0469999999999999</v>
          </cell>
          <cell r="AW175">
            <v>1</v>
          </cell>
          <cell r="BA175">
            <v>23.64</v>
          </cell>
          <cell r="BB175">
            <v>8</v>
          </cell>
          <cell r="BC175">
            <v>2.44</v>
          </cell>
          <cell r="BS175">
            <v>23.64</v>
          </cell>
          <cell r="BZ175">
            <v>87</v>
          </cell>
          <cell r="CA175">
            <v>41</v>
          </cell>
          <cell r="DN175">
            <v>120</v>
          </cell>
          <cell r="DO175">
            <v>84</v>
          </cell>
        </row>
        <row r="176">
          <cell r="E176" t="str">
            <v>3,2</v>
          </cell>
          <cell r="F176" t="str">
            <v>1.1-1-1794</v>
          </cell>
          <cell r="H176" t="str">
            <v>м2</v>
          </cell>
          <cell r="I176">
            <v>9.0495999999999999</v>
          </cell>
          <cell r="O176">
            <v>365.42</v>
          </cell>
          <cell r="R176">
            <v>0</v>
          </cell>
          <cell r="X176">
            <v>0</v>
          </cell>
          <cell r="Y176">
            <v>0</v>
          </cell>
          <cell r="AK176">
            <v>40.380000000000003</v>
          </cell>
        </row>
        <row r="177">
          <cell r="O177">
            <v>1626.12</v>
          </cell>
          <cell r="R177">
            <v>0</v>
          </cell>
          <cell r="X177">
            <v>0</v>
          </cell>
          <cell r="Y177">
            <v>0</v>
          </cell>
          <cell r="AW177">
            <v>1</v>
          </cell>
          <cell r="BC177">
            <v>4.45</v>
          </cell>
        </row>
        <row r="178">
          <cell r="E178" t="str">
            <v>4</v>
          </cell>
          <cell r="H178" t="str">
            <v>1 Т</v>
          </cell>
          <cell r="I178">
            <v>4.2000000000000003E-2</v>
          </cell>
          <cell r="P178">
            <v>11.11</v>
          </cell>
          <cell r="Q178">
            <v>2.09</v>
          </cell>
          <cell r="R178">
            <v>0.41</v>
          </cell>
          <cell r="S178">
            <v>9.89</v>
          </cell>
          <cell r="U178">
            <v>0.51009839999999995</v>
          </cell>
          <cell r="X178">
            <v>9.69</v>
          </cell>
          <cell r="Y178">
            <v>6.92</v>
          </cell>
          <cell r="AL178">
            <v>258.91000000000003</v>
          </cell>
          <cell r="AM178">
            <v>44</v>
          </cell>
          <cell r="AN178">
            <v>5.59</v>
          </cell>
          <cell r="AO178">
            <v>134.68</v>
          </cell>
          <cell r="AQ178">
            <v>11.6</v>
          </cell>
          <cell r="DD178" t="str">
            <v/>
          </cell>
          <cell r="DE178" t="str">
            <v/>
          </cell>
          <cell r="DG178" t="str">
            <v>)*1,67</v>
          </cell>
          <cell r="DI178" t="str">
            <v/>
          </cell>
        </row>
        <row r="179">
          <cell r="P179">
            <v>53.99</v>
          </cell>
          <cell r="Q179">
            <v>19.78</v>
          </cell>
          <cell r="R179">
            <v>9.69</v>
          </cell>
          <cell r="S179">
            <v>233.8</v>
          </cell>
          <cell r="X179">
            <v>215.1</v>
          </cell>
          <cell r="Y179">
            <v>151.97</v>
          </cell>
          <cell r="AV179">
            <v>1.0469999999999999</v>
          </cell>
          <cell r="AW179">
            <v>1.022</v>
          </cell>
          <cell r="BA179">
            <v>23.64</v>
          </cell>
          <cell r="BB179">
            <v>8.2899999999999991</v>
          </cell>
          <cell r="BC179">
            <v>4.8600000000000003</v>
          </cell>
          <cell r="BS179">
            <v>23.64</v>
          </cell>
          <cell r="BZ179">
            <v>92</v>
          </cell>
          <cell r="CA179">
            <v>65</v>
          </cell>
          <cell r="DN179">
            <v>98</v>
          </cell>
          <cell r="DO179">
            <v>70</v>
          </cell>
        </row>
        <row r="180">
          <cell r="E180" t="str">
            <v>4,1</v>
          </cell>
          <cell r="F180" t="str">
            <v>1.3-4-75</v>
          </cell>
          <cell r="H180" t="str">
            <v>т</v>
          </cell>
          <cell r="I180">
            <v>4.2000000000000003E-2</v>
          </cell>
          <cell r="O180">
            <v>417.8</v>
          </cell>
          <cell r="R180">
            <v>0</v>
          </cell>
          <cell r="X180">
            <v>0</v>
          </cell>
          <cell r="Y180">
            <v>0</v>
          </cell>
          <cell r="AK180">
            <v>9733.52</v>
          </cell>
        </row>
        <row r="181">
          <cell r="O181">
            <v>1332.78</v>
          </cell>
          <cell r="R181">
            <v>0</v>
          </cell>
          <cell r="X181">
            <v>0</v>
          </cell>
          <cell r="Y181">
            <v>0</v>
          </cell>
          <cell r="AW181">
            <v>1.022</v>
          </cell>
          <cell r="BC181">
            <v>3.19</v>
          </cell>
        </row>
        <row r="182">
          <cell r="E182" t="str">
            <v>5</v>
          </cell>
          <cell r="H182" t="str">
            <v>100 м2 стяжки</v>
          </cell>
          <cell r="I182">
            <v>8.0799999999999997E-2</v>
          </cell>
          <cell r="P182">
            <v>2</v>
          </cell>
          <cell r="Q182">
            <v>1.0900000000000001</v>
          </cell>
          <cell r="R182">
            <v>0.04</v>
          </cell>
          <cell r="S182">
            <v>34.31</v>
          </cell>
          <cell r="U182">
            <v>1.9736620079999996</v>
          </cell>
          <cell r="X182">
            <v>41.17</v>
          </cell>
          <cell r="Y182">
            <v>28.82</v>
          </cell>
          <cell r="AL182">
            <v>24.75</v>
          </cell>
          <cell r="AM182">
            <v>12.59</v>
          </cell>
          <cell r="AN182">
            <v>0.31</v>
          </cell>
          <cell r="AO182">
            <v>242.87</v>
          </cell>
          <cell r="AQ182">
            <v>23.33</v>
          </cell>
          <cell r="DD182" t="str">
            <v/>
          </cell>
          <cell r="DE182" t="str">
            <v/>
          </cell>
          <cell r="DG182" t="str">
            <v>)*1,67</v>
          </cell>
          <cell r="DI182" t="str">
            <v/>
          </cell>
        </row>
        <row r="183">
          <cell r="P183">
            <v>9.5399999999999991</v>
          </cell>
          <cell r="Q183">
            <v>2.16</v>
          </cell>
          <cell r="R183">
            <v>0.95</v>
          </cell>
          <cell r="S183">
            <v>811.09</v>
          </cell>
          <cell r="X183">
            <v>705.65</v>
          </cell>
          <cell r="Y183">
            <v>332.55</v>
          </cell>
          <cell r="AV183">
            <v>1.0469999999999999</v>
          </cell>
          <cell r="AW183">
            <v>1</v>
          </cell>
          <cell r="BA183">
            <v>23.64</v>
          </cell>
          <cell r="BB183">
            <v>1.58</v>
          </cell>
          <cell r="BC183">
            <v>4.7699999999999996</v>
          </cell>
          <cell r="BS183">
            <v>23.64</v>
          </cell>
          <cell r="BZ183">
            <v>87</v>
          </cell>
          <cell r="CA183">
            <v>41</v>
          </cell>
          <cell r="DN183">
            <v>120</v>
          </cell>
          <cell r="DO183">
            <v>84</v>
          </cell>
        </row>
        <row r="184">
          <cell r="E184" t="str">
            <v>5,1</v>
          </cell>
          <cell r="F184" t="str">
            <v>1.3-2-6</v>
          </cell>
          <cell r="H184" t="str">
            <v>м3</v>
          </cell>
          <cell r="I184">
            <v>0.16483200000000001</v>
          </cell>
          <cell r="O184">
            <v>78.95</v>
          </cell>
          <cell r="R184">
            <v>0</v>
          </cell>
          <cell r="X184">
            <v>0</v>
          </cell>
          <cell r="Y184">
            <v>0</v>
          </cell>
          <cell r="AK184">
            <v>478.96</v>
          </cell>
        </row>
        <row r="185">
          <cell r="O185">
            <v>545.54</v>
          </cell>
          <cell r="R185">
            <v>0</v>
          </cell>
          <cell r="X185">
            <v>0</v>
          </cell>
          <cell r="Y185">
            <v>0</v>
          </cell>
          <cell r="AW185">
            <v>1</v>
          </cell>
          <cell r="BC185">
            <v>6.91</v>
          </cell>
        </row>
        <row r="186">
          <cell r="E186" t="str">
            <v>6</v>
          </cell>
          <cell r="H186" t="str">
            <v>100 м2 стяжки</v>
          </cell>
          <cell r="I186">
            <v>8.0799999999999997E-2</v>
          </cell>
          <cell r="Q186">
            <v>1.66</v>
          </cell>
          <cell r="R186">
            <v>7.0000000000000007E-2</v>
          </cell>
          <cell r="S186">
            <v>3.81</v>
          </cell>
          <cell r="U186">
            <v>0.22333766399999999</v>
          </cell>
          <cell r="X186">
            <v>4.57</v>
          </cell>
          <cell r="Y186">
            <v>3.2</v>
          </cell>
          <cell r="AM186">
            <v>3.22</v>
          </cell>
          <cell r="AN186">
            <v>0.08</v>
          </cell>
          <cell r="AO186">
            <v>4.5</v>
          </cell>
          <cell r="AQ186">
            <v>0.44</v>
          </cell>
          <cell r="DE186" t="str">
            <v>)*6</v>
          </cell>
          <cell r="DG186" t="str">
            <v>)*1,67)*6</v>
          </cell>
          <cell r="DI186" t="str">
            <v>)*6</v>
          </cell>
        </row>
        <row r="187">
          <cell r="Q187">
            <v>3.29</v>
          </cell>
          <cell r="R187">
            <v>1.65</v>
          </cell>
          <cell r="S187">
            <v>90.07</v>
          </cell>
          <cell r="X187">
            <v>78.36</v>
          </cell>
          <cell r="Y187">
            <v>36.93</v>
          </cell>
          <cell r="AV187">
            <v>1.0469999999999999</v>
          </cell>
          <cell r="BA187">
            <v>23.64</v>
          </cell>
          <cell r="BB187">
            <v>1.58</v>
          </cell>
          <cell r="BS187">
            <v>23.64</v>
          </cell>
          <cell r="BZ187">
            <v>87</v>
          </cell>
          <cell r="CA187">
            <v>41</v>
          </cell>
          <cell r="DN187">
            <v>120</v>
          </cell>
          <cell r="DO187">
            <v>84</v>
          </cell>
        </row>
        <row r="188">
          <cell r="E188" t="str">
            <v>6,1</v>
          </cell>
          <cell r="F188" t="str">
            <v>1.3-2-6</v>
          </cell>
          <cell r="H188" t="str">
            <v>м3</v>
          </cell>
          <cell r="I188">
            <v>4.1208000000000002E-2</v>
          </cell>
          <cell r="O188">
            <v>118.42</v>
          </cell>
          <cell r="R188">
            <v>0</v>
          </cell>
          <cell r="X188">
            <v>0</v>
          </cell>
          <cell r="Y188">
            <v>0</v>
          </cell>
          <cell r="AK188">
            <v>478.96</v>
          </cell>
        </row>
        <row r="189">
          <cell r="O189">
            <v>818.28</v>
          </cell>
          <cell r="R189">
            <v>0</v>
          </cell>
          <cell r="X189">
            <v>0</v>
          </cell>
          <cell r="Y189">
            <v>0</v>
          </cell>
          <cell r="AW189">
            <v>1</v>
          </cell>
          <cell r="BC189">
            <v>6.91</v>
          </cell>
        </row>
        <row r="190">
          <cell r="E190" t="str">
            <v>7</v>
          </cell>
          <cell r="H190" t="str">
            <v>100 м2 пола</v>
          </cell>
          <cell r="I190">
            <v>8.1199999999999994E-2</v>
          </cell>
          <cell r="P190">
            <v>56.82</v>
          </cell>
          <cell r="Q190">
            <v>9.1900000000000013</v>
          </cell>
          <cell r="R190">
            <v>1.78</v>
          </cell>
          <cell r="S190">
            <v>140.13</v>
          </cell>
          <cell r="U190">
            <v>7.1481789119999988</v>
          </cell>
          <cell r="X190">
            <v>168.16</v>
          </cell>
          <cell r="Y190">
            <v>117.71</v>
          </cell>
          <cell r="AL190">
            <v>699.78</v>
          </cell>
          <cell r="AM190">
            <v>99.77</v>
          </cell>
          <cell r="AN190">
            <v>12.51</v>
          </cell>
          <cell r="AO190">
            <v>986.98</v>
          </cell>
          <cell r="AQ190">
            <v>84.08</v>
          </cell>
          <cell r="DD190" t="str">
            <v/>
          </cell>
          <cell r="DE190" t="str">
            <v/>
          </cell>
          <cell r="DG190" t="str">
            <v>)*1,67</v>
          </cell>
          <cell r="DI190" t="str">
            <v/>
          </cell>
        </row>
        <row r="191">
          <cell r="P191">
            <v>51.14</v>
          </cell>
          <cell r="Q191">
            <v>116.84</v>
          </cell>
          <cell r="R191">
            <v>42.08</v>
          </cell>
          <cell r="S191">
            <v>3312.67</v>
          </cell>
          <cell r="X191">
            <v>2882.02</v>
          </cell>
          <cell r="Y191">
            <v>1358.19</v>
          </cell>
          <cell r="AV191">
            <v>1.0469999999999999</v>
          </cell>
          <cell r="AW191">
            <v>1</v>
          </cell>
          <cell r="BA191">
            <v>23.64</v>
          </cell>
          <cell r="BB191">
            <v>11.8</v>
          </cell>
          <cell r="BC191">
            <v>0.9</v>
          </cell>
          <cell r="BS191">
            <v>23.64</v>
          </cell>
          <cell r="BZ191">
            <v>87</v>
          </cell>
          <cell r="CA191">
            <v>41</v>
          </cell>
          <cell r="DN191">
            <v>120</v>
          </cell>
          <cell r="DO191">
            <v>84</v>
          </cell>
        </row>
        <row r="192">
          <cell r="E192" t="str">
            <v>7,1</v>
          </cell>
          <cell r="F192" t="str">
            <v>1.3-2-138</v>
          </cell>
          <cell r="H192" t="str">
            <v>т</v>
          </cell>
          <cell r="I192">
            <v>1.4620000000000002E-3</v>
          </cell>
          <cell r="O192">
            <v>40</v>
          </cell>
          <cell r="R192">
            <v>0</v>
          </cell>
          <cell r="X192">
            <v>0</v>
          </cell>
          <cell r="Y192">
            <v>0</v>
          </cell>
          <cell r="AK192">
            <v>27362.67</v>
          </cell>
        </row>
        <row r="193">
          <cell r="O193">
            <v>40.4</v>
          </cell>
          <cell r="R193">
            <v>0</v>
          </cell>
          <cell r="X193">
            <v>0</v>
          </cell>
          <cell r="Y193">
            <v>0</v>
          </cell>
          <cell r="AW193">
            <v>1</v>
          </cell>
          <cell r="BC193">
            <v>1.01</v>
          </cell>
        </row>
        <row r="194">
          <cell r="E194" t="str">
            <v>7,2</v>
          </cell>
          <cell r="F194" t="str">
            <v>1.3-2-168</v>
          </cell>
          <cell r="H194" t="str">
            <v>т</v>
          </cell>
          <cell r="I194">
            <v>3.8163999999999997E-2</v>
          </cell>
          <cell r="O194">
            <v>249.17</v>
          </cell>
          <cell r="R194">
            <v>0</v>
          </cell>
          <cell r="X194">
            <v>0</v>
          </cell>
          <cell r="Y194">
            <v>0</v>
          </cell>
          <cell r="AK194">
            <v>6529.05</v>
          </cell>
        </row>
        <row r="195">
          <cell r="O195">
            <v>438.54</v>
          </cell>
          <cell r="R195">
            <v>0</v>
          </cell>
          <cell r="X195">
            <v>0</v>
          </cell>
          <cell r="Y195">
            <v>0</v>
          </cell>
          <cell r="AW195">
            <v>1</v>
          </cell>
          <cell r="BC195">
            <v>1.76</v>
          </cell>
        </row>
        <row r="196">
          <cell r="E196" t="str">
            <v>7,8</v>
          </cell>
          <cell r="F196" t="str">
            <v>1.1-1-3228</v>
          </cell>
          <cell r="H196" t="str">
            <v>м2</v>
          </cell>
          <cell r="I196">
            <v>8.2824000000000009</v>
          </cell>
          <cell r="O196">
            <v>1646.62</v>
          </cell>
          <cell r="R196">
            <v>0</v>
          </cell>
          <cell r="X196">
            <v>0</v>
          </cell>
          <cell r="Y196">
            <v>0</v>
          </cell>
          <cell r="AK196">
            <v>198.81</v>
          </cell>
        </row>
        <row r="197">
          <cell r="O197">
            <v>6487.68</v>
          </cell>
          <cell r="R197">
            <v>0</v>
          </cell>
          <cell r="X197">
            <v>0</v>
          </cell>
          <cell r="Y197">
            <v>0</v>
          </cell>
          <cell r="AW197">
            <v>1</v>
          </cell>
          <cell r="BC197">
            <v>3.94</v>
          </cell>
        </row>
        <row r="199">
          <cell r="G199" t="str">
            <v>Тип Т02*</v>
          </cell>
        </row>
        <row r="229">
          <cell r="G229" t="str">
            <v>Тип Т02п</v>
          </cell>
        </row>
        <row r="266">
          <cell r="G266" t="str">
            <v>Тип Т02п</v>
          </cell>
        </row>
        <row r="296">
          <cell r="G296" t="str">
            <v>Тип Т03</v>
          </cell>
        </row>
        <row r="325">
          <cell r="G325" t="str">
            <v>Тип Т03</v>
          </cell>
        </row>
        <row r="355">
          <cell r="G355" t="str">
            <v>Тип Т04</v>
          </cell>
        </row>
        <row r="384">
          <cell r="G384" t="str">
            <v>Тип Т04</v>
          </cell>
        </row>
        <row r="414">
          <cell r="G414" t="str">
            <v>Тип Т04*</v>
          </cell>
        </row>
        <row r="418">
          <cell r="E418" t="str">
            <v>1</v>
          </cell>
          <cell r="H418" t="str">
            <v>100 м3 в деле</v>
          </cell>
          <cell r="I418">
            <v>4.1999999999999997E-3</v>
          </cell>
          <cell r="P418">
            <v>7.98</v>
          </cell>
          <cell r="Q418">
            <v>0.11</v>
          </cell>
          <cell r="R418">
            <v>0.02</v>
          </cell>
          <cell r="S418">
            <v>10.130000000000001</v>
          </cell>
          <cell r="U418">
            <v>0.59364899999999998</v>
          </cell>
          <cell r="X418">
            <v>9.93</v>
          </cell>
          <cell r="Y418">
            <v>7.09</v>
          </cell>
          <cell r="AL418">
            <v>1859.87</v>
          </cell>
          <cell r="AM418">
            <v>22.6</v>
          </cell>
          <cell r="AN418">
            <v>2.09</v>
          </cell>
          <cell r="AO418">
            <v>1379.7</v>
          </cell>
          <cell r="AQ418">
            <v>135</v>
          </cell>
          <cell r="DD418" t="str">
            <v/>
          </cell>
          <cell r="DE418" t="str">
            <v/>
          </cell>
          <cell r="DG418" t="str">
            <v>)*1,67</v>
          </cell>
          <cell r="DI418" t="str">
            <v/>
          </cell>
        </row>
        <row r="419">
          <cell r="P419">
            <v>23.54</v>
          </cell>
          <cell r="Q419">
            <v>0.79</v>
          </cell>
          <cell r="R419">
            <v>0.47</v>
          </cell>
          <cell r="S419">
            <v>239.47</v>
          </cell>
          <cell r="X419">
            <v>220.31</v>
          </cell>
          <cell r="Y419">
            <v>155.66</v>
          </cell>
          <cell r="AV419">
            <v>1.0469999999999999</v>
          </cell>
          <cell r="AW419">
            <v>1.022</v>
          </cell>
          <cell r="BA419">
            <v>23.64</v>
          </cell>
          <cell r="BB419">
            <v>5.54</v>
          </cell>
          <cell r="BC419">
            <v>2.95</v>
          </cell>
          <cell r="BS419">
            <v>23.64</v>
          </cell>
          <cell r="BZ419">
            <v>92</v>
          </cell>
          <cell r="CA419">
            <v>65</v>
          </cell>
          <cell r="DN419">
            <v>98</v>
          </cell>
          <cell r="DO419">
            <v>70</v>
          </cell>
        </row>
        <row r="420">
          <cell r="E420" t="str">
            <v>1,1</v>
          </cell>
          <cell r="F420" t="str">
            <v>1.3-1-34</v>
          </cell>
          <cell r="H420" t="str">
            <v>м3</v>
          </cell>
          <cell r="I420">
            <v>0.42839999999999995</v>
          </cell>
          <cell r="O420">
            <v>225.44</v>
          </cell>
          <cell r="R420">
            <v>0</v>
          </cell>
          <cell r="X420">
            <v>0</v>
          </cell>
          <cell r="Y420">
            <v>0</v>
          </cell>
          <cell r="AK420">
            <v>514.9</v>
          </cell>
        </row>
        <row r="421">
          <cell r="O421">
            <v>1744.91</v>
          </cell>
          <cell r="R421">
            <v>0</v>
          </cell>
          <cell r="X421">
            <v>0</v>
          </cell>
          <cell r="Y421">
            <v>0</v>
          </cell>
          <cell r="AW421">
            <v>1.022</v>
          </cell>
          <cell r="BC421">
            <v>7.74</v>
          </cell>
        </row>
        <row r="422">
          <cell r="E422" t="str">
            <v>2</v>
          </cell>
          <cell r="H422" t="str">
            <v>1 Т</v>
          </cell>
          <cell r="I422">
            <v>2.5999999999999999E-2</v>
          </cell>
          <cell r="P422">
            <v>6.88</v>
          </cell>
          <cell r="Q422">
            <v>1.3</v>
          </cell>
          <cell r="R422">
            <v>0.25</v>
          </cell>
          <cell r="S422">
            <v>6.12</v>
          </cell>
          <cell r="U422">
            <v>0.31577519999999998</v>
          </cell>
          <cell r="X422">
            <v>6</v>
          </cell>
          <cell r="Y422">
            <v>4.28</v>
          </cell>
          <cell r="AL422">
            <v>258.91000000000003</v>
          </cell>
          <cell r="AM422">
            <v>44</v>
          </cell>
          <cell r="AN422">
            <v>5.59</v>
          </cell>
          <cell r="AO422">
            <v>134.68</v>
          </cell>
          <cell r="AQ422">
            <v>11.6</v>
          </cell>
          <cell r="DD422" t="str">
            <v/>
          </cell>
          <cell r="DE422" t="str">
            <v/>
          </cell>
          <cell r="DG422" t="str">
            <v>)*1,67</v>
          </cell>
          <cell r="DI422" t="str">
            <v/>
          </cell>
        </row>
        <row r="423">
          <cell r="P423">
            <v>33.44</v>
          </cell>
          <cell r="Q423">
            <v>12.309999999999999</v>
          </cell>
          <cell r="R423">
            <v>5.91</v>
          </cell>
          <cell r="S423">
            <v>144.68</v>
          </cell>
          <cell r="X423">
            <v>133.11000000000001</v>
          </cell>
          <cell r="Y423">
            <v>94.04</v>
          </cell>
          <cell r="AV423">
            <v>1.0469999999999999</v>
          </cell>
          <cell r="AW423">
            <v>1.022</v>
          </cell>
          <cell r="BA423">
            <v>23.64</v>
          </cell>
          <cell r="BB423">
            <v>8.2899999999999991</v>
          </cell>
          <cell r="BC423">
            <v>4.8600000000000003</v>
          </cell>
          <cell r="BS423">
            <v>23.64</v>
          </cell>
          <cell r="BZ423">
            <v>92</v>
          </cell>
          <cell r="CA423">
            <v>65</v>
          </cell>
          <cell r="DN423">
            <v>98</v>
          </cell>
          <cell r="DO423">
            <v>70</v>
          </cell>
        </row>
        <row r="424">
          <cell r="E424" t="str">
            <v>2,1</v>
          </cell>
          <cell r="F424" t="str">
            <v>1.3-4-75</v>
          </cell>
          <cell r="H424" t="str">
            <v>т</v>
          </cell>
          <cell r="I424">
            <v>2.5999999999999999E-2</v>
          </cell>
          <cell r="O424">
            <v>258.64</v>
          </cell>
          <cell r="R424">
            <v>0</v>
          </cell>
          <cell r="X424">
            <v>0</v>
          </cell>
          <cell r="Y424">
            <v>0</v>
          </cell>
          <cell r="AK424">
            <v>9733.52</v>
          </cell>
        </row>
        <row r="425">
          <cell r="O425">
            <v>825.06</v>
          </cell>
          <cell r="R425">
            <v>0</v>
          </cell>
          <cell r="X425">
            <v>0</v>
          </cell>
          <cell r="Y425">
            <v>0</v>
          </cell>
          <cell r="AW425">
            <v>1.022</v>
          </cell>
          <cell r="BC425">
            <v>3.19</v>
          </cell>
        </row>
        <row r="426">
          <cell r="E426" t="str">
            <v>3</v>
          </cell>
          <cell r="H426" t="str">
            <v>100 м2 стяжки</v>
          </cell>
          <cell r="I426">
            <v>5.0599999999999999E-2</v>
          </cell>
          <cell r="P426">
            <v>1.25</v>
          </cell>
          <cell r="Q426">
            <v>0.68</v>
          </cell>
          <cell r="R426">
            <v>0.03</v>
          </cell>
          <cell r="S426">
            <v>21.49</v>
          </cell>
          <cell r="U426">
            <v>1.2359814059999998</v>
          </cell>
          <cell r="X426">
            <v>25.79</v>
          </cell>
          <cell r="Y426">
            <v>18.05</v>
          </cell>
          <cell r="AL426">
            <v>24.75</v>
          </cell>
          <cell r="AM426">
            <v>12.59</v>
          </cell>
          <cell r="AN426">
            <v>0.31</v>
          </cell>
          <cell r="AO426">
            <v>242.87</v>
          </cell>
          <cell r="AQ426">
            <v>23.33</v>
          </cell>
          <cell r="DD426" t="str">
            <v/>
          </cell>
          <cell r="DE426" t="str">
            <v/>
          </cell>
          <cell r="DG426" t="str">
            <v>)*1,67</v>
          </cell>
          <cell r="DI426" t="str">
            <v/>
          </cell>
        </row>
        <row r="427">
          <cell r="P427">
            <v>5.96</v>
          </cell>
          <cell r="Q427">
            <v>1.3</v>
          </cell>
          <cell r="R427">
            <v>0.71</v>
          </cell>
          <cell r="S427">
            <v>508.02</v>
          </cell>
          <cell r="X427">
            <v>441.98</v>
          </cell>
          <cell r="Y427">
            <v>208.29</v>
          </cell>
          <cell r="AV427">
            <v>1.0469999999999999</v>
          </cell>
          <cell r="AW427">
            <v>1</v>
          </cell>
          <cell r="BA427">
            <v>23.64</v>
          </cell>
          <cell r="BB427">
            <v>1.58</v>
          </cell>
          <cell r="BC427">
            <v>4.7699999999999996</v>
          </cell>
          <cell r="BS427">
            <v>23.64</v>
          </cell>
          <cell r="BZ427">
            <v>87</v>
          </cell>
          <cell r="CA427">
            <v>41</v>
          </cell>
          <cell r="DN427">
            <v>120</v>
          </cell>
          <cell r="DO427">
            <v>84</v>
          </cell>
        </row>
        <row r="428">
          <cell r="E428" t="str">
            <v>3,1</v>
          </cell>
          <cell r="F428" t="str">
            <v>1.3-2-6</v>
          </cell>
          <cell r="H428" t="str">
            <v>м3</v>
          </cell>
          <cell r="I428">
            <v>0.103224</v>
          </cell>
          <cell r="O428">
            <v>49.44</v>
          </cell>
          <cell r="R428">
            <v>0</v>
          </cell>
          <cell r="X428">
            <v>0</v>
          </cell>
          <cell r="Y428">
            <v>0</v>
          </cell>
          <cell r="AK428">
            <v>478.96</v>
          </cell>
        </row>
        <row r="429">
          <cell r="O429">
            <v>341.63</v>
          </cell>
          <cell r="R429">
            <v>0</v>
          </cell>
          <cell r="X429">
            <v>0</v>
          </cell>
          <cell r="Y429">
            <v>0</v>
          </cell>
          <cell r="AW429">
            <v>1</v>
          </cell>
          <cell r="BC429">
            <v>6.91</v>
          </cell>
        </row>
        <row r="430">
          <cell r="E430" t="str">
            <v>4</v>
          </cell>
          <cell r="H430" t="str">
            <v>100 м2 стяжки</v>
          </cell>
          <cell r="I430">
            <v>5.0599999999999999E-2</v>
          </cell>
          <cell r="Q430">
            <v>1.04</v>
          </cell>
          <cell r="R430">
            <v>0.04</v>
          </cell>
          <cell r="S430">
            <v>2.39</v>
          </cell>
          <cell r="U430">
            <v>0.139862448</v>
          </cell>
          <cell r="X430">
            <v>2.87</v>
          </cell>
          <cell r="Y430">
            <v>2.0099999999999998</v>
          </cell>
          <cell r="AM430">
            <v>3.22</v>
          </cell>
          <cell r="AN430">
            <v>0.08</v>
          </cell>
          <cell r="AO430">
            <v>4.5</v>
          </cell>
          <cell r="AQ430">
            <v>0.44</v>
          </cell>
          <cell r="DE430" t="str">
            <v>)*6</v>
          </cell>
          <cell r="DG430" t="str">
            <v>)*1,67)*6</v>
          </cell>
          <cell r="DI430" t="str">
            <v>)*6</v>
          </cell>
        </row>
        <row r="431">
          <cell r="Q431">
            <v>2.08</v>
          </cell>
          <cell r="R431">
            <v>0.95</v>
          </cell>
          <cell r="S431">
            <v>56.5</v>
          </cell>
          <cell r="X431">
            <v>49.16</v>
          </cell>
          <cell r="Y431">
            <v>23.17</v>
          </cell>
          <cell r="AV431">
            <v>1.0469999999999999</v>
          </cell>
          <cell r="BA431">
            <v>23.64</v>
          </cell>
          <cell r="BB431">
            <v>1.58</v>
          </cell>
          <cell r="BS431">
            <v>23.64</v>
          </cell>
          <cell r="BZ431">
            <v>87</v>
          </cell>
          <cell r="CA431">
            <v>41</v>
          </cell>
          <cell r="DN431">
            <v>120</v>
          </cell>
          <cell r="DO431">
            <v>84</v>
          </cell>
        </row>
        <row r="432">
          <cell r="E432" t="str">
            <v>4,1</v>
          </cell>
          <cell r="F432" t="str">
            <v>1.3-2-6</v>
          </cell>
          <cell r="H432" t="str">
            <v>м3</v>
          </cell>
          <cell r="I432">
            <v>2.5805999999999999E-2</v>
          </cell>
          <cell r="O432">
            <v>74.16</v>
          </cell>
          <cell r="R432">
            <v>0</v>
          </cell>
          <cell r="X432">
            <v>0</v>
          </cell>
          <cell r="Y432">
            <v>0</v>
          </cell>
          <cell r="AK432">
            <v>478.96</v>
          </cell>
        </row>
        <row r="433">
          <cell r="O433">
            <v>512.45000000000005</v>
          </cell>
          <cell r="R433">
            <v>0</v>
          </cell>
          <cell r="X433">
            <v>0</v>
          </cell>
          <cell r="Y433">
            <v>0</v>
          </cell>
          <cell r="AW433">
            <v>1</v>
          </cell>
          <cell r="BC433">
            <v>6.91</v>
          </cell>
        </row>
        <row r="434">
          <cell r="E434" t="str">
            <v>5</v>
          </cell>
          <cell r="H434" t="str">
            <v>100 м2 пола</v>
          </cell>
          <cell r="I434">
            <v>5.0599999999999999E-2</v>
          </cell>
          <cell r="P434">
            <v>35.409999999999997</v>
          </cell>
          <cell r="Q434">
            <v>5.73</v>
          </cell>
          <cell r="R434">
            <v>1.1100000000000001</v>
          </cell>
          <cell r="S434">
            <v>87.32</v>
          </cell>
          <cell r="U434">
            <v>4.4544070559999991</v>
          </cell>
          <cell r="X434">
            <v>104.78</v>
          </cell>
          <cell r="Y434">
            <v>73.349999999999994</v>
          </cell>
          <cell r="AL434">
            <v>699.78</v>
          </cell>
          <cell r="AM434">
            <v>99.77</v>
          </cell>
          <cell r="AN434">
            <v>12.51</v>
          </cell>
          <cell r="AO434">
            <v>986.98</v>
          </cell>
          <cell r="AQ434">
            <v>84.08</v>
          </cell>
          <cell r="DD434" t="str">
            <v/>
          </cell>
          <cell r="DE434" t="str">
            <v/>
          </cell>
          <cell r="DG434" t="str">
            <v>)*1,67</v>
          </cell>
          <cell r="DI434" t="str">
            <v/>
          </cell>
        </row>
        <row r="435">
          <cell r="P435">
            <v>31.87</v>
          </cell>
          <cell r="Q435">
            <v>72.820000000000007</v>
          </cell>
          <cell r="R435">
            <v>26.24</v>
          </cell>
          <cell r="S435">
            <v>2064.2399999999998</v>
          </cell>
          <cell r="X435">
            <v>1795.89</v>
          </cell>
          <cell r="Y435">
            <v>846.34</v>
          </cell>
          <cell r="AV435">
            <v>1.0469999999999999</v>
          </cell>
          <cell r="AW435">
            <v>1</v>
          </cell>
          <cell r="BA435">
            <v>23.64</v>
          </cell>
          <cell r="BB435">
            <v>11.8</v>
          </cell>
          <cell r="BC435">
            <v>0.9</v>
          </cell>
          <cell r="BS435">
            <v>23.64</v>
          </cell>
          <cell r="BZ435">
            <v>87</v>
          </cell>
          <cell r="CA435">
            <v>41</v>
          </cell>
          <cell r="DN435">
            <v>120</v>
          </cell>
          <cell r="DO435">
            <v>84</v>
          </cell>
        </row>
        <row r="436">
          <cell r="E436" t="str">
            <v>5,1</v>
          </cell>
          <cell r="F436" t="str">
            <v>1.3-2-138</v>
          </cell>
          <cell r="H436" t="str">
            <v>т</v>
          </cell>
          <cell r="I436">
            <v>8.9900000000000006E-4</v>
          </cell>
          <cell r="O436">
            <v>24.6</v>
          </cell>
          <cell r="R436">
            <v>0</v>
          </cell>
          <cell r="X436">
            <v>0</v>
          </cell>
          <cell r="Y436">
            <v>0</v>
          </cell>
          <cell r="AK436">
            <v>27362.67</v>
          </cell>
        </row>
        <row r="437">
          <cell r="O437">
            <v>24.85</v>
          </cell>
          <cell r="R437">
            <v>0</v>
          </cell>
          <cell r="X437">
            <v>0</v>
          </cell>
          <cell r="Y437">
            <v>0</v>
          </cell>
          <cell r="AW437">
            <v>1</v>
          </cell>
          <cell r="BC437">
            <v>1.01</v>
          </cell>
        </row>
        <row r="438">
          <cell r="E438" t="str">
            <v>5,2</v>
          </cell>
          <cell r="F438" t="str">
            <v>1.3-2-168</v>
          </cell>
          <cell r="H438" t="str">
            <v>т</v>
          </cell>
          <cell r="I438">
            <v>2.3782000000000001E-2</v>
          </cell>
          <cell r="O438">
            <v>155.27000000000001</v>
          </cell>
          <cell r="R438">
            <v>0</v>
          </cell>
          <cell r="X438">
            <v>0</v>
          </cell>
          <cell r="Y438">
            <v>0</v>
          </cell>
          <cell r="AK438">
            <v>6529.05</v>
          </cell>
        </row>
        <row r="439">
          <cell r="O439">
            <v>273.27999999999997</v>
          </cell>
          <cell r="R439">
            <v>0</v>
          </cell>
          <cell r="X439">
            <v>0</v>
          </cell>
          <cell r="Y439">
            <v>0</v>
          </cell>
          <cell r="AW439">
            <v>1</v>
          </cell>
          <cell r="BC439">
            <v>1.76</v>
          </cell>
        </row>
        <row r="440">
          <cell r="E440" t="str">
            <v>5,5</v>
          </cell>
          <cell r="F440" t="str">
            <v>1.1-1-3228</v>
          </cell>
          <cell r="H440" t="str">
            <v>м2</v>
          </cell>
          <cell r="I440">
            <v>5.1612</v>
          </cell>
          <cell r="O440">
            <v>1026.0999999999999</v>
          </cell>
          <cell r="R440">
            <v>0</v>
          </cell>
          <cell r="X440">
            <v>0</v>
          </cell>
          <cell r="Y440">
            <v>0</v>
          </cell>
          <cell r="AK440">
            <v>198.81</v>
          </cell>
        </row>
        <row r="441">
          <cell r="O441">
            <v>4042.83</v>
          </cell>
          <cell r="R441">
            <v>0</v>
          </cell>
          <cell r="X441">
            <v>0</v>
          </cell>
          <cell r="Y441">
            <v>0</v>
          </cell>
          <cell r="AW441">
            <v>1</v>
          </cell>
          <cell r="BC441">
            <v>3.94</v>
          </cell>
        </row>
        <row r="443">
          <cell r="G443" t="str">
            <v>Тип Т04*</v>
          </cell>
        </row>
        <row r="473">
          <cell r="G473" t="str">
            <v>Тип Т04п</v>
          </cell>
        </row>
        <row r="502">
          <cell r="G502" t="str">
            <v>Тип Т04п</v>
          </cell>
        </row>
        <row r="532">
          <cell r="G532" t="str">
            <v>Тип Т6*</v>
          </cell>
        </row>
        <row r="573">
          <cell r="G573" t="str">
            <v>Тип Т6*</v>
          </cell>
        </row>
        <row r="603">
          <cell r="G603" t="str">
            <v>Тип Т06**</v>
          </cell>
        </row>
        <row r="607">
          <cell r="E607" t="str">
            <v>1</v>
          </cell>
          <cell r="H607" t="str">
            <v>100 м3 в деле</v>
          </cell>
          <cell r="I607">
            <v>1.4E-3</v>
          </cell>
          <cell r="P607">
            <v>2.66</v>
          </cell>
          <cell r="Q607">
            <v>0.03</v>
          </cell>
          <cell r="R607">
            <v>0.01</v>
          </cell>
          <cell r="S607">
            <v>3.38</v>
          </cell>
          <cell r="U607">
            <v>0.197883</v>
          </cell>
          <cell r="X607">
            <v>3.31</v>
          </cell>
          <cell r="Y607">
            <v>2.37</v>
          </cell>
          <cell r="AL607">
            <v>1859.87</v>
          </cell>
          <cell r="AM607">
            <v>22.6</v>
          </cell>
          <cell r="AN607">
            <v>2.09</v>
          </cell>
          <cell r="AO607">
            <v>1379.7</v>
          </cell>
          <cell r="AQ607">
            <v>135</v>
          </cell>
          <cell r="DD607" t="str">
            <v/>
          </cell>
          <cell r="DE607" t="str">
            <v/>
          </cell>
          <cell r="DG607" t="str">
            <v>)*1,67</v>
          </cell>
          <cell r="DI607" t="str">
            <v/>
          </cell>
        </row>
        <row r="608">
          <cell r="P608">
            <v>7.85</v>
          </cell>
          <cell r="Q608">
            <v>0.17</v>
          </cell>
          <cell r="R608">
            <v>0.24</v>
          </cell>
          <cell r="S608">
            <v>79.900000000000006</v>
          </cell>
          <cell r="X608">
            <v>73.510000000000005</v>
          </cell>
          <cell r="Y608">
            <v>51.94</v>
          </cell>
          <cell r="AV608">
            <v>1.0469999999999999</v>
          </cell>
          <cell r="AW608">
            <v>1.022</v>
          </cell>
          <cell r="BA608">
            <v>23.64</v>
          </cell>
          <cell r="BB608">
            <v>5.54</v>
          </cell>
          <cell r="BC608">
            <v>2.95</v>
          </cell>
          <cell r="BS608">
            <v>23.64</v>
          </cell>
          <cell r="BZ608">
            <v>92</v>
          </cell>
          <cell r="CA608">
            <v>65</v>
          </cell>
          <cell r="DN608">
            <v>98</v>
          </cell>
          <cell r="DO608">
            <v>70</v>
          </cell>
        </row>
        <row r="609">
          <cell r="E609" t="str">
            <v>1,1</v>
          </cell>
          <cell r="F609" t="str">
            <v>1.3-1-164</v>
          </cell>
          <cell r="H609" t="str">
            <v>м3</v>
          </cell>
          <cell r="I609">
            <v>0.14280000000000001</v>
          </cell>
          <cell r="O609">
            <v>88.73</v>
          </cell>
          <cell r="R609">
            <v>0</v>
          </cell>
          <cell r="X609">
            <v>0</v>
          </cell>
          <cell r="Y609">
            <v>0</v>
          </cell>
          <cell r="AK609">
            <v>607.97</v>
          </cell>
        </row>
        <row r="610">
          <cell r="O610">
            <v>530.61</v>
          </cell>
          <cell r="R610">
            <v>0</v>
          </cell>
          <cell r="X610">
            <v>0</v>
          </cell>
          <cell r="Y610">
            <v>0</v>
          </cell>
          <cell r="AW610">
            <v>1.022</v>
          </cell>
          <cell r="BC610">
            <v>5.98</v>
          </cell>
        </row>
        <row r="611">
          <cell r="E611" t="str">
            <v>3</v>
          </cell>
          <cell r="H611" t="str">
            <v>1 Т</v>
          </cell>
          <cell r="I611">
            <v>0.01</v>
          </cell>
          <cell r="P611">
            <v>2.65</v>
          </cell>
          <cell r="Q611">
            <v>0.5</v>
          </cell>
          <cell r="R611">
            <v>0.1</v>
          </cell>
          <cell r="S611">
            <v>2.35</v>
          </cell>
          <cell r="U611">
            <v>0.12145199999999999</v>
          </cell>
          <cell r="X611">
            <v>2.2999999999999998</v>
          </cell>
          <cell r="Y611">
            <v>1.65</v>
          </cell>
          <cell r="AL611">
            <v>258.91000000000003</v>
          </cell>
          <cell r="AM611">
            <v>44</v>
          </cell>
          <cell r="AN611">
            <v>5.59</v>
          </cell>
          <cell r="AO611">
            <v>134.68</v>
          </cell>
          <cell r="AQ611">
            <v>11.6</v>
          </cell>
          <cell r="DD611" t="str">
            <v/>
          </cell>
          <cell r="DE611" t="str">
            <v/>
          </cell>
          <cell r="DG611" t="str">
            <v>)*1,67</v>
          </cell>
          <cell r="DI611" t="str">
            <v/>
          </cell>
        </row>
        <row r="612">
          <cell r="P612">
            <v>12.88</v>
          </cell>
          <cell r="Q612">
            <v>4.76</v>
          </cell>
          <cell r="R612">
            <v>2.36</v>
          </cell>
          <cell r="S612">
            <v>55.55</v>
          </cell>
          <cell r="X612">
            <v>51.11</v>
          </cell>
          <cell r="Y612">
            <v>36.11</v>
          </cell>
          <cell r="AV612">
            <v>1.0469999999999999</v>
          </cell>
          <cell r="AW612">
            <v>1.022</v>
          </cell>
          <cell r="BA612">
            <v>23.64</v>
          </cell>
          <cell r="BB612">
            <v>8.2899999999999991</v>
          </cell>
          <cell r="BC612">
            <v>4.8600000000000003</v>
          </cell>
          <cell r="BS612">
            <v>23.64</v>
          </cell>
          <cell r="BZ612">
            <v>92</v>
          </cell>
          <cell r="CA612">
            <v>65</v>
          </cell>
          <cell r="DN612">
            <v>98</v>
          </cell>
          <cell r="DO612">
            <v>70</v>
          </cell>
        </row>
        <row r="613">
          <cell r="E613" t="str">
            <v>3,1</v>
          </cell>
          <cell r="F613" t="str">
            <v>1.3-4-75</v>
          </cell>
          <cell r="H613" t="str">
            <v>т</v>
          </cell>
          <cell r="I613">
            <v>0.01</v>
          </cell>
          <cell r="O613">
            <v>99.48</v>
          </cell>
          <cell r="R613">
            <v>0</v>
          </cell>
          <cell r="X613">
            <v>0</v>
          </cell>
          <cell r="Y613">
            <v>0</v>
          </cell>
          <cell r="AK613">
            <v>9733.52</v>
          </cell>
        </row>
        <row r="614">
          <cell r="O614">
            <v>317.33999999999997</v>
          </cell>
          <cell r="R614">
            <v>0</v>
          </cell>
          <cell r="X614">
            <v>0</v>
          </cell>
          <cell r="Y614">
            <v>0</v>
          </cell>
          <cell r="AW614">
            <v>1.022</v>
          </cell>
          <cell r="BC614">
            <v>3.19</v>
          </cell>
        </row>
        <row r="615">
          <cell r="E615" t="str">
            <v>4</v>
          </cell>
          <cell r="H615" t="str">
            <v>100 м2 стяжки</v>
          </cell>
          <cell r="I615">
            <v>1.84E-2</v>
          </cell>
          <cell r="P615">
            <v>0.46</v>
          </cell>
          <cell r="Q615">
            <v>0.24</v>
          </cell>
          <cell r="R615">
            <v>0.01</v>
          </cell>
          <cell r="S615">
            <v>7.81</v>
          </cell>
          <cell r="U615">
            <v>0.44944778399999996</v>
          </cell>
          <cell r="X615">
            <v>9.3699999999999992</v>
          </cell>
          <cell r="Y615">
            <v>6.56</v>
          </cell>
          <cell r="AL615">
            <v>24.75</v>
          </cell>
          <cell r="AM615">
            <v>12.59</v>
          </cell>
          <cell r="AN615">
            <v>0.31</v>
          </cell>
          <cell r="AO615">
            <v>242.87</v>
          </cell>
          <cell r="AQ615">
            <v>23.33</v>
          </cell>
          <cell r="DD615" t="str">
            <v/>
          </cell>
          <cell r="DE615" t="str">
            <v/>
          </cell>
          <cell r="DG615" t="str">
            <v>)*1,67</v>
          </cell>
          <cell r="DI615" t="str">
            <v/>
          </cell>
        </row>
        <row r="616">
          <cell r="P616">
            <v>2.19</v>
          </cell>
          <cell r="Q616">
            <v>0.38</v>
          </cell>
          <cell r="R616">
            <v>0.24</v>
          </cell>
          <cell r="S616">
            <v>184.63</v>
          </cell>
          <cell r="X616">
            <v>160.63</v>
          </cell>
          <cell r="Y616">
            <v>75.7</v>
          </cell>
          <cell r="AV616">
            <v>1.0469999999999999</v>
          </cell>
          <cell r="AW616">
            <v>1</v>
          </cell>
          <cell r="BA616">
            <v>23.64</v>
          </cell>
          <cell r="BB616">
            <v>1.58</v>
          </cell>
          <cell r="BC616">
            <v>4.7699999999999996</v>
          </cell>
          <cell r="BS616">
            <v>23.64</v>
          </cell>
          <cell r="BZ616">
            <v>87</v>
          </cell>
          <cell r="CA616">
            <v>41</v>
          </cell>
          <cell r="DN616">
            <v>120</v>
          </cell>
          <cell r="DO616">
            <v>84</v>
          </cell>
        </row>
        <row r="617">
          <cell r="E617" t="str">
            <v>4,1</v>
          </cell>
          <cell r="F617" t="str">
            <v>1.3-2-6</v>
          </cell>
          <cell r="H617" t="str">
            <v>м3</v>
          </cell>
          <cell r="I617">
            <v>3.7536E-2</v>
          </cell>
          <cell r="O617">
            <v>17.98</v>
          </cell>
          <cell r="R617">
            <v>0</v>
          </cell>
          <cell r="X617">
            <v>0</v>
          </cell>
          <cell r="Y617">
            <v>0</v>
          </cell>
          <cell r="AK617">
            <v>478.96</v>
          </cell>
        </row>
        <row r="618">
          <cell r="O618">
            <v>124.24</v>
          </cell>
          <cell r="R618">
            <v>0</v>
          </cell>
          <cell r="X618">
            <v>0</v>
          </cell>
          <cell r="Y618">
            <v>0</v>
          </cell>
          <cell r="AW618">
            <v>1</v>
          </cell>
          <cell r="BC618">
            <v>6.91</v>
          </cell>
        </row>
        <row r="619">
          <cell r="E619" t="str">
            <v>5</v>
          </cell>
          <cell r="H619" t="str">
            <v>100 м2 стяжки</v>
          </cell>
          <cell r="I619">
            <v>1.84E-2</v>
          </cell>
          <cell r="Q619">
            <v>0.38</v>
          </cell>
          <cell r="R619">
            <v>0.02</v>
          </cell>
          <cell r="S619">
            <v>0.87</v>
          </cell>
          <cell r="U619">
            <v>5.0859071999999998E-2</v>
          </cell>
          <cell r="X619">
            <v>1.04</v>
          </cell>
          <cell r="Y619">
            <v>0.73</v>
          </cell>
          <cell r="AM619">
            <v>3.22</v>
          </cell>
          <cell r="AN619">
            <v>0.08</v>
          </cell>
          <cell r="AO619">
            <v>4.5</v>
          </cell>
          <cell r="AQ619">
            <v>0.44</v>
          </cell>
          <cell r="DE619" t="str">
            <v>)*6</v>
          </cell>
          <cell r="DG619" t="str">
            <v>)*1,67)*6</v>
          </cell>
          <cell r="DI619" t="str">
            <v>)*6</v>
          </cell>
        </row>
        <row r="620">
          <cell r="Q620">
            <v>0.82</v>
          </cell>
          <cell r="R620">
            <v>0.47</v>
          </cell>
          <cell r="S620">
            <v>20.57</v>
          </cell>
          <cell r="X620">
            <v>17.899999999999999</v>
          </cell>
          <cell r="Y620">
            <v>8.43</v>
          </cell>
          <cell r="AV620">
            <v>1.0469999999999999</v>
          </cell>
          <cell r="BA620">
            <v>23.64</v>
          </cell>
          <cell r="BB620">
            <v>1.58</v>
          </cell>
          <cell r="BS620">
            <v>23.64</v>
          </cell>
          <cell r="BZ620">
            <v>87</v>
          </cell>
          <cell r="CA620">
            <v>41</v>
          </cell>
          <cell r="DN620">
            <v>120</v>
          </cell>
          <cell r="DO620">
            <v>84</v>
          </cell>
        </row>
        <row r="621">
          <cell r="E621" t="str">
            <v>5,1</v>
          </cell>
          <cell r="F621" t="str">
            <v>1.3-2-6</v>
          </cell>
          <cell r="H621" t="str">
            <v>м3</v>
          </cell>
          <cell r="I621">
            <v>9.384E-3</v>
          </cell>
          <cell r="O621">
            <v>26.97</v>
          </cell>
          <cell r="R621">
            <v>0</v>
          </cell>
          <cell r="X621">
            <v>0</v>
          </cell>
          <cell r="Y621">
            <v>0</v>
          </cell>
          <cell r="AK621">
            <v>478.96</v>
          </cell>
        </row>
        <row r="622">
          <cell r="O622">
            <v>186.36</v>
          </cell>
          <cell r="R622">
            <v>0</v>
          </cell>
          <cell r="X622">
            <v>0</v>
          </cell>
          <cell r="Y622">
            <v>0</v>
          </cell>
          <cell r="AW622">
            <v>1</v>
          </cell>
          <cell r="BC622">
            <v>6.91</v>
          </cell>
        </row>
        <row r="623">
          <cell r="E623" t="str">
            <v>6</v>
          </cell>
          <cell r="H623" t="str">
            <v>100 м2 стяжки</v>
          </cell>
          <cell r="I623">
            <v>1.84E-2</v>
          </cell>
          <cell r="P623">
            <v>0.46</v>
          </cell>
          <cell r="Q623">
            <v>1.3900000000000001</v>
          </cell>
          <cell r="R623">
            <v>0.3</v>
          </cell>
          <cell r="S623">
            <v>12.59</v>
          </cell>
          <cell r="U623">
            <v>0.63612369599999996</v>
          </cell>
          <cell r="X623">
            <v>15.11</v>
          </cell>
          <cell r="Y623">
            <v>10.58</v>
          </cell>
          <cell r="AL623">
            <v>25.24</v>
          </cell>
          <cell r="AM623">
            <v>65.87</v>
          </cell>
          <cell r="AN623">
            <v>9.19</v>
          </cell>
          <cell r="AO623">
            <v>391.47</v>
          </cell>
          <cell r="AQ623">
            <v>33.020000000000003</v>
          </cell>
          <cell r="DD623" t="str">
            <v/>
          </cell>
          <cell r="DE623" t="str">
            <v/>
          </cell>
          <cell r="DG623" t="str">
            <v>)*1,67</v>
          </cell>
          <cell r="DI623" t="str">
            <v/>
          </cell>
        </row>
        <row r="624">
          <cell r="P624">
            <v>1.34</v>
          </cell>
          <cell r="Q624">
            <v>12.3</v>
          </cell>
          <cell r="R624">
            <v>7.09</v>
          </cell>
          <cell r="S624">
            <v>297.63</v>
          </cell>
          <cell r="X624">
            <v>258.94</v>
          </cell>
          <cell r="Y624">
            <v>122.03</v>
          </cell>
          <cell r="AV624">
            <v>1.0469999999999999</v>
          </cell>
          <cell r="AW624">
            <v>1</v>
          </cell>
          <cell r="BA624">
            <v>23.64</v>
          </cell>
          <cell r="BB624">
            <v>7.45</v>
          </cell>
          <cell r="BC624">
            <v>2.92</v>
          </cell>
          <cell r="BS624">
            <v>23.64</v>
          </cell>
          <cell r="BZ624">
            <v>87</v>
          </cell>
          <cell r="CA624">
            <v>41</v>
          </cell>
          <cell r="DN624">
            <v>120</v>
          </cell>
          <cell r="DO624">
            <v>84</v>
          </cell>
        </row>
        <row r="625">
          <cell r="E625" t="str">
            <v>6,2</v>
          </cell>
          <cell r="F625" t="str">
            <v>1.1-1-3108</v>
          </cell>
          <cell r="H625" t="str">
            <v>кг</v>
          </cell>
          <cell r="I625">
            <v>0.36799999999999999</v>
          </cell>
          <cell r="O625">
            <v>6.5</v>
          </cell>
          <cell r="R625">
            <v>0</v>
          </cell>
          <cell r="X625">
            <v>0</v>
          </cell>
          <cell r="Y625">
            <v>0</v>
          </cell>
          <cell r="AK625">
            <v>17.66</v>
          </cell>
        </row>
        <row r="626">
          <cell r="O626">
            <v>19.96</v>
          </cell>
          <cell r="R626">
            <v>0</v>
          </cell>
          <cell r="X626">
            <v>0</v>
          </cell>
          <cell r="Y626">
            <v>0</v>
          </cell>
          <cell r="AW626">
            <v>1</v>
          </cell>
          <cell r="BC626">
            <v>3.07</v>
          </cell>
        </row>
        <row r="627">
          <cell r="E627" t="str">
            <v>6,4</v>
          </cell>
          <cell r="F627" t="str">
            <v>1.3-2-178</v>
          </cell>
          <cell r="H627" t="str">
            <v>т</v>
          </cell>
          <cell r="I627">
            <v>1.5493E-2</v>
          </cell>
          <cell r="O627">
            <v>101.7</v>
          </cell>
          <cell r="R627">
            <v>0</v>
          </cell>
          <cell r="X627">
            <v>0</v>
          </cell>
          <cell r="Y627">
            <v>0</v>
          </cell>
          <cell r="AK627">
            <v>6564.53</v>
          </cell>
        </row>
        <row r="628">
          <cell r="O628">
            <v>222.72</v>
          </cell>
          <cell r="R628">
            <v>0</v>
          </cell>
          <cell r="X628">
            <v>0</v>
          </cell>
          <cell r="Y628">
            <v>0</v>
          </cell>
          <cell r="AW628">
            <v>1</v>
          </cell>
          <cell r="BC628">
            <v>2.19</v>
          </cell>
        </row>
        <row r="629">
          <cell r="E629" t="str">
            <v>7</v>
          </cell>
          <cell r="H629" t="str">
            <v>100 м2 стяжки</v>
          </cell>
          <cell r="I629">
            <v>1.84E-2</v>
          </cell>
          <cell r="P629">
            <v>0.05</v>
          </cell>
          <cell r="Q629">
            <v>1.94</v>
          </cell>
          <cell r="R629">
            <v>0.47</v>
          </cell>
          <cell r="S629">
            <v>14.18</v>
          </cell>
          <cell r="U629">
            <v>0.66270911999999993</v>
          </cell>
          <cell r="X629">
            <v>17.02</v>
          </cell>
          <cell r="Y629">
            <v>11.91</v>
          </cell>
          <cell r="AL629">
            <v>0.28999999999999998</v>
          </cell>
          <cell r="AM629">
            <v>9.1</v>
          </cell>
          <cell r="AN629">
            <v>1.46</v>
          </cell>
          <cell r="AO629">
            <v>44.07</v>
          </cell>
          <cell r="AQ629">
            <v>3.44</v>
          </cell>
          <cell r="DD629" t="str">
            <v>)*10</v>
          </cell>
          <cell r="DE629" t="str">
            <v>)*10</v>
          </cell>
          <cell r="DG629" t="str">
            <v>)*1,67)*10</v>
          </cell>
          <cell r="DI629" t="str">
            <v>)*10</v>
          </cell>
        </row>
        <row r="630">
          <cell r="P630">
            <v>0.23</v>
          </cell>
          <cell r="Q630">
            <v>18.649999999999999</v>
          </cell>
          <cell r="R630">
            <v>11.11</v>
          </cell>
          <cell r="S630">
            <v>335.22</v>
          </cell>
          <cell r="X630">
            <v>291.64</v>
          </cell>
          <cell r="Y630">
            <v>137.44</v>
          </cell>
          <cell r="AV630">
            <v>1.0469999999999999</v>
          </cell>
          <cell r="AW630">
            <v>1</v>
          </cell>
          <cell r="BA630">
            <v>23.64</v>
          </cell>
          <cell r="BB630">
            <v>8.09</v>
          </cell>
          <cell r="BC630">
            <v>4.6900000000000004</v>
          </cell>
          <cell r="BS630">
            <v>23.64</v>
          </cell>
          <cell r="BZ630">
            <v>87</v>
          </cell>
          <cell r="CA630">
            <v>41</v>
          </cell>
          <cell r="DN630">
            <v>120</v>
          </cell>
          <cell r="DO630">
            <v>84</v>
          </cell>
        </row>
        <row r="631">
          <cell r="E631" t="str">
            <v>7,1</v>
          </cell>
          <cell r="F631" t="str">
            <v>1.3-2-178</v>
          </cell>
          <cell r="H631" t="str">
            <v>т</v>
          </cell>
          <cell r="I631">
            <v>3.091E-3</v>
          </cell>
          <cell r="O631">
            <v>202.91</v>
          </cell>
          <cell r="R631">
            <v>0</v>
          </cell>
          <cell r="X631">
            <v>0</v>
          </cell>
          <cell r="Y631">
            <v>0</v>
          </cell>
          <cell r="AK631">
            <v>6564.53</v>
          </cell>
        </row>
        <row r="632">
          <cell r="O632">
            <v>444.37</v>
          </cell>
          <cell r="R632">
            <v>0</v>
          </cell>
          <cell r="X632">
            <v>0</v>
          </cell>
          <cell r="Y632">
            <v>0</v>
          </cell>
          <cell r="AW632">
            <v>1</v>
          </cell>
          <cell r="BC632">
            <v>2.19</v>
          </cell>
        </row>
        <row r="640">
          <cell r="G640" t="str">
            <v>Тип Т06**</v>
          </cell>
        </row>
        <row r="670">
          <cell r="G670" t="str">
            <v>Тип Т08*</v>
          </cell>
        </row>
        <row r="693">
          <cell r="G693" t="str">
            <v>Тип Т08*</v>
          </cell>
        </row>
        <row r="723">
          <cell r="G723" t="str">
            <v>Тип Т09</v>
          </cell>
        </row>
        <row r="756">
          <cell r="G756" t="str">
            <v>Тип Т09</v>
          </cell>
        </row>
        <row r="786">
          <cell r="G786" t="str">
            <v>Тип Т09*</v>
          </cell>
        </row>
        <row r="819">
          <cell r="G819" t="str">
            <v>Тип Т09*</v>
          </cell>
        </row>
        <row r="849">
          <cell r="G849" t="str">
            <v>Тип 10</v>
          </cell>
        </row>
        <row r="874">
          <cell r="G874" t="str">
            <v>Тип 10</v>
          </cell>
        </row>
        <row r="904">
          <cell r="G904" t="str">
            <v>Тип Т10*</v>
          </cell>
        </row>
        <row r="929">
          <cell r="G929" t="str">
            <v>Тип Т10*</v>
          </cell>
        </row>
        <row r="959">
          <cell r="G959" t="str">
            <v>Тип 10п</v>
          </cell>
        </row>
        <row r="984">
          <cell r="G984" t="str">
            <v>Тип 10п</v>
          </cell>
        </row>
        <row r="1014">
          <cell r="G1014" t="str">
            <v>Тип 11</v>
          </cell>
        </row>
        <row r="1039">
          <cell r="G1039" t="str">
            <v>Тип 11</v>
          </cell>
        </row>
        <row r="1069">
          <cell r="G1069" t="str">
            <v>Тип Т15</v>
          </cell>
        </row>
        <row r="1078">
          <cell r="G1078" t="str">
            <v>Тип Т15</v>
          </cell>
        </row>
        <row r="1108">
          <cell r="G1108" t="str">
            <v>Тип Т16*</v>
          </cell>
        </row>
        <row r="1134">
          <cell r="G1134" t="str">
            <v>Лестница</v>
          </cell>
        </row>
        <row r="1152">
          <cell r="G1152" t="str">
            <v>Тип Т16*</v>
          </cell>
        </row>
        <row r="1182">
          <cell r="G1182" t="str">
            <v>Закладные изделия в полу</v>
          </cell>
        </row>
        <row r="1206">
          <cell r="E1206" t="str">
            <v>6</v>
          </cell>
          <cell r="H1206" t="str">
            <v>1 Т</v>
          </cell>
          <cell r="I1206">
            <v>1.7999999999999999E-2</v>
          </cell>
          <cell r="Q1206">
            <v>0.85000000000000009</v>
          </cell>
          <cell r="R1206">
            <v>0.17</v>
          </cell>
          <cell r="S1206">
            <v>74.16</v>
          </cell>
          <cell r="U1206">
            <v>3.7315079999999994</v>
          </cell>
          <cell r="X1206">
            <v>72.680000000000007</v>
          </cell>
          <cell r="Y1206">
            <v>51.91</v>
          </cell>
          <cell r="AM1206">
            <v>41.32</v>
          </cell>
          <cell r="AN1206">
            <v>5.27</v>
          </cell>
          <cell r="AO1206">
            <v>2356.1999999999998</v>
          </cell>
          <cell r="AQ1206">
            <v>198</v>
          </cell>
          <cell r="DE1206" t="str">
            <v/>
          </cell>
          <cell r="DG1206" t="str">
            <v>)*1,67</v>
          </cell>
          <cell r="DI1206" t="str">
            <v/>
          </cell>
        </row>
        <row r="1207">
          <cell r="Q1207">
            <v>8.1199999999999992</v>
          </cell>
          <cell r="R1207">
            <v>4.0199999999999996</v>
          </cell>
          <cell r="S1207">
            <v>1753.14</v>
          </cell>
          <cell r="X1207">
            <v>1612.89</v>
          </cell>
          <cell r="Y1207">
            <v>1139.54</v>
          </cell>
          <cell r="AV1207">
            <v>1.0469999999999999</v>
          </cell>
          <cell r="BA1207">
            <v>23.64</v>
          </cell>
          <cell r="BB1207">
            <v>8.2899999999999991</v>
          </cell>
          <cell r="BS1207">
            <v>23.64</v>
          </cell>
          <cell r="BZ1207">
            <v>92</v>
          </cell>
          <cell r="CA1207">
            <v>65</v>
          </cell>
          <cell r="DN1207">
            <v>98</v>
          </cell>
          <cell r="DO1207">
            <v>70</v>
          </cell>
        </row>
        <row r="1208">
          <cell r="E1208" t="str">
            <v>6,1</v>
          </cell>
          <cell r="F1208" t="str">
            <v>1.12-6-28</v>
          </cell>
          <cell r="H1208" t="str">
            <v>м</v>
          </cell>
          <cell r="I1208">
            <v>2.4609770000000002</v>
          </cell>
          <cell r="O1208">
            <v>190.04</v>
          </cell>
          <cell r="R1208">
            <v>0</v>
          </cell>
          <cell r="X1208">
            <v>0</v>
          </cell>
          <cell r="Y1208">
            <v>0</v>
          </cell>
          <cell r="AK1208">
            <v>75.56</v>
          </cell>
        </row>
        <row r="1209">
          <cell r="O1209">
            <v>560.62</v>
          </cell>
          <cell r="R1209">
            <v>0</v>
          </cell>
          <cell r="X1209">
            <v>0</v>
          </cell>
          <cell r="Y1209">
            <v>0</v>
          </cell>
          <cell r="AW1209">
            <v>1.022</v>
          </cell>
          <cell r="BC1209">
            <v>2.95</v>
          </cell>
        </row>
        <row r="1210">
          <cell r="E1210" t="str">
            <v>11</v>
          </cell>
          <cell r="H1210" t="str">
            <v>100 м</v>
          </cell>
          <cell r="I1210">
            <v>3.9199999999999999E-2</v>
          </cell>
          <cell r="P1210">
            <v>7.49</v>
          </cell>
          <cell r="Q1210">
            <v>3.08</v>
          </cell>
          <cell r="R1210">
            <v>0.52</v>
          </cell>
          <cell r="S1210">
            <v>60.33</v>
          </cell>
          <cell r="U1210">
            <v>3.0662777039999995</v>
          </cell>
          <cell r="X1210">
            <v>59.12</v>
          </cell>
          <cell r="Y1210">
            <v>42.23</v>
          </cell>
          <cell r="AL1210">
            <v>179.95</v>
          </cell>
          <cell r="AM1210">
            <v>69.849999999999994</v>
          </cell>
          <cell r="AN1210">
            <v>7.54</v>
          </cell>
          <cell r="AO1210">
            <v>880.16</v>
          </cell>
          <cell r="AQ1210">
            <v>74.709999999999994</v>
          </cell>
          <cell r="DD1210" t="str">
            <v/>
          </cell>
          <cell r="DE1210" t="str">
            <v/>
          </cell>
          <cell r="DG1210" t="str">
            <v>)*1,67</v>
          </cell>
          <cell r="DI1210" t="str">
            <v/>
          </cell>
        </row>
        <row r="1211">
          <cell r="P1211">
            <v>57.07</v>
          </cell>
          <cell r="Q1211">
            <v>20.6</v>
          </cell>
          <cell r="R1211">
            <v>12.29</v>
          </cell>
          <cell r="S1211">
            <v>1426.2</v>
          </cell>
          <cell r="X1211">
            <v>1312.1</v>
          </cell>
          <cell r="Y1211">
            <v>927.03</v>
          </cell>
          <cell r="AV1211">
            <v>1.0469999999999999</v>
          </cell>
          <cell r="AW1211">
            <v>1.0620000000000001</v>
          </cell>
          <cell r="BA1211">
            <v>23.64</v>
          </cell>
          <cell r="BB1211">
            <v>5.45</v>
          </cell>
          <cell r="BC1211">
            <v>7.62</v>
          </cell>
          <cell r="BS1211">
            <v>23.64</v>
          </cell>
          <cell r="BZ1211">
            <v>92</v>
          </cell>
          <cell r="CA1211">
            <v>65</v>
          </cell>
          <cell r="DN1211">
            <v>98</v>
          </cell>
          <cell r="DO1211">
            <v>70</v>
          </cell>
        </row>
        <row r="1212">
          <cell r="E1212" t="str">
            <v>11,1</v>
          </cell>
          <cell r="F1212" t="str">
            <v>1.6-2-119</v>
          </cell>
          <cell r="H1212" t="str">
            <v>м</v>
          </cell>
          <cell r="I1212">
            <v>3.92</v>
          </cell>
          <cell r="O1212">
            <v>2044.14</v>
          </cell>
          <cell r="R1212">
            <v>0</v>
          </cell>
          <cell r="X1212">
            <v>0</v>
          </cell>
          <cell r="Y1212">
            <v>0</v>
          </cell>
          <cell r="AK1212">
            <v>491.02</v>
          </cell>
        </row>
        <row r="1213">
          <cell r="O1213">
            <v>3250.18</v>
          </cell>
          <cell r="R1213">
            <v>0</v>
          </cell>
          <cell r="X1213">
            <v>0</v>
          </cell>
          <cell r="Y1213">
            <v>0</v>
          </cell>
          <cell r="AW1213">
            <v>1.0620000000000001</v>
          </cell>
          <cell r="BC1213">
            <v>1.59</v>
          </cell>
        </row>
        <row r="1221">
          <cell r="G1221" t="str">
            <v>Закладные изделия в полу</v>
          </cell>
        </row>
        <row r="1251">
          <cell r="G1251" t="str">
            <v>Возведение кирпичных перегородок</v>
          </cell>
        </row>
        <row r="1261">
          <cell r="G1261" t="str">
            <v>Отделка ж/б стен</v>
          </cell>
        </row>
        <row r="1314">
          <cell r="G1314" t="str">
            <v>Отделка перегородок</v>
          </cell>
        </row>
        <row r="1365">
          <cell r="G1365" t="str">
            <v>Цокольная часть стен (колонн)</v>
          </cell>
        </row>
        <row r="1400">
          <cell r="G1400" t="str">
            <v>Кабельная канализация в перегородках</v>
          </cell>
        </row>
        <row r="1428">
          <cell r="G1428" t="str">
            <v>Возведение кирпичных перегородок</v>
          </cell>
        </row>
        <row r="1458">
          <cell r="G1458" t="str">
            <v>Потолки</v>
          </cell>
        </row>
        <row r="1521">
          <cell r="G1521" t="str">
            <v>Потолки</v>
          </cell>
        </row>
        <row r="1551">
          <cell r="G1551" t="str">
            <v>Отделка стен (запотолочного пространства)</v>
          </cell>
        </row>
        <row r="1560">
          <cell r="G1560" t="str">
            <v>Отделка стен (запотолочного пространства)</v>
          </cell>
        </row>
        <row r="1590">
          <cell r="G1590" t="str">
            <v>Полы, стены, покрытие</v>
          </cell>
        </row>
        <row r="1620">
          <cell r="G1620" t="str">
            <v>Заполнение проемов</v>
          </cell>
        </row>
        <row r="1657">
          <cell r="G1657" t="str">
            <v>Заполнение проемов</v>
          </cell>
        </row>
        <row r="1687">
          <cell r="G1687" t="str">
            <v>Перемычки</v>
          </cell>
        </row>
        <row r="1710">
          <cell r="G1710" t="str">
            <v>Перемычки</v>
          </cell>
        </row>
        <row r="1740">
          <cell r="G1740" t="str">
            <v/>
          </cell>
        </row>
        <row r="1746">
          <cell r="F1746">
            <v>17661.689999999999</v>
          </cell>
          <cell r="H1746" t="str">
            <v>Стоимость материалов (всего)</v>
          </cell>
          <cell r="P1746">
            <v>65433.56</v>
          </cell>
        </row>
        <row r="1754">
          <cell r="F1754">
            <v>47.62</v>
          </cell>
          <cell r="H1754" t="str">
            <v>ЗП машинистов</v>
          </cell>
          <cell r="P1754">
            <v>1125.71</v>
          </cell>
        </row>
        <row r="1755">
          <cell r="F1755">
            <v>1134.3</v>
          </cell>
          <cell r="H1755" t="str">
            <v>Основная ЗП рабочих</v>
          </cell>
          <cell r="P1755">
            <v>26814.86</v>
          </cell>
        </row>
        <row r="1770">
          <cell r="G1770" t="str">
            <v>49109-ТПК_5-0867-Р-ССР2 изм. 1.1 12-4017-Л-Р-11.4.1.2.2-АР1-СМ1К</v>
          </cell>
        </row>
        <row r="1798">
          <cell r="P1798">
            <v>132117.26999999999</v>
          </cell>
        </row>
        <row r="1799">
          <cell r="F1799">
            <v>17661.689999999999</v>
          </cell>
          <cell r="H1799" t="str">
            <v>Стоимость материалов (всего)</v>
          </cell>
          <cell r="P1799">
            <v>65433.56</v>
          </cell>
        </row>
        <row r="1800">
          <cell r="F1800">
            <v>47.62</v>
          </cell>
          <cell r="H1800" t="str">
            <v>ЗП машинистов</v>
          </cell>
          <cell r="P1800">
            <v>1125.71</v>
          </cell>
        </row>
        <row r="1801">
          <cell r="F1801">
            <v>1134.3</v>
          </cell>
          <cell r="H1801" t="str">
            <v>Основная ЗП рабочих</v>
          </cell>
          <cell r="P1801">
            <v>26814.86</v>
          </cell>
        </row>
        <row r="1802">
          <cell r="F1802">
            <v>0</v>
          </cell>
          <cell r="H1802" t="str">
            <v>Оборудование</v>
          </cell>
          <cell r="P1802">
            <v>0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С-3 (2)"/>
      <sheetName val="Реестр январь"/>
      <sheetName val="17.55"/>
      <sheetName val="17.75"/>
      <sheetName val="17.86"/>
      <sheetName val="17.94"/>
      <sheetName val="17.95"/>
      <sheetName val="17.96"/>
      <sheetName val="17.98"/>
      <sheetName val="1_17.56"/>
      <sheetName val="2_17.63"/>
      <sheetName val="3_17.93"/>
      <sheetName val="4_21.10"/>
      <sheetName val="5_21.11"/>
      <sheetName val="6_21.12"/>
      <sheetName val="7_21.13"/>
      <sheetName val="21.14"/>
      <sheetName val="8_21.17"/>
      <sheetName val="9_11.6"/>
    </sheetNames>
    <sheetDataSet>
      <sheetData sheetId="0"/>
      <sheetData sheetId="1">
        <row r="29">
          <cell r="L29">
            <v>763133.52</v>
          </cell>
          <cell r="N29">
            <v>5675027.5099999998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кт КС-2 по ТСН-2001"/>
      <sheetName val="Source"/>
      <sheetName val="SourceObSm"/>
      <sheetName val="SmtRes"/>
      <sheetName val="Etalon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кт КС-2 по ТСН-2001"/>
      <sheetName val="Source"/>
      <sheetName val="SourceObSm"/>
      <sheetName val="SmtRes"/>
      <sheetName val="EtalonRes"/>
    </sheetNames>
    <sheetDataSet>
      <sheetData sheetId="0" refreshError="1"/>
      <sheetData sheetId="1">
        <row r="28">
          <cell r="G28" t="str">
            <v>Вентиляция</v>
          </cell>
        </row>
        <row r="342">
          <cell r="G342" t="str">
            <v>П2-16, П2-16р</v>
          </cell>
        </row>
        <row r="346">
          <cell r="H346" t="str">
            <v>1  ШТ.</v>
          </cell>
          <cell r="I346">
            <v>1</v>
          </cell>
          <cell r="P346">
            <v>4.17</v>
          </cell>
          <cell r="Q346">
            <v>17.8</v>
          </cell>
          <cell r="R346">
            <v>2.33</v>
          </cell>
          <cell r="S346">
            <v>1096.75</v>
          </cell>
          <cell r="U346">
            <v>55.035859999999992</v>
          </cell>
          <cell r="X346">
            <v>866.43</v>
          </cell>
          <cell r="Y346">
            <v>767.73</v>
          </cell>
          <cell r="AL346">
            <v>4.0599999999999996</v>
          </cell>
          <cell r="AM346">
            <v>15.8</v>
          </cell>
          <cell r="AN346">
            <v>1.31</v>
          </cell>
          <cell r="AO346">
            <v>615.5</v>
          </cell>
          <cell r="AQ346">
            <v>51.58</v>
          </cell>
          <cell r="DD346" t="str">
            <v/>
          </cell>
          <cell r="DE346" t="str">
            <v/>
          </cell>
          <cell r="DG346" t="str">
            <v>)*1,67</v>
          </cell>
          <cell r="DI346" t="str">
            <v/>
          </cell>
        </row>
        <row r="347">
          <cell r="P347">
            <v>26.4</v>
          </cell>
          <cell r="Q347">
            <v>151.03</v>
          </cell>
          <cell r="R347">
            <v>57.15</v>
          </cell>
          <cell r="S347">
            <v>26903.279999999999</v>
          </cell>
          <cell r="X347">
            <v>18294.23</v>
          </cell>
          <cell r="Y347">
            <v>11568.41</v>
          </cell>
          <cell r="AV347">
            <v>1.0669999999999999</v>
          </cell>
          <cell r="AW347">
            <v>1.028</v>
          </cell>
          <cell r="BA347">
            <v>24.53</v>
          </cell>
          <cell r="BB347">
            <v>7.59</v>
          </cell>
          <cell r="BC347">
            <v>6.33</v>
          </cell>
          <cell r="BS347">
            <v>24.53</v>
          </cell>
          <cell r="BZ347">
            <v>68</v>
          </cell>
          <cell r="CA347">
            <v>43</v>
          </cell>
          <cell r="DN347">
            <v>68</v>
          </cell>
          <cell r="DO347">
            <v>43</v>
          </cell>
        </row>
        <row r="348">
          <cell r="F348" t="str">
            <v>Прайс-лист</v>
          </cell>
          <cell r="H348" t="str">
            <v>шт.</v>
          </cell>
          <cell r="I348">
            <v>0</v>
          </cell>
          <cell r="R348">
            <v>0</v>
          </cell>
          <cell r="X348">
            <v>0</v>
          </cell>
          <cell r="Y348">
            <v>0</v>
          </cell>
          <cell r="AL348">
            <v>137717.41</v>
          </cell>
          <cell r="DD348" t="str">
            <v/>
          </cell>
        </row>
        <row r="349">
          <cell r="R349">
            <v>0</v>
          </cell>
          <cell r="X349">
            <v>0</v>
          </cell>
          <cell r="Y349">
            <v>0</v>
          </cell>
          <cell r="AW349">
            <v>1</v>
          </cell>
          <cell r="BC349">
            <v>4.5999999999999996</v>
          </cell>
        </row>
        <row r="381">
          <cell r="G381" t="str">
            <v>П2-16, П2-16р</v>
          </cell>
        </row>
        <row r="671">
          <cell r="G671" t="str">
            <v>П2-25, П2-25р</v>
          </cell>
        </row>
        <row r="675">
          <cell r="H675" t="str">
            <v>1  ШТ.</v>
          </cell>
          <cell r="I675">
            <v>1</v>
          </cell>
          <cell r="P675">
            <v>4.17</v>
          </cell>
          <cell r="Q675">
            <v>17.8</v>
          </cell>
          <cell r="R675">
            <v>2.33</v>
          </cell>
          <cell r="S675">
            <v>1096.75</v>
          </cell>
          <cell r="U675">
            <v>55.035859999999992</v>
          </cell>
          <cell r="X675">
            <v>866.43</v>
          </cell>
          <cell r="Y675">
            <v>767.73</v>
          </cell>
          <cell r="AL675">
            <v>4.0599999999999996</v>
          </cell>
          <cell r="AM675">
            <v>15.8</v>
          </cell>
          <cell r="AN675">
            <v>1.31</v>
          </cell>
          <cell r="AO675">
            <v>615.5</v>
          </cell>
          <cell r="AQ675">
            <v>51.58</v>
          </cell>
          <cell r="DD675" t="str">
            <v/>
          </cell>
          <cell r="DE675" t="str">
            <v/>
          </cell>
          <cell r="DG675" t="str">
            <v>)*1,67</v>
          </cell>
          <cell r="DI675" t="str">
            <v/>
          </cell>
        </row>
        <row r="676">
          <cell r="P676">
            <v>26.4</v>
          </cell>
          <cell r="Q676">
            <v>151.03</v>
          </cell>
          <cell r="R676">
            <v>57.15</v>
          </cell>
          <cell r="S676">
            <v>26903.279999999999</v>
          </cell>
          <cell r="X676">
            <v>18294.23</v>
          </cell>
          <cell r="Y676">
            <v>11568.41</v>
          </cell>
          <cell r="AV676">
            <v>1.0669999999999999</v>
          </cell>
          <cell r="AW676">
            <v>1.028</v>
          </cell>
          <cell r="BA676">
            <v>24.53</v>
          </cell>
          <cell r="BB676">
            <v>7.59</v>
          </cell>
          <cell r="BC676">
            <v>6.33</v>
          </cell>
          <cell r="BS676">
            <v>24.53</v>
          </cell>
          <cell r="BZ676">
            <v>68</v>
          </cell>
          <cell r="CA676">
            <v>43</v>
          </cell>
          <cell r="DN676">
            <v>68</v>
          </cell>
          <cell r="DO676">
            <v>43</v>
          </cell>
        </row>
        <row r="677">
          <cell r="F677" t="str">
            <v>Прайс-лист</v>
          </cell>
          <cell r="H677" t="str">
            <v>шт.</v>
          </cell>
          <cell r="I677">
            <v>0</v>
          </cell>
          <cell r="R677">
            <v>0</v>
          </cell>
          <cell r="X677">
            <v>0</v>
          </cell>
          <cell r="Y677">
            <v>0</v>
          </cell>
          <cell r="AL677">
            <v>105230.91</v>
          </cell>
          <cell r="DD677" t="str">
            <v/>
          </cell>
        </row>
        <row r="678">
          <cell r="R678">
            <v>0</v>
          </cell>
          <cell r="X678">
            <v>0</v>
          </cell>
          <cell r="Y678">
            <v>0</v>
          </cell>
          <cell r="AW678">
            <v>1</v>
          </cell>
          <cell r="BC678">
            <v>4.5999999999999996</v>
          </cell>
        </row>
        <row r="714">
          <cell r="G714" t="str">
            <v>П2-25, П2-25р</v>
          </cell>
        </row>
        <row r="1306">
          <cell r="G1306" t="str">
            <v>В2-19</v>
          </cell>
        </row>
        <row r="1310">
          <cell r="H1310" t="str">
            <v>1  ШТ.</v>
          </cell>
          <cell r="I1310">
            <v>1</v>
          </cell>
          <cell r="P1310">
            <v>4.17</v>
          </cell>
          <cell r="Q1310">
            <v>17.8</v>
          </cell>
          <cell r="R1310">
            <v>2.33</v>
          </cell>
          <cell r="S1310">
            <v>1096.75</v>
          </cell>
          <cell r="U1310">
            <v>55.035859999999992</v>
          </cell>
          <cell r="X1310">
            <v>866.43</v>
          </cell>
          <cell r="Y1310">
            <v>767.73</v>
          </cell>
          <cell r="AL1310">
            <v>4.0599999999999996</v>
          </cell>
          <cell r="AM1310">
            <v>15.8</v>
          </cell>
          <cell r="AN1310">
            <v>1.31</v>
          </cell>
          <cell r="AO1310">
            <v>615.5</v>
          </cell>
          <cell r="AQ1310">
            <v>51.58</v>
          </cell>
          <cell r="DD1310" t="str">
            <v/>
          </cell>
          <cell r="DE1310" t="str">
            <v/>
          </cell>
          <cell r="DG1310" t="str">
            <v>)*1,67</v>
          </cell>
          <cell r="DI1310" t="str">
            <v/>
          </cell>
        </row>
        <row r="1311">
          <cell r="P1311">
            <v>26.4</v>
          </cell>
          <cell r="Q1311">
            <v>151.03</v>
          </cell>
          <cell r="R1311">
            <v>57.15</v>
          </cell>
          <cell r="S1311">
            <v>26903.279999999999</v>
          </cell>
          <cell r="X1311">
            <v>18294.23</v>
          </cell>
          <cell r="Y1311">
            <v>11568.41</v>
          </cell>
          <cell r="AV1311">
            <v>1.0669999999999999</v>
          </cell>
          <cell r="AW1311">
            <v>1.028</v>
          </cell>
          <cell r="BA1311">
            <v>24.53</v>
          </cell>
          <cell r="BB1311">
            <v>7.59</v>
          </cell>
          <cell r="BC1311">
            <v>6.33</v>
          </cell>
          <cell r="BS1311">
            <v>24.53</v>
          </cell>
          <cell r="BZ1311">
            <v>68</v>
          </cell>
          <cell r="CA1311">
            <v>43</v>
          </cell>
          <cell r="DN1311">
            <v>68</v>
          </cell>
          <cell r="DO1311">
            <v>43</v>
          </cell>
        </row>
        <row r="1312">
          <cell r="F1312" t="str">
            <v>Прайс-лист</v>
          </cell>
          <cell r="H1312" t="str">
            <v>шт.</v>
          </cell>
          <cell r="I1312">
            <v>0</v>
          </cell>
          <cell r="R1312">
            <v>0</v>
          </cell>
          <cell r="X1312">
            <v>0</v>
          </cell>
          <cell r="Y1312">
            <v>0</v>
          </cell>
          <cell r="AL1312">
            <v>66150.67</v>
          </cell>
          <cell r="DD1312" t="str">
            <v/>
          </cell>
        </row>
        <row r="1313">
          <cell r="R1313">
            <v>0</v>
          </cell>
          <cell r="X1313">
            <v>0</v>
          </cell>
          <cell r="Y1313">
            <v>0</v>
          </cell>
          <cell r="AW1313">
            <v>1</v>
          </cell>
          <cell r="BC1313">
            <v>4.5999999999999996</v>
          </cell>
        </row>
        <row r="1315">
          <cell r="G1315" t="str">
            <v>В2-19</v>
          </cell>
        </row>
        <row r="2366">
          <cell r="G2366" t="str">
            <v>В2-52</v>
          </cell>
        </row>
        <row r="2370">
          <cell r="H2370" t="str">
            <v>1  ШТ.</v>
          </cell>
          <cell r="I2370">
            <v>1</v>
          </cell>
          <cell r="P2370">
            <v>4.17</v>
          </cell>
          <cell r="Q2370">
            <v>17.8</v>
          </cell>
          <cell r="R2370">
            <v>2.33</v>
          </cell>
          <cell r="S2370">
            <v>1096.75</v>
          </cell>
          <cell r="U2370">
            <v>55.035859999999992</v>
          </cell>
          <cell r="X2370">
            <v>866.43</v>
          </cell>
          <cell r="Y2370">
            <v>767.73</v>
          </cell>
          <cell r="AL2370">
            <v>4.0599999999999996</v>
          </cell>
          <cell r="AM2370">
            <v>15.8</v>
          </cell>
          <cell r="AN2370">
            <v>1.31</v>
          </cell>
          <cell r="AO2370">
            <v>615.5</v>
          </cell>
          <cell r="AQ2370">
            <v>51.58</v>
          </cell>
          <cell r="DD2370" t="str">
            <v/>
          </cell>
          <cell r="DE2370" t="str">
            <v/>
          </cell>
          <cell r="DG2370" t="str">
            <v>)*1,67</v>
          </cell>
          <cell r="DI2370" t="str">
            <v/>
          </cell>
        </row>
        <row r="2371">
          <cell r="P2371">
            <v>26.4</v>
          </cell>
          <cell r="Q2371">
            <v>151.03</v>
          </cell>
          <cell r="R2371">
            <v>57.15</v>
          </cell>
          <cell r="S2371">
            <v>26903.279999999999</v>
          </cell>
          <cell r="X2371">
            <v>18294.23</v>
          </cell>
          <cell r="Y2371">
            <v>11568.41</v>
          </cell>
          <cell r="AV2371">
            <v>1.0669999999999999</v>
          </cell>
          <cell r="AW2371">
            <v>1.028</v>
          </cell>
          <cell r="BA2371">
            <v>24.53</v>
          </cell>
          <cell r="BB2371">
            <v>7.59</v>
          </cell>
          <cell r="BC2371">
            <v>6.33</v>
          </cell>
          <cell r="BS2371">
            <v>24.53</v>
          </cell>
          <cell r="BZ2371">
            <v>68</v>
          </cell>
          <cell r="CA2371">
            <v>43</v>
          </cell>
          <cell r="DN2371">
            <v>68</v>
          </cell>
          <cell r="DO2371">
            <v>43</v>
          </cell>
        </row>
        <row r="2372">
          <cell r="F2372" t="str">
            <v>Прайс-лист</v>
          </cell>
          <cell r="H2372" t="str">
            <v>шт.</v>
          </cell>
          <cell r="I2372">
            <v>0</v>
          </cell>
          <cell r="R2372">
            <v>0</v>
          </cell>
          <cell r="X2372">
            <v>0</v>
          </cell>
          <cell r="Y2372">
            <v>0</v>
          </cell>
          <cell r="AL2372">
            <v>55745.61</v>
          </cell>
          <cell r="DD2372" t="str">
            <v/>
          </cell>
        </row>
        <row r="2373">
          <cell r="R2373">
            <v>0</v>
          </cell>
          <cell r="X2373">
            <v>0</v>
          </cell>
          <cell r="Y2373">
            <v>0</v>
          </cell>
          <cell r="AW2373">
            <v>1</v>
          </cell>
          <cell r="BC2373">
            <v>4.5999999999999996</v>
          </cell>
        </row>
        <row r="2375">
          <cell r="G2375" t="str">
            <v>В2-52</v>
          </cell>
        </row>
        <row r="2921">
          <cell r="G2921" t="str">
            <v>Вентиляция</v>
          </cell>
        </row>
        <row r="2981">
          <cell r="G2981" t="str">
            <v>48837-ТПК_5-0699-Р-ССР2  12-4017-Л-Р-11.4.3.1-ОВ1.1-СМ1К</v>
          </cell>
        </row>
        <row r="2987">
          <cell r="F2987">
            <v>16.68</v>
          </cell>
          <cell r="H2987" t="str">
            <v>Стоимость материалов (всего)</v>
          </cell>
          <cell r="P2987">
            <v>105.6</v>
          </cell>
        </row>
        <row r="2990">
          <cell r="H2990" t="str">
            <v>Стоимость оборудования (всего)</v>
          </cell>
        </row>
        <row r="2995">
          <cell r="F2995">
            <v>9.32</v>
          </cell>
          <cell r="H2995" t="str">
            <v>ЗП машинистов</v>
          </cell>
          <cell r="P2995">
            <v>228.6</v>
          </cell>
        </row>
        <row r="2996">
          <cell r="F2996">
            <v>4387</v>
          </cell>
          <cell r="H2996" t="str">
            <v>Основная ЗП рабочих</v>
          </cell>
          <cell r="P2996">
            <v>107613.12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кт КС-2 по ТСН-2001"/>
      <sheetName val="Source"/>
      <sheetName val="SourceObSm"/>
      <sheetName val="SmtRes"/>
      <sheetName val="EtalonRes"/>
    </sheetNames>
    <sheetDataSet>
      <sheetData sheetId="0" refreshError="1"/>
      <sheetData sheetId="1">
        <row r="20">
          <cell r="G20" t="str">
            <v>Станционный комплекс "Аминьевское шоссе". Вестибюль №2, камера съездов, ТПП. Внутренние инженерные системы. Отопление, вентиляция, кондиционирование, дымоудаление. Вентиляция.</v>
          </cell>
        </row>
        <row r="110">
          <cell r="G110" t="str">
            <v>П2-11, П2-11р</v>
          </cell>
        </row>
        <row r="167">
          <cell r="G167" t="str">
            <v>П2-11, П2-11р</v>
          </cell>
        </row>
        <row r="197">
          <cell r="G197" t="str">
            <v>П2-13</v>
          </cell>
        </row>
        <row r="210">
          <cell r="G210" t="str">
            <v>П2-13</v>
          </cell>
        </row>
        <row r="240">
          <cell r="G240" t="str">
            <v>П2-14, П2-14р</v>
          </cell>
        </row>
        <row r="279">
          <cell r="G279" t="str">
            <v>П2-14, П2-14р</v>
          </cell>
        </row>
        <row r="309">
          <cell r="G309" t="str">
            <v>П2-15</v>
          </cell>
        </row>
        <row r="318">
          <cell r="G318" t="str">
            <v>П2-15</v>
          </cell>
        </row>
        <row r="348">
          <cell r="G348" t="str">
            <v>П2-16, П2-16р</v>
          </cell>
        </row>
        <row r="387">
          <cell r="G387" t="str">
            <v>П2-16, П2-16р</v>
          </cell>
        </row>
        <row r="417">
          <cell r="G417" t="str">
            <v>П2-17</v>
          </cell>
        </row>
        <row r="426">
          <cell r="G426" t="str">
            <v>П2-17</v>
          </cell>
        </row>
        <row r="456">
          <cell r="G456" t="str">
            <v>П2-18</v>
          </cell>
        </row>
        <row r="465">
          <cell r="G465" t="str">
            <v>П2-18</v>
          </cell>
        </row>
        <row r="495">
          <cell r="G495" t="str">
            <v>П2-19</v>
          </cell>
        </row>
        <row r="510">
          <cell r="G510" t="str">
            <v>П2-19</v>
          </cell>
        </row>
        <row r="540">
          <cell r="G540" t="str">
            <v>П2-20</v>
          </cell>
        </row>
        <row r="569">
          <cell r="G569" t="str">
            <v>П2-20</v>
          </cell>
        </row>
        <row r="599">
          <cell r="G599" t="str">
            <v>П2-21</v>
          </cell>
        </row>
        <row r="614">
          <cell r="G614" t="str">
            <v>П2-21</v>
          </cell>
        </row>
        <row r="644">
          <cell r="G644" t="str">
            <v>П2-23</v>
          </cell>
        </row>
        <row r="659">
          <cell r="G659" t="str">
            <v>П2-23</v>
          </cell>
        </row>
        <row r="689">
          <cell r="G689" t="str">
            <v>П2-25, П2-25р</v>
          </cell>
        </row>
        <row r="732">
          <cell r="G732" t="str">
            <v>П2-25, П2-25р</v>
          </cell>
        </row>
        <row r="762">
          <cell r="G762" t="str">
            <v>П2-28</v>
          </cell>
        </row>
        <row r="777">
          <cell r="G777" t="str">
            <v>П2-28</v>
          </cell>
        </row>
        <row r="807">
          <cell r="G807" t="str">
            <v>П2-29</v>
          </cell>
        </row>
        <row r="836">
          <cell r="G836" t="str">
            <v>П2-29</v>
          </cell>
        </row>
        <row r="866">
          <cell r="G866" t="str">
            <v>У2-1</v>
          </cell>
        </row>
        <row r="875">
          <cell r="G875" t="str">
            <v>У2-1</v>
          </cell>
        </row>
        <row r="905">
          <cell r="G905" t="str">
            <v>У2-2</v>
          </cell>
        </row>
        <row r="914">
          <cell r="G914" t="str">
            <v>У2-2</v>
          </cell>
        </row>
        <row r="944">
          <cell r="G944" t="str">
            <v>В2-11</v>
          </cell>
        </row>
        <row r="953">
          <cell r="G953" t="str">
            <v>В2-11</v>
          </cell>
        </row>
        <row r="983">
          <cell r="G983" t="str">
            <v>В2-12</v>
          </cell>
        </row>
        <row r="1010">
          <cell r="G1010" t="str">
            <v>В2-12</v>
          </cell>
        </row>
        <row r="1040">
          <cell r="G1040" t="str">
            <v>В2-13</v>
          </cell>
        </row>
        <row r="1073">
          <cell r="G1073" t="str">
            <v>В2-13</v>
          </cell>
        </row>
        <row r="1103">
          <cell r="G1103" t="str">
            <v>В2-14, В2-14р</v>
          </cell>
        </row>
        <row r="1134">
          <cell r="G1134" t="str">
            <v>В2-14, В2-14р</v>
          </cell>
        </row>
        <row r="1164">
          <cell r="G1164" t="str">
            <v>В2-15</v>
          </cell>
        </row>
        <row r="1189">
          <cell r="G1189" t="str">
            <v>В2-15</v>
          </cell>
        </row>
        <row r="1219">
          <cell r="G1219" t="str">
            <v>В2-16, В2-16р</v>
          </cell>
        </row>
        <row r="1228">
          <cell r="G1228" t="str">
            <v>В2-16, В2-16р</v>
          </cell>
        </row>
        <row r="1258">
          <cell r="G1258" t="str">
            <v>В2-17</v>
          </cell>
        </row>
        <row r="1267">
          <cell r="G1267" t="str">
            <v>В2-17</v>
          </cell>
        </row>
        <row r="1297">
          <cell r="G1297" t="str">
            <v>В2-18</v>
          </cell>
        </row>
        <row r="1328">
          <cell r="G1328" t="str">
            <v>В2-18</v>
          </cell>
        </row>
        <row r="1358">
          <cell r="G1358" t="str">
            <v>В2-19</v>
          </cell>
        </row>
        <row r="1367">
          <cell r="G1367" t="str">
            <v>В2-19</v>
          </cell>
        </row>
        <row r="1397">
          <cell r="G1397" t="str">
            <v>В2-20, В2-20р</v>
          </cell>
        </row>
        <row r="1406">
          <cell r="G1406" t="str">
            <v>В2-20, В2-20р</v>
          </cell>
        </row>
        <row r="1436">
          <cell r="G1436" t="str">
            <v>В2-22</v>
          </cell>
        </row>
        <row r="1445">
          <cell r="G1445" t="str">
            <v>В2-22</v>
          </cell>
        </row>
        <row r="1475">
          <cell r="G1475" t="str">
            <v>В2-23</v>
          </cell>
        </row>
        <row r="1504">
          <cell r="G1504" t="str">
            <v>В2-23</v>
          </cell>
        </row>
        <row r="1534">
          <cell r="G1534" t="str">
            <v>В2-24</v>
          </cell>
        </row>
        <row r="1561">
          <cell r="G1561" t="str">
            <v>В2-24</v>
          </cell>
        </row>
        <row r="1591">
          <cell r="G1591" t="str">
            <v>В2-25</v>
          </cell>
        </row>
        <row r="1618">
          <cell r="G1618" t="str">
            <v>В2-25</v>
          </cell>
        </row>
        <row r="1648">
          <cell r="G1648" t="str">
            <v>В2-27, В2-27р</v>
          </cell>
        </row>
        <row r="1657">
          <cell r="G1657" t="str">
            <v>В2-27, В2-27р</v>
          </cell>
        </row>
        <row r="1687">
          <cell r="G1687" t="str">
            <v>В2-28</v>
          </cell>
        </row>
        <row r="1714">
          <cell r="G1714" t="str">
            <v>В2-28</v>
          </cell>
        </row>
        <row r="1744">
          <cell r="G1744" t="str">
            <v>В2-29</v>
          </cell>
        </row>
        <row r="1775">
          <cell r="G1775" t="str">
            <v>В2-29</v>
          </cell>
        </row>
        <row r="1805">
          <cell r="G1805" t="str">
            <v>В2-30, В2-30р</v>
          </cell>
        </row>
        <row r="1832">
          <cell r="G1832" t="str">
            <v>В2-30, В2-30р</v>
          </cell>
        </row>
        <row r="1862">
          <cell r="G1862" t="str">
            <v>В20-31</v>
          </cell>
        </row>
        <row r="1891">
          <cell r="G1891" t="str">
            <v>В20-31</v>
          </cell>
        </row>
        <row r="1921">
          <cell r="G1921" t="str">
            <v>В2-34, В2-34р</v>
          </cell>
        </row>
        <row r="1930">
          <cell r="G1930" t="str">
            <v>В2-34, В2-34р</v>
          </cell>
        </row>
        <row r="1960">
          <cell r="G1960" t="str">
            <v>В2-36</v>
          </cell>
        </row>
        <row r="1981">
          <cell r="G1981" t="str">
            <v>В2-36</v>
          </cell>
        </row>
        <row r="2011">
          <cell r="G2011" t="str">
            <v>В2-37</v>
          </cell>
        </row>
        <row r="2020">
          <cell r="G2020" t="str">
            <v>В2-37</v>
          </cell>
        </row>
        <row r="2050">
          <cell r="G2050" t="str">
            <v>В2-38, В2-38р</v>
          </cell>
        </row>
        <row r="2077">
          <cell r="G2077" t="str">
            <v>В2-38, В2-38р</v>
          </cell>
        </row>
        <row r="2107">
          <cell r="G2107" t="str">
            <v>В2-40</v>
          </cell>
        </row>
        <row r="2134">
          <cell r="G2134" t="str">
            <v>В2-40</v>
          </cell>
        </row>
        <row r="2164">
          <cell r="G2164" t="str">
            <v>В2-41</v>
          </cell>
        </row>
        <row r="2195">
          <cell r="G2195" t="str">
            <v>В2-41</v>
          </cell>
        </row>
        <row r="2225">
          <cell r="G2225" t="str">
            <v>В2-42, В2-42р</v>
          </cell>
        </row>
        <row r="2254">
          <cell r="G2254" t="str">
            <v>В2-42, В2-42р</v>
          </cell>
        </row>
        <row r="2284">
          <cell r="G2284" t="str">
            <v>В2-43</v>
          </cell>
        </row>
        <row r="2309">
          <cell r="G2309" t="str">
            <v>В2-43</v>
          </cell>
        </row>
        <row r="2339">
          <cell r="G2339" t="str">
            <v>В2-44</v>
          </cell>
        </row>
        <row r="2362">
          <cell r="G2362" t="str">
            <v>В2-44</v>
          </cell>
        </row>
        <row r="2392">
          <cell r="G2392" t="str">
            <v>В2-48</v>
          </cell>
        </row>
        <row r="2405">
          <cell r="G2405" t="str">
            <v>В2-48</v>
          </cell>
        </row>
        <row r="2435">
          <cell r="G2435" t="str">
            <v>В2-50, В2-50р</v>
          </cell>
        </row>
        <row r="2462">
          <cell r="G2462" t="str">
            <v>В2-50, В2-50р</v>
          </cell>
        </row>
        <row r="2492">
          <cell r="G2492" t="str">
            <v>В2-52</v>
          </cell>
        </row>
        <row r="2501">
          <cell r="G2501" t="str">
            <v>В2-52</v>
          </cell>
        </row>
        <row r="2531">
          <cell r="G2531" t="str">
            <v>В2-58</v>
          </cell>
        </row>
        <row r="2554">
          <cell r="G2554" t="str">
            <v>В2-58</v>
          </cell>
        </row>
        <row r="2584">
          <cell r="G2584" t="str">
            <v>Дополнительные материалы и оборудование</v>
          </cell>
        </row>
        <row r="3091">
          <cell r="G3091" t="str">
            <v>Дополнительные материалы и оборудование</v>
          </cell>
        </row>
        <row r="3151">
          <cell r="G3151" t="str">
            <v>Исключить из сметы:</v>
          </cell>
        </row>
        <row r="3196">
          <cell r="G3196" t="str">
            <v>Исключить из сметы:</v>
          </cell>
        </row>
        <row r="3226">
          <cell r="G3226" t="str">
            <v>Добавить в смету:</v>
          </cell>
        </row>
        <row r="3238">
          <cell r="E3238" t="str">
            <v>42</v>
          </cell>
          <cell r="R3238">
            <v>0</v>
          </cell>
          <cell r="X3238">
            <v>0</v>
          </cell>
          <cell r="Y3238">
            <v>0</v>
          </cell>
        </row>
        <row r="3239">
          <cell r="R3239">
            <v>0</v>
          </cell>
          <cell r="X3239">
            <v>0</v>
          </cell>
          <cell r="Y3239">
            <v>0</v>
          </cell>
        </row>
        <row r="3248">
          <cell r="E3248" t="str">
            <v>81</v>
          </cell>
          <cell r="R3248">
            <v>0</v>
          </cell>
          <cell r="X3248">
            <v>0</v>
          </cell>
          <cell r="Y3248">
            <v>0</v>
          </cell>
        </row>
        <row r="3249">
          <cell r="R3249">
            <v>0</v>
          </cell>
          <cell r="X3249">
            <v>0</v>
          </cell>
          <cell r="Y3249">
            <v>0</v>
          </cell>
        </row>
        <row r="3258">
          <cell r="E3258" t="str">
            <v>163</v>
          </cell>
          <cell r="R3258">
            <v>0</v>
          </cell>
          <cell r="X3258">
            <v>0</v>
          </cell>
          <cell r="Y3258">
            <v>0</v>
          </cell>
        </row>
        <row r="3259">
          <cell r="R3259">
            <v>0</v>
          </cell>
          <cell r="X3259">
            <v>0</v>
          </cell>
          <cell r="Y3259">
            <v>0</v>
          </cell>
        </row>
        <row r="3270">
          <cell r="E3270" t="str">
            <v>308</v>
          </cell>
          <cell r="R3270">
            <v>0</v>
          </cell>
          <cell r="X3270">
            <v>0</v>
          </cell>
          <cell r="Y3270">
            <v>0</v>
          </cell>
        </row>
        <row r="3271">
          <cell r="R3271">
            <v>0</v>
          </cell>
          <cell r="X3271">
            <v>0</v>
          </cell>
          <cell r="Y3271">
            <v>0</v>
          </cell>
        </row>
        <row r="3273">
          <cell r="G3273" t="str">
            <v>Добавить в смету:</v>
          </cell>
        </row>
        <row r="3303">
          <cell r="G3303" t="str">
            <v>Станционный комплекс "Аминьевское шоссе". Вестибюль №2, камера съездов, ТПП. Внутренние инженерные системы. Отопление, вентиляция, кондиционирование, дымоудаление. Вентиляция.</v>
          </cell>
        </row>
        <row r="3333">
          <cell r="G3333" t="str">
            <v>48837-ТПК_5-0699-Р-ССР2 изм. 1.1. доп 2 МИП 12-4017-Л-Р-11.4.3.1-ОВ1.1-СМ1к доп2 МИП  Станционный комплекс "Аминьевское шоссе". Вестибюль №2, камера сьездов, ТПП. Внутренние инженерные системы. Отопление, вентиляция, кондиционирование, дымоудаление. Вентиляция</v>
          </cell>
        </row>
        <row r="3361">
          <cell r="P3361">
            <v>1126536.67</v>
          </cell>
        </row>
        <row r="3362">
          <cell r="H3362" t="str">
            <v>Стоимость материалов (всего)</v>
          </cell>
        </row>
        <row r="3363">
          <cell r="F3363">
            <v>0</v>
          </cell>
          <cell r="H3363" t="str">
            <v>ЗП машинистов</v>
          </cell>
          <cell r="P3363">
            <v>0</v>
          </cell>
        </row>
        <row r="3364">
          <cell r="F3364">
            <v>0</v>
          </cell>
          <cell r="H3364" t="str">
            <v>Основная ЗП рабочих</v>
          </cell>
          <cell r="P3364">
            <v>0</v>
          </cell>
        </row>
        <row r="3365">
          <cell r="H3365" t="str">
            <v>Оборудование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ч. щ. 1"/>
      <sheetName val="ч. щ. 2"/>
      <sheetName val="К.С.М."/>
      <sheetName val="Тр."/>
      <sheetName val="Тр.(ж.д.)"/>
      <sheetName val="зим."/>
      <sheetName val="вах"/>
      <sheetName val="окно"/>
      <sheetName val="вр"/>
      <sheetName val="C.с"/>
      <sheetName val="П.з.л.см"/>
      <sheetName val="П.з.р.в"/>
      <sheetName val="Сод.л.см"/>
      <sheetName val="Сод.р.в."/>
      <sheetName val="ТрМ. "/>
      <sheetName val="К.С.М. м"/>
      <sheetName val="отгр ГОК"/>
      <sheetName val="коэф"/>
    </sheetNames>
    <sheetDataSet>
      <sheetData sheetId="0"/>
      <sheetData sheetId="1">
        <row r="57">
          <cell r="H57">
            <v>136.85</v>
          </cell>
        </row>
      </sheetData>
      <sheetData sheetId="2"/>
      <sheetData sheetId="3" refreshError="1">
        <row r="29">
          <cell r="F29">
            <v>14.603200000000001</v>
          </cell>
        </row>
      </sheetData>
      <sheetData sheetId="4">
        <row r="319">
          <cell r="P319">
            <v>10.35</v>
          </cell>
        </row>
      </sheetData>
      <sheetData sheetId="5" refreshError="1">
        <row r="17">
          <cell r="H17">
            <v>5.0599999999999996</v>
          </cell>
        </row>
        <row r="39">
          <cell r="H39">
            <v>3.08</v>
          </cell>
        </row>
        <row r="42">
          <cell r="H42">
            <v>2.6100000000000003</v>
          </cell>
        </row>
        <row r="47">
          <cell r="H47">
            <v>3.21</v>
          </cell>
        </row>
        <row r="50">
          <cell r="H50">
            <v>3.08</v>
          </cell>
        </row>
        <row r="53">
          <cell r="H53">
            <v>2.98</v>
          </cell>
        </row>
        <row r="56">
          <cell r="H56">
            <v>5.22</v>
          </cell>
        </row>
        <row r="59">
          <cell r="H59">
            <v>5.09</v>
          </cell>
        </row>
        <row r="62">
          <cell r="H62">
            <v>2.4300000000000002</v>
          </cell>
        </row>
        <row r="65">
          <cell r="H65">
            <v>1.4</v>
          </cell>
        </row>
      </sheetData>
      <sheetData sheetId="6" refreshError="1">
        <row r="43">
          <cell r="F43">
            <v>5.2489999999999997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F338"/>
  <sheetViews>
    <sheetView view="pageBreakPreview" topLeftCell="A27" zoomScale="60" zoomScaleNormal="100" workbookViewId="0">
      <selection activeCell="A26" sqref="A1:L26"/>
    </sheetView>
  </sheetViews>
  <sheetFormatPr defaultColWidth="9.33203125" defaultRowHeight="11.25" x14ac:dyDescent="0.2"/>
  <cols>
    <col min="1" max="2" width="9.1640625" style="47" customWidth="1"/>
    <col min="3" max="3" width="15.6640625" style="47" customWidth="1"/>
    <col min="4" max="4" width="49.6640625" style="47" customWidth="1"/>
    <col min="5" max="5" width="13.6640625" style="47" customWidth="1"/>
    <col min="6" max="6" width="11.83203125" style="47" bestFit="1" customWidth="1"/>
    <col min="7" max="7" width="15.5" style="47" customWidth="1"/>
    <col min="8" max="10" width="14.1640625" style="47" customWidth="1"/>
    <col min="11" max="11" width="11.1640625" style="47" bestFit="1" customWidth="1"/>
    <col min="12" max="12" width="14.5" style="47" customWidth="1"/>
    <col min="13" max="14" width="9.33203125" style="47"/>
    <col min="15" max="30" width="0" style="47" hidden="1" customWidth="1"/>
    <col min="31" max="31" width="157.1640625" style="47" hidden="1" customWidth="1"/>
    <col min="32" max="32" width="117.83203125" style="47" hidden="1" customWidth="1"/>
    <col min="33" max="36" width="0" style="47" hidden="1" customWidth="1"/>
    <col min="37" max="16384" width="9.33203125" style="47"/>
  </cols>
  <sheetData>
    <row r="1" spans="1:12" hidden="1" x14ac:dyDescent="0.2">
      <c r="A1"/>
      <c r="B1"/>
      <c r="C1"/>
      <c r="D1"/>
      <c r="E1"/>
      <c r="F1"/>
      <c r="G1"/>
      <c r="H1"/>
      <c r="I1"/>
      <c r="J1"/>
      <c r="K1"/>
      <c r="L1"/>
    </row>
    <row r="2" spans="1:12" hidden="1" x14ac:dyDescent="0.2">
      <c r="A2"/>
      <c r="B2"/>
      <c r="C2"/>
      <c r="D2"/>
      <c r="E2"/>
      <c r="F2"/>
      <c r="G2"/>
      <c r="H2"/>
      <c r="I2"/>
      <c r="J2"/>
      <c r="K2"/>
      <c r="L2"/>
    </row>
    <row r="3" spans="1:12" hidden="1" x14ac:dyDescent="0.2">
      <c r="A3"/>
      <c r="B3"/>
      <c r="C3"/>
      <c r="D3"/>
      <c r="E3"/>
      <c r="F3"/>
      <c r="G3"/>
      <c r="H3"/>
      <c r="I3"/>
      <c r="J3"/>
      <c r="K3"/>
      <c r="L3"/>
    </row>
    <row r="4" spans="1:12" hidden="1" x14ac:dyDescent="0.2">
      <c r="A4"/>
      <c r="B4"/>
      <c r="C4"/>
      <c r="D4"/>
      <c r="E4"/>
      <c r="F4"/>
      <c r="G4"/>
      <c r="H4"/>
      <c r="I4"/>
      <c r="J4"/>
      <c r="K4"/>
      <c r="L4"/>
    </row>
    <row r="5" spans="1:12" hidden="1" x14ac:dyDescent="0.2">
      <c r="A5"/>
      <c r="B5"/>
      <c r="C5"/>
      <c r="D5"/>
      <c r="E5"/>
      <c r="F5"/>
      <c r="G5"/>
      <c r="H5"/>
      <c r="I5"/>
      <c r="J5"/>
      <c r="K5"/>
      <c r="L5"/>
    </row>
    <row r="6" spans="1:12" ht="25.5" hidden="1" customHeight="1" x14ac:dyDescent="0.2">
      <c r="A6"/>
      <c r="B6"/>
      <c r="C6"/>
      <c r="D6"/>
      <c r="E6"/>
      <c r="F6"/>
      <c r="G6"/>
      <c r="H6"/>
      <c r="I6"/>
      <c r="J6"/>
      <c r="K6"/>
      <c r="L6"/>
    </row>
    <row r="7" spans="1:12" ht="14.25" hidden="1" customHeight="1" x14ac:dyDescent="0.2">
      <c r="A7"/>
      <c r="B7"/>
      <c r="C7"/>
      <c r="D7"/>
      <c r="E7"/>
      <c r="F7"/>
      <c r="G7"/>
      <c r="H7"/>
      <c r="I7"/>
      <c r="J7"/>
      <c r="K7"/>
      <c r="L7"/>
    </row>
    <row r="8" spans="1:12" ht="26.25" hidden="1" customHeight="1" x14ac:dyDescent="0.2">
      <c r="A8"/>
      <c r="B8"/>
      <c r="C8"/>
      <c r="D8"/>
      <c r="E8"/>
      <c r="F8"/>
      <c r="G8"/>
      <c r="H8"/>
      <c r="I8"/>
      <c r="J8"/>
      <c r="K8"/>
      <c r="L8"/>
    </row>
    <row r="9" spans="1:12" ht="14.25" hidden="1" customHeight="1" x14ac:dyDescent="0.2">
      <c r="A9"/>
      <c r="B9"/>
      <c r="C9"/>
      <c r="D9"/>
      <c r="E9"/>
      <c r="F9"/>
      <c r="G9"/>
      <c r="H9"/>
      <c r="I9"/>
      <c r="J9"/>
      <c r="K9"/>
      <c r="L9"/>
    </row>
    <row r="10" spans="1:12" ht="14.25" hidden="1" customHeight="1" x14ac:dyDescent="0.2">
      <c r="A10"/>
      <c r="B10"/>
      <c r="C10"/>
      <c r="D10"/>
      <c r="E10"/>
      <c r="F10"/>
      <c r="G10"/>
      <c r="H10"/>
      <c r="I10"/>
      <c r="J10"/>
      <c r="K10"/>
      <c r="L10"/>
    </row>
    <row r="11" spans="1:12" ht="14.25" hidden="1" customHeight="1" x14ac:dyDescent="0.2">
      <c r="A11"/>
      <c r="B11"/>
      <c r="C11"/>
      <c r="D11"/>
      <c r="E11"/>
      <c r="F11"/>
      <c r="G11"/>
      <c r="H11"/>
      <c r="I11"/>
      <c r="J11"/>
      <c r="K11"/>
      <c r="L11"/>
    </row>
    <row r="12" spans="1:12" ht="14.25" hidden="1" customHeight="1" x14ac:dyDescent="0.2">
      <c r="A12"/>
      <c r="B12"/>
      <c r="C12"/>
      <c r="D12"/>
      <c r="E12"/>
      <c r="F12"/>
      <c r="G12"/>
      <c r="H12"/>
      <c r="I12"/>
      <c r="J12"/>
      <c r="K12"/>
      <c r="L12"/>
    </row>
    <row r="13" spans="1:12" ht="14.25" hidden="1" customHeight="1" x14ac:dyDescent="0.2">
      <c r="A13"/>
      <c r="B13"/>
      <c r="C13"/>
      <c r="D13"/>
      <c r="E13"/>
      <c r="F13"/>
      <c r="G13"/>
      <c r="H13"/>
      <c r="I13"/>
      <c r="J13"/>
      <c r="K13"/>
      <c r="L13"/>
    </row>
    <row r="14" spans="1:12" hidden="1" x14ac:dyDescent="0.2">
      <c r="A14"/>
      <c r="B14"/>
      <c r="C14"/>
      <c r="D14"/>
      <c r="E14"/>
      <c r="F14"/>
      <c r="G14"/>
      <c r="H14"/>
      <c r="I14"/>
      <c r="J14"/>
      <c r="K14"/>
      <c r="L14"/>
    </row>
    <row r="15" spans="1:12" ht="14.25" hidden="1" customHeight="1" x14ac:dyDescent="0.2">
      <c r="A15"/>
      <c r="B15"/>
      <c r="C15"/>
      <c r="D15"/>
      <c r="E15"/>
      <c r="F15"/>
      <c r="G15"/>
      <c r="H15"/>
      <c r="I15"/>
      <c r="J15"/>
      <c r="K15"/>
      <c r="L15"/>
    </row>
    <row r="16" spans="1:12" hidden="1" x14ac:dyDescent="0.2">
      <c r="A16"/>
      <c r="B16"/>
      <c r="C16"/>
      <c r="D16"/>
      <c r="E16"/>
      <c r="F16"/>
      <c r="G16"/>
      <c r="H16"/>
      <c r="I16"/>
      <c r="J16"/>
      <c r="K16"/>
      <c r="L16"/>
    </row>
    <row r="17" spans="1:31" ht="14.25" hidden="1" customHeight="1" x14ac:dyDescent="0.2">
      <c r="A17"/>
      <c r="B17"/>
      <c r="C17"/>
      <c r="D17"/>
      <c r="E17"/>
      <c r="F17"/>
      <c r="G17"/>
      <c r="H17"/>
      <c r="I17"/>
      <c r="J17"/>
      <c r="K17"/>
      <c r="L17"/>
    </row>
    <row r="18" spans="1:31" hidden="1" x14ac:dyDescent="0.2">
      <c r="A18"/>
      <c r="B18"/>
      <c r="C18"/>
      <c r="D18"/>
      <c r="E18"/>
      <c r="F18"/>
      <c r="G18"/>
      <c r="H18"/>
      <c r="I18"/>
      <c r="J18"/>
      <c r="K18"/>
      <c r="L18"/>
    </row>
    <row r="19" spans="1:31" ht="14.25" hidden="1" customHeight="1" x14ac:dyDescent="0.2">
      <c r="A19"/>
      <c r="B19"/>
      <c r="C19"/>
      <c r="D19"/>
      <c r="E19"/>
      <c r="F19"/>
      <c r="G19"/>
      <c r="H19"/>
      <c r="I19"/>
      <c r="J19"/>
      <c r="K19"/>
      <c r="L19"/>
    </row>
    <row r="20" spans="1:31" s="141" customFormat="1" ht="18" hidden="1" customHeight="1" x14ac:dyDescent="0.25">
      <c r="A20"/>
      <c r="B20"/>
      <c r="C20"/>
      <c r="D20"/>
      <c r="E20"/>
      <c r="F20"/>
      <c r="G20"/>
      <c r="H20"/>
      <c r="I20"/>
      <c r="J20"/>
      <c r="K20"/>
      <c r="L20"/>
      <c r="M20" s="140"/>
    </row>
    <row r="21" spans="1:31" s="141" customFormat="1" ht="14.25" hidden="1" customHeight="1" x14ac:dyDescent="0.25">
      <c r="A21"/>
      <c r="B21"/>
      <c r="C21"/>
      <c r="D21"/>
      <c r="E21"/>
      <c r="F21"/>
      <c r="G21"/>
      <c r="H21"/>
      <c r="I21"/>
      <c r="J21"/>
      <c r="K21"/>
      <c r="L21"/>
      <c r="M21" s="140"/>
    </row>
    <row r="22" spans="1:31" s="141" customFormat="1" hidden="1" x14ac:dyDescent="0.2">
      <c r="A22"/>
      <c r="B22"/>
      <c r="C22"/>
      <c r="D22"/>
      <c r="E22"/>
      <c r="F22"/>
      <c r="G22"/>
      <c r="H22"/>
      <c r="I22"/>
      <c r="J22"/>
      <c r="K22"/>
      <c r="L22"/>
    </row>
    <row r="23" spans="1:31" s="141" customFormat="1" ht="14.25" hidden="1" customHeight="1" x14ac:dyDescent="0.2">
      <c r="A23"/>
      <c r="B23"/>
      <c r="C23"/>
      <c r="D23"/>
      <c r="E23"/>
      <c r="F23"/>
      <c r="G23"/>
      <c r="H23"/>
      <c r="I23"/>
      <c r="J23"/>
      <c r="K23"/>
      <c r="L23"/>
    </row>
    <row r="24" spans="1:31" s="141" customFormat="1" hidden="1" x14ac:dyDescent="0.2">
      <c r="A24"/>
      <c r="B24"/>
      <c r="C24"/>
      <c r="D24"/>
      <c r="E24"/>
      <c r="F24"/>
      <c r="G24"/>
      <c r="H24"/>
      <c r="I24"/>
      <c r="J24"/>
      <c r="K24"/>
      <c r="L24"/>
    </row>
    <row r="25" spans="1:31" s="141" customFormat="1" hidden="1" x14ac:dyDescent="0.2">
      <c r="A25"/>
      <c r="B25"/>
      <c r="C25"/>
      <c r="D25"/>
      <c r="E25"/>
      <c r="F25"/>
      <c r="G25"/>
      <c r="H25"/>
      <c r="I25"/>
      <c r="J25"/>
      <c r="K25"/>
      <c r="L25"/>
    </row>
    <row r="26" spans="1:31" s="141" customFormat="1" hidden="1" x14ac:dyDescent="0.2">
      <c r="A26"/>
      <c r="B26"/>
      <c r="C26"/>
      <c r="D26"/>
      <c r="E26"/>
      <c r="F26"/>
      <c r="G26"/>
      <c r="H26"/>
      <c r="I26"/>
      <c r="J26"/>
      <c r="K26"/>
      <c r="L26"/>
    </row>
    <row r="27" spans="1:31" ht="14.25" x14ac:dyDescent="0.2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</row>
    <row r="28" spans="1:31" ht="15" hidden="1" x14ac:dyDescent="0.25">
      <c r="A28" s="44" t="s">
        <v>66</v>
      </c>
      <c r="B28" s="44"/>
      <c r="C28" s="44"/>
      <c r="D28" s="44"/>
      <c r="E28" s="44"/>
      <c r="F28" s="44"/>
      <c r="G28" s="44"/>
      <c r="H28" s="396">
        <f>([78]Source!P1129/1000)</f>
        <v>128.07</v>
      </c>
      <c r="I28" s="396"/>
      <c r="J28" s="44" t="s">
        <v>67</v>
      </c>
      <c r="K28" s="44"/>
      <c r="L28" s="44"/>
    </row>
    <row r="29" spans="1:31" ht="15" x14ac:dyDescent="0.25">
      <c r="A29" s="44" t="s">
        <v>204</v>
      </c>
      <c r="B29" s="44"/>
      <c r="C29" s="44"/>
      <c r="D29" s="44"/>
      <c r="E29" s="44"/>
      <c r="F29" s="44"/>
      <c r="G29" s="44"/>
      <c r="H29" s="182"/>
      <c r="I29" s="182"/>
      <c r="J29" s="44"/>
      <c r="K29" s="44"/>
      <c r="L29" s="44"/>
    </row>
    <row r="30" spans="1:31" ht="14.25" x14ac:dyDescent="0.2">
      <c r="A30" s="397" t="s">
        <v>209</v>
      </c>
      <c r="B30" s="397"/>
      <c r="C30" s="397"/>
      <c r="D30" s="397"/>
      <c r="E30" s="397"/>
      <c r="F30" s="397"/>
      <c r="G30" s="397"/>
      <c r="H30" s="397"/>
      <c r="I30" s="397"/>
      <c r="J30" s="397"/>
      <c r="K30" s="397"/>
      <c r="L30" s="397"/>
      <c r="AE30" s="171" t="s">
        <v>209</v>
      </c>
    </row>
    <row r="31" spans="1:31" x14ac:dyDescent="0.2">
      <c r="A31" s="398" t="s">
        <v>38</v>
      </c>
      <c r="B31" s="399"/>
      <c r="C31" s="392" t="s">
        <v>39</v>
      </c>
      <c r="D31" s="392" t="s">
        <v>40</v>
      </c>
      <c r="E31" s="392" t="s">
        <v>75</v>
      </c>
      <c r="F31" s="392" t="s">
        <v>68</v>
      </c>
      <c r="G31" s="392" t="s">
        <v>69</v>
      </c>
      <c r="H31" s="392" t="s">
        <v>76</v>
      </c>
      <c r="I31" s="392" t="s">
        <v>77</v>
      </c>
      <c r="J31" s="392" t="s">
        <v>78</v>
      </c>
      <c r="K31" s="392" t="s">
        <v>79</v>
      </c>
      <c r="L31" s="392" t="s">
        <v>80</v>
      </c>
    </row>
    <row r="32" spans="1:31" x14ac:dyDescent="0.2">
      <c r="A32" s="400"/>
      <c r="B32" s="401"/>
      <c r="C32" s="393"/>
      <c r="D32" s="393"/>
      <c r="E32" s="393"/>
      <c r="F32" s="393"/>
      <c r="G32" s="393"/>
      <c r="H32" s="393"/>
      <c r="I32" s="393"/>
      <c r="J32" s="393"/>
      <c r="K32" s="393"/>
      <c r="L32" s="393"/>
    </row>
    <row r="33" spans="1:31" x14ac:dyDescent="0.2">
      <c r="A33" s="395" t="s">
        <v>41</v>
      </c>
      <c r="B33" s="395" t="s">
        <v>42</v>
      </c>
      <c r="C33" s="393"/>
      <c r="D33" s="393"/>
      <c r="E33" s="393"/>
      <c r="F33" s="393"/>
      <c r="G33" s="393"/>
      <c r="H33" s="393"/>
      <c r="I33" s="393"/>
      <c r="J33" s="393"/>
      <c r="K33" s="393"/>
      <c r="L33" s="393"/>
    </row>
    <row r="34" spans="1:31" x14ac:dyDescent="0.2">
      <c r="A34" s="395"/>
      <c r="B34" s="395"/>
      <c r="C34" s="393"/>
      <c r="D34" s="393"/>
      <c r="E34" s="393"/>
      <c r="F34" s="393"/>
      <c r="G34" s="393"/>
      <c r="H34" s="393"/>
      <c r="I34" s="393"/>
      <c r="J34" s="393"/>
      <c r="K34" s="393"/>
      <c r="L34" s="393"/>
    </row>
    <row r="35" spans="1:31" x14ac:dyDescent="0.2">
      <c r="A35" s="395"/>
      <c r="B35" s="395"/>
      <c r="C35" s="393"/>
      <c r="D35" s="393"/>
      <c r="E35" s="393"/>
      <c r="F35" s="393"/>
      <c r="G35" s="393"/>
      <c r="H35" s="393"/>
      <c r="I35" s="393"/>
      <c r="J35" s="393"/>
      <c r="K35" s="393"/>
      <c r="L35" s="393"/>
    </row>
    <row r="36" spans="1:31" x14ac:dyDescent="0.2">
      <c r="A36" s="395"/>
      <c r="B36" s="395"/>
      <c r="C36" s="393"/>
      <c r="D36" s="393"/>
      <c r="E36" s="393"/>
      <c r="F36" s="393"/>
      <c r="G36" s="393"/>
      <c r="H36" s="393"/>
      <c r="I36" s="393"/>
      <c r="J36" s="393"/>
      <c r="K36" s="393"/>
      <c r="L36" s="393"/>
    </row>
    <row r="37" spans="1:31" x14ac:dyDescent="0.2">
      <c r="A37" s="395"/>
      <c r="B37" s="395"/>
      <c r="C37" s="393"/>
      <c r="D37" s="393"/>
      <c r="E37" s="393"/>
      <c r="F37" s="393"/>
      <c r="G37" s="393"/>
      <c r="H37" s="393"/>
      <c r="I37" s="393"/>
      <c r="J37" s="393"/>
      <c r="K37" s="393"/>
      <c r="L37" s="393"/>
    </row>
    <row r="38" spans="1:31" x14ac:dyDescent="0.2">
      <c r="A38" s="395"/>
      <c r="B38" s="395"/>
      <c r="C38" s="394"/>
      <c r="D38" s="394"/>
      <c r="E38" s="394"/>
      <c r="F38" s="394"/>
      <c r="G38" s="394"/>
      <c r="H38" s="394"/>
      <c r="I38" s="394"/>
      <c r="J38" s="394"/>
      <c r="K38" s="394"/>
      <c r="L38" s="394"/>
    </row>
    <row r="39" spans="1:31" ht="14.25" x14ac:dyDescent="0.2">
      <c r="A39" s="175">
        <v>1</v>
      </c>
      <c r="B39" s="175">
        <v>2</v>
      </c>
      <c r="C39" s="175">
        <v>3</v>
      </c>
      <c r="D39" s="175">
        <v>4</v>
      </c>
      <c r="E39" s="175">
        <v>5</v>
      </c>
      <c r="F39" s="175">
        <v>6</v>
      </c>
      <c r="G39" s="175">
        <v>7</v>
      </c>
      <c r="H39" s="175">
        <v>8</v>
      </c>
      <c r="I39" s="175">
        <v>9</v>
      </c>
      <c r="J39" s="175">
        <v>10</v>
      </c>
      <c r="K39" s="175">
        <v>11</v>
      </c>
      <c r="L39" s="175">
        <v>12</v>
      </c>
    </row>
    <row r="41" spans="1:31" ht="16.5" x14ac:dyDescent="0.25">
      <c r="A41" s="406" t="s">
        <v>212</v>
      </c>
      <c r="B41" s="406"/>
      <c r="C41" s="406"/>
      <c r="D41" s="406"/>
      <c r="E41" s="406"/>
      <c r="F41" s="406"/>
      <c r="G41" s="406"/>
      <c r="H41" s="406"/>
      <c r="I41" s="406"/>
      <c r="J41" s="406"/>
      <c r="K41" s="406"/>
      <c r="L41" s="406"/>
    </row>
    <row r="42" spans="1:31" ht="35.25" customHeight="1" x14ac:dyDescent="0.25">
      <c r="A42" s="407" t="s">
        <v>165</v>
      </c>
      <c r="B42" s="407"/>
      <c r="C42" s="407"/>
      <c r="D42" s="407"/>
      <c r="E42" s="407"/>
      <c r="F42" s="407"/>
      <c r="G42" s="407"/>
      <c r="H42" s="407"/>
      <c r="I42" s="407"/>
      <c r="J42" s="407"/>
      <c r="K42" s="407"/>
      <c r="L42" s="407"/>
    </row>
    <row r="43" spans="1:31" hidden="1" x14ac:dyDescent="0.2"/>
    <row r="44" spans="1:31" ht="33" hidden="1" x14ac:dyDescent="0.25">
      <c r="A44" s="402" t="str">
        <f>CONCATENATE("Локальная смета: ",IF([78]Source!G20&lt;&gt;"Новая локальная смета", [78]Source!G20, ""))</f>
        <v>Локальная смета: Станционный комплекс "Аминьевское шоссе". Платформенная чать. Архитектурные решения служебных и технических помещений. Уровень платформы.</v>
      </c>
      <c r="B44" s="402"/>
      <c r="C44" s="402"/>
      <c r="D44" s="402"/>
      <c r="E44" s="402"/>
      <c r="F44" s="402"/>
      <c r="G44" s="402"/>
      <c r="H44" s="402"/>
      <c r="I44" s="402"/>
      <c r="J44" s="402"/>
      <c r="K44" s="402"/>
      <c r="L44" s="402"/>
      <c r="AE44" s="179" t="str">
        <f>CONCATENATE("Локальная смета: ",IF([78]Source!G20&lt;&gt;"Новая локальная смета", [78]Source!G20, ""))</f>
        <v>Локальная смета: Станционный комплекс "Аминьевское шоссе". Платформенная чать. Архитектурные решения служебных и технических помещений. Уровень платформы.</v>
      </c>
    </row>
    <row r="45" spans="1:31" hidden="1" x14ac:dyDescent="0.2"/>
    <row r="46" spans="1:31" ht="16.5" hidden="1" x14ac:dyDescent="0.25">
      <c r="A46" s="402" t="str">
        <f>CONCATENATE("Раздел: ",IF([78]Source!G24&lt;&gt;"Новый раздел", [78]Source!G24, ""))</f>
        <v>Раздел: Полы</v>
      </c>
      <c r="B46" s="402"/>
      <c r="C46" s="402"/>
      <c r="D46" s="402"/>
      <c r="E46" s="402"/>
      <c r="F46" s="402"/>
      <c r="G46" s="402"/>
      <c r="H46" s="402"/>
      <c r="I46" s="402"/>
      <c r="J46" s="402"/>
      <c r="K46" s="402"/>
      <c r="L46" s="402"/>
    </row>
    <row r="47" spans="1:31" hidden="1" x14ac:dyDescent="0.2"/>
    <row r="48" spans="1:31" ht="16.5" hidden="1" x14ac:dyDescent="0.25">
      <c r="A48" s="402" t="str">
        <f>CONCATENATE("Подраздел: ",IF([78]Source!G28&lt;&gt;"Новый подраздел", [78]Source!G28, ""))</f>
        <v>Подраздел: Полы помещения зоны безопасности МГН</v>
      </c>
      <c r="B48" s="402"/>
      <c r="C48" s="402"/>
      <c r="D48" s="402"/>
      <c r="E48" s="402"/>
      <c r="F48" s="402"/>
      <c r="G48" s="402"/>
      <c r="H48" s="402"/>
      <c r="I48" s="402"/>
      <c r="J48" s="402"/>
      <c r="K48" s="402"/>
      <c r="L48" s="402"/>
    </row>
    <row r="49" spans="1:12" hidden="1" x14ac:dyDescent="0.2"/>
    <row r="50" spans="1:12" ht="15" hidden="1" x14ac:dyDescent="0.25">
      <c r="A50" s="403" t="str">
        <f>CONCATENATE("Итого по подразделу: ",IF([78]Source!G87&lt;&gt;"Новый подраздел", [78]Source!G87, ""))</f>
        <v>Итого по подразделу: Полы помещения зоны безопасности МГН</v>
      </c>
      <c r="B50" s="403"/>
      <c r="C50" s="403"/>
      <c r="D50" s="403"/>
      <c r="E50" s="403"/>
      <c r="F50" s="403"/>
      <c r="G50" s="403"/>
      <c r="H50" s="403"/>
      <c r="I50" s="404">
        <f>SUM(O48:O49)</f>
        <v>0</v>
      </c>
      <c r="J50" s="405"/>
      <c r="K50" s="404">
        <f>SUM(P48:P49)</f>
        <v>0</v>
      </c>
      <c r="L50" s="405"/>
    </row>
    <row r="51" spans="1:12" hidden="1" x14ac:dyDescent="0.2">
      <c r="A51" s="47" t="s">
        <v>54</v>
      </c>
      <c r="J51" s="47">
        <f>SUM(W48:W50)</f>
        <v>0</v>
      </c>
      <c r="K51" s="47">
        <f>SUM(X48:X50)</f>
        <v>0</v>
      </c>
    </row>
    <row r="52" spans="1:12" hidden="1" x14ac:dyDescent="0.2">
      <c r="A52" s="47" t="s">
        <v>55</v>
      </c>
      <c r="J52" s="47">
        <f>SUM(Y48:Y51)</f>
        <v>0</v>
      </c>
      <c r="K52" s="47">
        <f>SUM(Z48:Z51)</f>
        <v>0</v>
      </c>
    </row>
    <row r="53" spans="1:12" hidden="1" x14ac:dyDescent="0.2"/>
    <row r="54" spans="1:12" ht="16.5" hidden="1" x14ac:dyDescent="0.25">
      <c r="A54" s="402" t="str">
        <f>CONCATENATE("Подраздел: ",IF([78]Source!G117&lt;&gt;"Новый подраздел", [78]Source!G117, ""))</f>
        <v>Подраздел: Полы служебных помещений</v>
      </c>
      <c r="B54" s="402"/>
      <c r="C54" s="402"/>
      <c r="D54" s="402"/>
      <c r="E54" s="402"/>
      <c r="F54" s="402"/>
      <c r="G54" s="402"/>
      <c r="H54" s="402"/>
      <c r="I54" s="402"/>
      <c r="J54" s="402"/>
      <c r="K54" s="402"/>
      <c r="L54" s="402"/>
    </row>
    <row r="55" spans="1:12" hidden="1" x14ac:dyDescent="0.2"/>
    <row r="56" spans="1:12" ht="15" hidden="1" x14ac:dyDescent="0.25">
      <c r="A56" s="403" t="str">
        <f>CONCATENATE("Итого по подразделу: ",IF([78]Source!G208&lt;&gt;"Новый подраздел", [78]Source!G208, ""))</f>
        <v>Итого по подразделу: Полы служебных помещений</v>
      </c>
      <c r="B56" s="403"/>
      <c r="C56" s="403"/>
      <c r="D56" s="403"/>
      <c r="E56" s="403"/>
      <c r="F56" s="403"/>
      <c r="G56" s="403"/>
      <c r="H56" s="403"/>
      <c r="I56" s="404">
        <f>SUM(O54:O55)</f>
        <v>0</v>
      </c>
      <c r="J56" s="405"/>
      <c r="K56" s="404">
        <f>SUM(P54:P55)</f>
        <v>0</v>
      </c>
      <c r="L56" s="405"/>
    </row>
    <row r="57" spans="1:12" hidden="1" x14ac:dyDescent="0.2">
      <c r="A57" s="47" t="s">
        <v>54</v>
      </c>
      <c r="J57" s="47">
        <f>SUM(W54:W56)</f>
        <v>0</v>
      </c>
      <c r="K57" s="47">
        <f>SUM(X54:X56)</f>
        <v>0</v>
      </c>
    </row>
    <row r="58" spans="1:12" hidden="1" x14ac:dyDescent="0.2">
      <c r="A58" s="47" t="s">
        <v>55</v>
      </c>
      <c r="J58" s="47">
        <f>SUM(Y54:Y57)</f>
        <v>0</v>
      </c>
      <c r="K58" s="47">
        <f>SUM(Z54:Z57)</f>
        <v>0</v>
      </c>
    </row>
    <row r="59" spans="1:12" hidden="1" x14ac:dyDescent="0.2"/>
    <row r="60" spans="1:12" ht="16.5" hidden="1" x14ac:dyDescent="0.25">
      <c r="A60" s="402" t="str">
        <f>CONCATENATE("Подраздел: ",IF([78]Source!G238&lt;&gt;"Новый подраздел", [78]Source!G238, ""))</f>
        <v>Подраздел: Лестницы (ступени, подступенки, площадки)</v>
      </c>
      <c r="B60" s="402"/>
      <c r="C60" s="402"/>
      <c r="D60" s="402"/>
      <c r="E60" s="402"/>
      <c r="F60" s="402"/>
      <c r="G60" s="402"/>
      <c r="H60" s="402"/>
      <c r="I60" s="402"/>
      <c r="J60" s="402"/>
      <c r="K60" s="402"/>
      <c r="L60" s="402"/>
    </row>
    <row r="61" spans="1:12" hidden="1" x14ac:dyDescent="0.2"/>
    <row r="62" spans="1:12" ht="15" hidden="1" x14ac:dyDescent="0.25">
      <c r="A62" s="403" t="str">
        <f>CONCATENATE("Итого по подразделу: ",IF([78]Source!G271&lt;&gt;"Новый подраздел", [78]Source!G271, ""))</f>
        <v>Итого по подразделу: Лестницы (ступени, подступенки, площадки)</v>
      </c>
      <c r="B62" s="403"/>
      <c r="C62" s="403"/>
      <c r="D62" s="403"/>
      <c r="E62" s="403"/>
      <c r="F62" s="403"/>
      <c r="G62" s="403"/>
      <c r="H62" s="403"/>
      <c r="I62" s="404">
        <f>SUM(O60:O61)</f>
        <v>0</v>
      </c>
      <c r="J62" s="405"/>
      <c r="K62" s="404">
        <f>SUM(P60:P61)</f>
        <v>0</v>
      </c>
      <c r="L62" s="405"/>
    </row>
    <row r="63" spans="1:12" hidden="1" x14ac:dyDescent="0.2">
      <c r="A63" s="47" t="s">
        <v>54</v>
      </c>
      <c r="J63" s="47">
        <f>SUM(W60:W62)</f>
        <v>0</v>
      </c>
      <c r="K63" s="47">
        <f>SUM(X60:X62)</f>
        <v>0</v>
      </c>
    </row>
    <row r="64" spans="1:12" hidden="1" x14ac:dyDescent="0.2">
      <c r="A64" s="47" t="s">
        <v>55</v>
      </c>
      <c r="J64" s="47">
        <f>SUM(Y60:Y63)</f>
        <v>0</v>
      </c>
      <c r="K64" s="47">
        <f>SUM(Z60:Z63)</f>
        <v>0</v>
      </c>
    </row>
    <row r="65" spans="1:22" hidden="1" x14ac:dyDescent="0.2"/>
    <row r="66" spans="1:22" ht="15" hidden="1" x14ac:dyDescent="0.25">
      <c r="A66" s="403" t="str">
        <f>CONCATENATE("Итого по разделу: ",IF([78]Source!G301&lt;&gt;"Новый раздел", [78]Source!G301, ""))</f>
        <v>Итого по разделу: Полы</v>
      </c>
      <c r="B66" s="403"/>
      <c r="C66" s="403"/>
      <c r="D66" s="403"/>
      <c r="E66" s="403"/>
      <c r="F66" s="403"/>
      <c r="G66" s="403"/>
      <c r="H66" s="403"/>
      <c r="I66" s="404">
        <f>SUM(O46:O65)</f>
        <v>0</v>
      </c>
      <c r="J66" s="405"/>
      <c r="K66" s="404">
        <f>SUM(P46:P65)</f>
        <v>0</v>
      </c>
      <c r="L66" s="405"/>
    </row>
    <row r="67" spans="1:22" hidden="1" x14ac:dyDescent="0.2">
      <c r="A67" s="47" t="s">
        <v>54</v>
      </c>
      <c r="J67" s="47">
        <f>SUM(W46:W66)</f>
        <v>0</v>
      </c>
      <c r="K67" s="47">
        <f>SUM(X46:X66)</f>
        <v>0</v>
      </c>
    </row>
    <row r="68" spans="1:22" hidden="1" x14ac:dyDescent="0.2">
      <c r="A68" s="47" t="s">
        <v>55</v>
      </c>
      <c r="J68" s="47">
        <f>SUM(Y46:Y67)</f>
        <v>0</v>
      </c>
      <c r="K68" s="47">
        <f>SUM(Z46:Z67)</f>
        <v>0</v>
      </c>
    </row>
    <row r="70" spans="1:22" ht="16.5" x14ac:dyDescent="0.25">
      <c r="A70" s="402" t="str">
        <f>CONCATENATE("Раздел: ",IF([78]Source!G331&lt;&gt;"Новый раздел", [78]Source!G331, ""))</f>
        <v>Раздел: Стены и перегородки</v>
      </c>
      <c r="B70" s="402"/>
      <c r="C70" s="402"/>
      <c r="D70" s="402"/>
      <c r="E70" s="402"/>
      <c r="F70" s="402"/>
      <c r="G70" s="402"/>
      <c r="H70" s="402"/>
      <c r="I70" s="402"/>
      <c r="J70" s="402"/>
      <c r="K70" s="402"/>
      <c r="L70" s="402"/>
    </row>
    <row r="71" spans="1:22" ht="28.5" x14ac:dyDescent="0.2">
      <c r="A71" s="84">
        <v>1</v>
      </c>
      <c r="B71" s="84" t="str">
        <f>[78]Source!E335</f>
        <v>36</v>
      </c>
      <c r="C71" s="85" t="str">
        <f>[78]Source!F335</f>
        <v>3.29-1684-1</v>
      </c>
      <c r="D71" s="85" t="s">
        <v>213</v>
      </c>
      <c r="E71" s="86" t="str">
        <f>[78]Source!H335</f>
        <v>100 м2</v>
      </c>
      <c r="F71" s="87">
        <f>[78]Source!I335</f>
        <v>0.1736</v>
      </c>
      <c r="G71" s="88"/>
      <c r="H71" s="89"/>
      <c r="I71" s="87"/>
      <c r="J71" s="176"/>
      <c r="K71" s="87"/>
      <c r="L71" s="176"/>
      <c r="Q71" s="47">
        <f>[78]Source!X335</f>
        <v>0</v>
      </c>
      <c r="R71" s="47">
        <f>[78]Source!X336</f>
        <v>18562.97</v>
      </c>
      <c r="S71" s="47">
        <f>[78]Source!Y335</f>
        <v>0</v>
      </c>
      <c r="T71" s="47">
        <f>[78]Source!Y336</f>
        <v>7759.93</v>
      </c>
      <c r="U71" s="47">
        <f>ROUND((175/100)*ROUND([78]Source!R335, 2), 2)</f>
        <v>0.32</v>
      </c>
      <c r="V71" s="47">
        <f>ROUND((157/100)*ROUND([78]Source!R336, 2), 2)</f>
        <v>6.77</v>
      </c>
    </row>
    <row r="72" spans="1:22" ht="12.75" x14ac:dyDescent="0.2">
      <c r="D72" s="203" t="str">
        <f>"Объем: "&amp;[78]Source!I335&amp;"=0,868*"&amp;"0,2"</f>
        <v>Объем: 0,1736=0,868*0,2</v>
      </c>
    </row>
    <row r="73" spans="1:22" ht="14.25" x14ac:dyDescent="0.2">
      <c r="A73" s="84"/>
      <c r="B73" s="84"/>
      <c r="C73" s="85"/>
      <c r="D73" s="85" t="s">
        <v>43</v>
      </c>
      <c r="E73" s="86"/>
      <c r="F73" s="87"/>
      <c r="G73" s="88">
        <f>[78]Source!AO335</f>
        <v>3624.86</v>
      </c>
      <c r="H73" s="89" t="str">
        <f>[78]Source!DG335</f>
        <v/>
      </c>
      <c r="I73" s="87">
        <f>[78]Source!AV336</f>
        <v>1.01</v>
      </c>
      <c r="J73" s="176">
        <f>[78]Source!S335</f>
        <v>629.28</v>
      </c>
      <c r="K73" s="87">
        <f>IF([78]Source!BA336&lt;&gt; 0, [78]Source!BA336, 1)</f>
        <v>23.94</v>
      </c>
      <c r="L73" s="176">
        <f>[78]Source!S336</f>
        <v>15215.55</v>
      </c>
    </row>
    <row r="74" spans="1:22" ht="14.25" x14ac:dyDescent="0.2">
      <c r="A74" s="84"/>
      <c r="B74" s="84"/>
      <c r="C74" s="85"/>
      <c r="D74" s="85" t="s">
        <v>44</v>
      </c>
      <c r="E74" s="86"/>
      <c r="F74" s="87"/>
      <c r="G74" s="88">
        <f>[78]Source!AM335</f>
        <v>105.7</v>
      </c>
      <c r="H74" s="89" t="str">
        <f>[78]Source!DE335</f>
        <v/>
      </c>
      <c r="I74" s="87">
        <f>[78]Source!AV336</f>
        <v>1.01</v>
      </c>
      <c r="J74" s="176">
        <f>[78]Source!Q335</f>
        <v>18.350000000000001</v>
      </c>
      <c r="K74" s="87">
        <f>IF([78]Source!BB336&lt;&gt; 0, [78]Source!BB336, 1)</f>
        <v>2.19</v>
      </c>
      <c r="L74" s="176">
        <f>[78]Source!Q336</f>
        <v>40.58</v>
      </c>
    </row>
    <row r="75" spans="1:22" ht="14.25" x14ac:dyDescent="0.2">
      <c r="A75" s="84"/>
      <c r="B75" s="84"/>
      <c r="C75" s="85"/>
      <c r="D75" s="85" t="s">
        <v>45</v>
      </c>
      <c r="E75" s="86"/>
      <c r="F75" s="87"/>
      <c r="G75" s="88">
        <f>[78]Source!AN335</f>
        <v>1.01</v>
      </c>
      <c r="H75" s="89" t="str">
        <f>[78]Source!DF335</f>
        <v/>
      </c>
      <c r="I75" s="87">
        <f>[78]Source!AV336</f>
        <v>1.01</v>
      </c>
      <c r="J75" s="90">
        <f>[78]Source!R335</f>
        <v>0.18</v>
      </c>
      <c r="K75" s="87">
        <f>IF([78]Source!BS336&lt;&gt; 0, [78]Source!BS336, 1)</f>
        <v>23.94</v>
      </c>
      <c r="L75" s="90">
        <f>[78]Source!R336</f>
        <v>4.3099999999999996</v>
      </c>
    </row>
    <row r="76" spans="1:22" ht="14.25" x14ac:dyDescent="0.2">
      <c r="A76" s="84"/>
      <c r="B76" s="84"/>
      <c r="C76" s="85"/>
      <c r="D76" s="85" t="s">
        <v>46</v>
      </c>
      <c r="E76" s="86"/>
      <c r="F76" s="87"/>
      <c r="G76" s="88">
        <f>[78]Source!AL335</f>
        <v>9087.1299999999992</v>
      </c>
      <c r="H76" s="89" t="str">
        <f>[78]Source!DD335</f>
        <v/>
      </c>
      <c r="I76" s="87">
        <f>[78]Source!AW336</f>
        <v>1.01</v>
      </c>
      <c r="J76" s="176">
        <f>[78]Source!P335</f>
        <v>1577.53</v>
      </c>
      <c r="K76" s="87">
        <f>IF([78]Source!BC336&lt;&gt; 0, [78]Source!BC336, 1)</f>
        <v>7.01</v>
      </c>
      <c r="L76" s="176">
        <f>[78]Source!P336</f>
        <v>11169.03</v>
      </c>
    </row>
    <row r="77" spans="1:22" ht="14.25" x14ac:dyDescent="0.2">
      <c r="A77" s="84"/>
      <c r="B77" s="84"/>
      <c r="C77" s="85"/>
      <c r="D77" s="85" t="s">
        <v>47</v>
      </c>
      <c r="E77" s="86" t="s">
        <v>48</v>
      </c>
      <c r="F77" s="87">
        <f>[78]Source!DN336</f>
        <v>122</v>
      </c>
      <c r="G77" s="88"/>
      <c r="H77" s="89"/>
      <c r="I77" s="87"/>
      <c r="J77" s="176">
        <f>SUM(Q71:Q76)</f>
        <v>0</v>
      </c>
      <c r="K77" s="87">
        <f>[78]Source!BZ336</f>
        <v>122</v>
      </c>
      <c r="L77" s="176">
        <f>SUM(R71:R76)</f>
        <v>18562.97</v>
      </c>
    </row>
    <row r="78" spans="1:22" ht="14.25" x14ac:dyDescent="0.2">
      <c r="A78" s="84"/>
      <c r="B78" s="84"/>
      <c r="C78" s="85"/>
      <c r="D78" s="85" t="s">
        <v>49</v>
      </c>
      <c r="E78" s="86" t="s">
        <v>48</v>
      </c>
      <c r="F78" s="87">
        <f>[78]Source!DO336</f>
        <v>51</v>
      </c>
      <c r="G78" s="88"/>
      <c r="H78" s="89"/>
      <c r="I78" s="87"/>
      <c r="J78" s="176">
        <f>SUM(S71:S77)</f>
        <v>0</v>
      </c>
      <c r="K78" s="87">
        <f>[78]Source!CA336</f>
        <v>51</v>
      </c>
      <c r="L78" s="176">
        <f>SUM(T71:T77)</f>
        <v>7759.93</v>
      </c>
    </row>
    <row r="79" spans="1:22" ht="14.25" x14ac:dyDescent="0.2">
      <c r="A79" s="84"/>
      <c r="B79" s="84"/>
      <c r="C79" s="85"/>
      <c r="D79" s="85" t="s">
        <v>50</v>
      </c>
      <c r="E79" s="86" t="s">
        <v>48</v>
      </c>
      <c r="F79" s="87">
        <f>175</f>
        <v>175</v>
      </c>
      <c r="G79" s="88"/>
      <c r="H79" s="89"/>
      <c r="I79" s="87"/>
      <c r="J79" s="176">
        <f>SUM(U71:U78)</f>
        <v>0.32</v>
      </c>
      <c r="K79" s="87">
        <f>157</f>
        <v>157</v>
      </c>
      <c r="L79" s="176">
        <f>SUM(V71:V78)</f>
        <v>6.77</v>
      </c>
    </row>
    <row r="80" spans="1:22" ht="14.25" x14ac:dyDescent="0.2">
      <c r="A80" s="183"/>
      <c r="B80" s="183"/>
      <c r="C80" s="184"/>
      <c r="D80" s="184" t="s">
        <v>51</v>
      </c>
      <c r="E80" s="185" t="s">
        <v>52</v>
      </c>
      <c r="F80" s="186">
        <f>[78]Source!AQ335</f>
        <v>190.27</v>
      </c>
      <c r="G80" s="187"/>
      <c r="H80" s="188" t="str">
        <f>[78]Source!DI335</f>
        <v/>
      </c>
      <c r="I80" s="186">
        <f>[78]Source!AV336</f>
        <v>1.01</v>
      </c>
      <c r="J80" s="189">
        <f>[78]Source!U335</f>
        <v>33.03</v>
      </c>
      <c r="K80" s="186"/>
      <c r="L80" s="189"/>
    </row>
    <row r="81" spans="1:22" ht="15" x14ac:dyDescent="0.25">
      <c r="A81" s="190"/>
      <c r="B81" s="190"/>
      <c r="C81" s="190"/>
      <c r="D81" s="191" t="s">
        <v>81</v>
      </c>
      <c r="E81" s="190"/>
      <c r="F81" s="190"/>
      <c r="G81" s="190"/>
      <c r="H81" s="190"/>
      <c r="I81" s="409">
        <f>J73+J74+J76+J77+J78+J79</f>
        <v>2225.48</v>
      </c>
      <c r="J81" s="409"/>
      <c r="K81" s="409">
        <f>L73+L74+L76+L77+L78+L79</f>
        <v>52754.83</v>
      </c>
      <c r="L81" s="409"/>
      <c r="O81" s="92">
        <f>J73+J74+J76+J77+J78+J79</f>
        <v>2225.48</v>
      </c>
      <c r="P81" s="92">
        <f>L73+L74+L76+L77+L78+L79</f>
        <v>52754.83</v>
      </c>
    </row>
    <row r="83" spans="1:22" ht="65.25" x14ac:dyDescent="0.2">
      <c r="A83" s="84">
        <v>2</v>
      </c>
      <c r="B83" s="84" t="str">
        <f>[78]Source!E347</f>
        <v>39</v>
      </c>
      <c r="C83" s="85" t="s">
        <v>214</v>
      </c>
      <c r="D83" s="85" t="s">
        <v>215</v>
      </c>
      <c r="E83" s="86" t="str">
        <f>[78]Source!H347</f>
        <v>100 м шва</v>
      </c>
      <c r="F83" s="87">
        <f>[78]Source!I347</f>
        <v>5.7200000000000001E-2</v>
      </c>
      <c r="G83" s="88"/>
      <c r="H83" s="89"/>
      <c r="I83" s="87"/>
      <c r="J83" s="176"/>
      <c r="K83" s="87"/>
      <c r="L83" s="176"/>
      <c r="Q83" s="47">
        <f>[78]Source!X347</f>
        <v>4.4000000000000004</v>
      </c>
      <c r="R83" s="47">
        <f>[78]Source!X348</f>
        <v>85.26</v>
      </c>
      <c r="S83" s="47">
        <f>[78]Source!Y347</f>
        <v>3.23</v>
      </c>
      <c r="T83" s="47">
        <f>[78]Source!Y348</f>
        <v>41.13</v>
      </c>
      <c r="U83" s="47">
        <f>ROUND((175/100)*ROUND([78]Source!R347, 2), 2)</f>
        <v>0.7</v>
      </c>
      <c r="V83" s="47">
        <f>ROUND((157/100)*ROUND([78]Source!R348, 2), 2)</f>
        <v>15.04</v>
      </c>
    </row>
    <row r="84" spans="1:22" ht="12.75" x14ac:dyDescent="0.2">
      <c r="D84" s="203" t="str">
        <f>"Объем: "&amp;[78]Source!I347&amp;"=(0,286*"&amp;"0,2)"</f>
        <v>Объем: 0,0572=(0,286*0,2)</v>
      </c>
    </row>
    <row r="85" spans="1:22" ht="14.25" x14ac:dyDescent="0.2">
      <c r="A85" s="84"/>
      <c r="B85" s="84"/>
      <c r="C85" s="85"/>
      <c r="D85" s="85" t="s">
        <v>43</v>
      </c>
      <c r="E85" s="86"/>
      <c r="F85" s="87"/>
      <c r="G85" s="88">
        <f>[78]Source!AO347</f>
        <v>41.88</v>
      </c>
      <c r="H85" s="89" t="str">
        <f>[78]Source!DG347</f>
        <v>)*1,67</v>
      </c>
      <c r="I85" s="87">
        <f>[78]Source!AV348</f>
        <v>1.0469999999999999</v>
      </c>
      <c r="J85" s="176">
        <f>[78]Source!S347</f>
        <v>4.1900000000000004</v>
      </c>
      <c r="K85" s="87">
        <f>IF([78]Source!BA348&lt;&gt; 0, [78]Source!BA348, 1)</f>
        <v>23.94</v>
      </c>
      <c r="L85" s="176">
        <f>[78]Source!S348</f>
        <v>100.31</v>
      </c>
    </row>
    <row r="86" spans="1:22" ht="14.25" x14ac:dyDescent="0.2">
      <c r="A86" s="84"/>
      <c r="B86" s="84"/>
      <c r="C86" s="85"/>
      <c r="D86" s="85" t="s">
        <v>44</v>
      </c>
      <c r="E86" s="86"/>
      <c r="F86" s="87"/>
      <c r="G86" s="88">
        <f>[78]Source!AM347</f>
        <v>21.51</v>
      </c>
      <c r="H86" s="89" t="str">
        <f>[78]Source!DE347</f>
        <v/>
      </c>
      <c r="I86" s="87">
        <f>[78]Source!AV348</f>
        <v>1.0469999999999999</v>
      </c>
      <c r="J86" s="176">
        <f>[78]Source!Q347-J97</f>
        <v>1.29</v>
      </c>
      <c r="K86" s="87">
        <f>IF([78]Source!BB348&lt;&gt; 0, [78]Source!BB348, 1)</f>
        <v>9</v>
      </c>
      <c r="L86" s="176">
        <f>[78]Source!Q348-L97</f>
        <v>11.61</v>
      </c>
    </row>
    <row r="87" spans="1:22" ht="14.25" x14ac:dyDescent="0.2">
      <c r="A87" s="84"/>
      <c r="B87" s="84"/>
      <c r="C87" s="85"/>
      <c r="D87" s="85" t="s">
        <v>45</v>
      </c>
      <c r="E87" s="86"/>
      <c r="F87" s="87"/>
      <c r="G87" s="88">
        <f>[78]Source!AN347</f>
        <v>4.0199999999999996</v>
      </c>
      <c r="H87" s="89" t="str">
        <f>[78]Source!DE347</f>
        <v/>
      </c>
      <c r="I87" s="87">
        <f>[78]Source!AV348</f>
        <v>1.0469999999999999</v>
      </c>
      <c r="J87" s="90">
        <f>[78]Source!R347-J98</f>
        <v>0.24</v>
      </c>
      <c r="K87" s="87">
        <f>IF([78]Source!BS348&lt;&gt; 0, [78]Source!BS348, 1)</f>
        <v>23.94</v>
      </c>
      <c r="L87" s="90">
        <f>[78]Source!R348-L98</f>
        <v>5.75</v>
      </c>
    </row>
    <row r="88" spans="1:22" ht="14.25" x14ac:dyDescent="0.2">
      <c r="A88" s="84">
        <v>3</v>
      </c>
      <c r="B88" s="84" t="str">
        <f>[78]Source!E349</f>
        <v>39,1</v>
      </c>
      <c r="C88" s="85" t="str">
        <f>[78]Source!F349</f>
        <v>1.1-1-394</v>
      </c>
      <c r="D88" s="85" t="s">
        <v>216</v>
      </c>
      <c r="E88" s="86" t="str">
        <f>[78]Source!H349</f>
        <v>кг</v>
      </c>
      <c r="F88" s="87">
        <f>[78]Source!I349</f>
        <v>1.716</v>
      </c>
      <c r="G88" s="88">
        <f>[78]Source!AK349</f>
        <v>9.99</v>
      </c>
      <c r="H88" s="123" t="s">
        <v>20</v>
      </c>
      <c r="I88" s="87">
        <f>[78]Source!AW350</f>
        <v>1</v>
      </c>
      <c r="J88" s="176">
        <f>[78]Source!O349</f>
        <v>17.14</v>
      </c>
      <c r="K88" s="87">
        <f>IF([78]Source!BC350&lt;&gt; 0, [78]Source!BC350, 1)</f>
        <v>3.63</v>
      </c>
      <c r="L88" s="176">
        <f>[78]Source!O350</f>
        <v>62.22</v>
      </c>
      <c r="Q88" s="47">
        <f>[78]Source!X349</f>
        <v>0</v>
      </c>
      <c r="R88" s="47">
        <f>[78]Source!X350</f>
        <v>0</v>
      </c>
      <c r="S88" s="47">
        <f>[78]Source!Y349</f>
        <v>0</v>
      </c>
      <c r="T88" s="47">
        <f>[78]Source!Y350</f>
        <v>0</v>
      </c>
      <c r="U88" s="47">
        <f>ROUND((175/100)*ROUND([78]Source!R349, 2), 2)</f>
        <v>0</v>
      </c>
      <c r="V88" s="47">
        <f>ROUND((157/100)*ROUND([78]Source!R350, 2), 2)</f>
        <v>0</v>
      </c>
    </row>
    <row r="89" spans="1:22" ht="42.75" x14ac:dyDescent="0.2">
      <c r="A89" s="84">
        <v>4</v>
      </c>
      <c r="B89" s="84" t="str">
        <f>[78]Source!E351</f>
        <v>39,2</v>
      </c>
      <c r="C89" s="85" t="str">
        <f>[78]Source!F351</f>
        <v>1.1-1-884</v>
      </c>
      <c r="D89" s="85" t="s">
        <v>217</v>
      </c>
      <c r="E89" s="86" t="str">
        <f>[78]Source!H351</f>
        <v>м3</v>
      </c>
      <c r="F89" s="87">
        <f>[78]Source!I351</f>
        <v>4.5760000000000002E-2</v>
      </c>
      <c r="G89" s="88">
        <f>[78]Source!AK351</f>
        <v>609.28</v>
      </c>
      <c r="H89" s="123" t="s">
        <v>20</v>
      </c>
      <c r="I89" s="87">
        <f>[78]Source!AW352</f>
        <v>1</v>
      </c>
      <c r="J89" s="176">
        <f>[78]Source!O351</f>
        <v>27.88</v>
      </c>
      <c r="K89" s="87">
        <f>IF([78]Source!BC352&lt;&gt; 0, [78]Source!BC352, 1)</f>
        <v>3.62</v>
      </c>
      <c r="L89" s="176">
        <f>[78]Source!O352</f>
        <v>100.93</v>
      </c>
      <c r="Q89" s="47">
        <f>[78]Source!X351</f>
        <v>0</v>
      </c>
      <c r="R89" s="47">
        <f>[78]Source!X352</f>
        <v>0</v>
      </c>
      <c r="S89" s="47">
        <f>[78]Source!Y351</f>
        <v>0</v>
      </c>
      <c r="T89" s="47">
        <f>[78]Source!Y352</f>
        <v>0</v>
      </c>
      <c r="U89" s="47">
        <f>ROUND((175/100)*ROUND([78]Source!R351, 2), 2)</f>
        <v>0</v>
      </c>
      <c r="V89" s="47">
        <f>ROUND((157/100)*ROUND([78]Source!R352, 2), 2)</f>
        <v>0</v>
      </c>
    </row>
    <row r="90" spans="1:22" ht="14.25" x14ac:dyDescent="0.2">
      <c r="A90" s="84"/>
      <c r="B90" s="84"/>
      <c r="C90" s="85"/>
      <c r="D90" s="85" t="s">
        <v>47</v>
      </c>
      <c r="E90" s="86" t="s">
        <v>48</v>
      </c>
      <c r="F90" s="87">
        <f>[78]Source!DN348</f>
        <v>85</v>
      </c>
      <c r="G90" s="88"/>
      <c r="H90" s="89"/>
      <c r="I90" s="87"/>
      <c r="J90" s="176">
        <f>SUM(Q83:Q89)</f>
        <v>4.4000000000000004</v>
      </c>
      <c r="K90" s="87">
        <f>[78]Source!BZ348</f>
        <v>85</v>
      </c>
      <c r="L90" s="176">
        <f>SUM(R83:R89)</f>
        <v>85.26</v>
      </c>
    </row>
    <row r="91" spans="1:22" ht="14.25" x14ac:dyDescent="0.2">
      <c r="A91" s="84"/>
      <c r="B91" s="84"/>
      <c r="C91" s="85"/>
      <c r="D91" s="85" t="s">
        <v>49</v>
      </c>
      <c r="E91" s="86" t="s">
        <v>48</v>
      </c>
      <c r="F91" s="87">
        <f>[78]Source!DO348</f>
        <v>41</v>
      </c>
      <c r="G91" s="88"/>
      <c r="H91" s="89"/>
      <c r="I91" s="87"/>
      <c r="J91" s="176">
        <f>SUM(S83:S90)</f>
        <v>3.23</v>
      </c>
      <c r="K91" s="87">
        <f>[78]Source!CA348</f>
        <v>41</v>
      </c>
      <c r="L91" s="176">
        <f>SUM(T83:T90)</f>
        <v>41.13</v>
      </c>
    </row>
    <row r="92" spans="1:22" ht="14.25" x14ac:dyDescent="0.2">
      <c r="A92" s="84"/>
      <c r="B92" s="84"/>
      <c r="C92" s="85"/>
      <c r="D92" s="85" t="s">
        <v>50</v>
      </c>
      <c r="E92" s="86" t="s">
        <v>48</v>
      </c>
      <c r="F92" s="87">
        <f>175</f>
        <v>175</v>
      </c>
      <c r="G92" s="88"/>
      <c r="H92" s="89"/>
      <c r="I92" s="87"/>
      <c r="J92" s="176">
        <f>SUM(U83:U91)-J99</f>
        <v>0.42</v>
      </c>
      <c r="K92" s="87">
        <f>157</f>
        <v>157</v>
      </c>
      <c r="L92" s="176">
        <f>SUM(V83:V91)-L99</f>
        <v>9.0299999999999994</v>
      </c>
    </row>
    <row r="93" spans="1:22" ht="14.25" x14ac:dyDescent="0.2">
      <c r="A93" s="183"/>
      <c r="B93" s="183"/>
      <c r="C93" s="184"/>
      <c r="D93" s="184" t="s">
        <v>51</v>
      </c>
      <c r="E93" s="185" t="s">
        <v>52</v>
      </c>
      <c r="F93" s="186">
        <f>[78]Source!AQ347</f>
        <v>3.7</v>
      </c>
      <c r="G93" s="187"/>
      <c r="H93" s="188" t="str">
        <f>[78]Source!DI347</f>
        <v/>
      </c>
      <c r="I93" s="186">
        <f>[78]Source!AV348</f>
        <v>1.0469999999999999</v>
      </c>
      <c r="J93" s="189">
        <f>[78]Source!U347</f>
        <v>0.22</v>
      </c>
      <c r="K93" s="186"/>
      <c r="L93" s="189"/>
    </row>
    <row r="94" spans="1:22" ht="15" x14ac:dyDescent="0.25">
      <c r="D94" s="194" t="s">
        <v>81</v>
      </c>
      <c r="I94" s="408">
        <f>J85+J86+J90+J91+J92+SUM(J88:J89)</f>
        <v>58.55</v>
      </c>
      <c r="J94" s="408"/>
      <c r="K94" s="408">
        <f>L85+L86+L90+L91+L92+SUM(L88:L89)</f>
        <v>410.49</v>
      </c>
      <c r="L94" s="408"/>
      <c r="O94" s="92">
        <f>J85+J86+J90+J91+J92+SUM(J88:J89)</f>
        <v>58.55</v>
      </c>
      <c r="P94" s="92">
        <f>L85+L86+L90+L91+L92+SUM(L88:L89)</f>
        <v>410.49</v>
      </c>
    </row>
    <row r="96" spans="1:22" ht="65.25" x14ac:dyDescent="0.2">
      <c r="A96" s="84">
        <v>5</v>
      </c>
      <c r="B96" s="84" t="str">
        <f>CONCATENATE([78]Source!E347, "/1")</f>
        <v>39/1</v>
      </c>
      <c r="C96" s="85" t="s">
        <v>218</v>
      </c>
      <c r="D96" s="85" t="s">
        <v>82</v>
      </c>
      <c r="E96" s="86" t="str">
        <f>[78]Source!H347</f>
        <v>100 м шва</v>
      </c>
      <c r="F96" s="87">
        <f>[78]Source!I347</f>
        <v>5.7200000000000001E-2</v>
      </c>
      <c r="G96" s="88"/>
      <c r="H96" s="89"/>
      <c r="I96" s="87"/>
      <c r="J96" s="176"/>
      <c r="K96" s="87"/>
      <c r="L96" s="176"/>
    </row>
    <row r="97" spans="1:16" ht="14.25" x14ac:dyDescent="0.2">
      <c r="A97" s="84"/>
      <c r="B97" s="84"/>
      <c r="C97" s="85"/>
      <c r="D97" s="85" t="s">
        <v>44</v>
      </c>
      <c r="E97" s="86"/>
      <c r="F97" s="87"/>
      <c r="G97" s="88">
        <f t="shared" ref="G97:L97" si="0">G98</f>
        <v>4.0199999999999996</v>
      </c>
      <c r="H97" s="195" t="str">
        <f t="shared" si="0"/>
        <v>)*(1.67-1)</v>
      </c>
      <c r="I97" s="87">
        <f t="shared" si="0"/>
        <v>1.0469999999999999</v>
      </c>
      <c r="J97" s="176">
        <f t="shared" si="0"/>
        <v>0.16</v>
      </c>
      <c r="K97" s="87">
        <f t="shared" si="0"/>
        <v>23.94</v>
      </c>
      <c r="L97" s="176">
        <f t="shared" si="0"/>
        <v>3.83</v>
      </c>
    </row>
    <row r="98" spans="1:16" ht="14.25" x14ac:dyDescent="0.2">
      <c r="A98" s="84"/>
      <c r="B98" s="84"/>
      <c r="C98" s="85"/>
      <c r="D98" s="85" t="s">
        <v>45</v>
      </c>
      <c r="E98" s="86"/>
      <c r="F98" s="87"/>
      <c r="G98" s="88">
        <f>[78]Source!AN347</f>
        <v>4.0199999999999996</v>
      </c>
      <c r="H98" s="195" t="s">
        <v>53</v>
      </c>
      <c r="I98" s="87">
        <f>[78]Source!AV348</f>
        <v>1.0469999999999999</v>
      </c>
      <c r="J98" s="90">
        <f>ROUND(F83*G98*I98*(1.67-1), 2)</f>
        <v>0.16</v>
      </c>
      <c r="K98" s="87">
        <f>IF([78]Source!BS348&lt;&gt; 0, [78]Source!BS348, 1)</f>
        <v>23.94</v>
      </c>
      <c r="L98" s="90">
        <f>ROUND(ROUND(F83*G98*I98*(1.67-1), 2)*K98, 2)</f>
        <v>3.83</v>
      </c>
    </row>
    <row r="99" spans="1:16" ht="14.25" x14ac:dyDescent="0.2">
      <c r="A99" s="84"/>
      <c r="B99" s="84"/>
      <c r="C99" s="85"/>
      <c r="D99" s="85" t="s">
        <v>50</v>
      </c>
      <c r="E99" s="86" t="s">
        <v>48</v>
      </c>
      <c r="F99" s="87">
        <f>175</f>
        <v>175</v>
      </c>
      <c r="G99" s="88"/>
      <c r="H99" s="89"/>
      <c r="I99" s="87"/>
      <c r="J99" s="176">
        <f>ROUND(J98*(F99/100), 2)</f>
        <v>0.28000000000000003</v>
      </c>
      <c r="K99" s="87">
        <f>157</f>
        <v>157</v>
      </c>
      <c r="L99" s="176">
        <f>ROUND(L98*(K99/100), 2)</f>
        <v>6.01</v>
      </c>
    </row>
    <row r="100" spans="1:16" ht="15" x14ac:dyDescent="0.25">
      <c r="A100" s="190"/>
      <c r="B100" s="190"/>
      <c r="C100" s="190"/>
      <c r="D100" s="191" t="s">
        <v>81</v>
      </c>
      <c r="E100" s="190"/>
      <c r="F100" s="190"/>
      <c r="G100" s="190"/>
      <c r="H100" s="190"/>
      <c r="I100" s="409">
        <f>J99+J98</f>
        <v>0.44</v>
      </c>
      <c r="J100" s="409"/>
      <c r="K100" s="409">
        <f>L99+L98</f>
        <v>9.84</v>
      </c>
      <c r="L100" s="409"/>
      <c r="O100" s="92">
        <f>I100</f>
        <v>0.44</v>
      </c>
      <c r="P100" s="92">
        <f>K100</f>
        <v>9.84</v>
      </c>
    </row>
    <row r="102" spans="1:16" hidden="1" x14ac:dyDescent="0.2"/>
    <row r="103" spans="1:16" ht="16.5" hidden="1" x14ac:dyDescent="0.25">
      <c r="A103" s="402" t="str">
        <f>CONCATENATE("Подраздел: ",IF([78]Source!G356&lt;&gt;"Новый подраздел", [78]Source!G356, ""))</f>
        <v>Подраздел: Высококачественная отделка стен и перегородок</v>
      </c>
      <c r="B103" s="402"/>
      <c r="C103" s="402"/>
      <c r="D103" s="402"/>
      <c r="E103" s="402"/>
      <c r="F103" s="402"/>
      <c r="G103" s="402"/>
      <c r="H103" s="402"/>
      <c r="I103" s="402"/>
      <c r="J103" s="402"/>
      <c r="K103" s="402"/>
      <c r="L103" s="402"/>
    </row>
    <row r="104" spans="1:16" hidden="1" x14ac:dyDescent="0.2"/>
    <row r="105" spans="1:16" ht="15" hidden="1" x14ac:dyDescent="0.25">
      <c r="A105" s="403" t="str">
        <f>CONCATENATE("Итого по подразделу: ",IF([78]Source!G379&lt;&gt;"Новый подраздел", [78]Source!G379, ""))</f>
        <v>Итого по подразделу: Высококачественная отделка стен и перегородок</v>
      </c>
      <c r="B105" s="403"/>
      <c r="C105" s="403"/>
      <c r="D105" s="403"/>
      <c r="E105" s="403"/>
      <c r="F105" s="403"/>
      <c r="G105" s="403"/>
      <c r="H105" s="403"/>
      <c r="I105" s="404">
        <f>SUM(O103:O104)</f>
        <v>0</v>
      </c>
      <c r="J105" s="405"/>
      <c r="K105" s="404">
        <f>SUM(P103:P104)</f>
        <v>0</v>
      </c>
      <c r="L105" s="405"/>
    </row>
    <row r="106" spans="1:16" hidden="1" x14ac:dyDescent="0.2">
      <c r="A106" s="47" t="s">
        <v>54</v>
      </c>
      <c r="J106" s="47">
        <f>SUM(W103:W105)</f>
        <v>0</v>
      </c>
      <c r="K106" s="47">
        <f>SUM(X103:X105)</f>
        <v>0</v>
      </c>
    </row>
    <row r="107" spans="1:16" hidden="1" x14ac:dyDescent="0.2">
      <c r="A107" s="47" t="s">
        <v>55</v>
      </c>
      <c r="J107" s="47">
        <f>SUM(Y103:Y106)</f>
        <v>0</v>
      </c>
      <c r="K107" s="47">
        <f>SUM(Z103:Z106)</f>
        <v>0</v>
      </c>
    </row>
    <row r="108" spans="1:16" hidden="1" x14ac:dyDescent="0.2"/>
    <row r="109" spans="1:16" ht="16.5" hidden="1" x14ac:dyDescent="0.25">
      <c r="A109" s="402" t="str">
        <f>CONCATENATE("Подраздел: ",IF([78]Source!G409&lt;&gt;"Новый подраздел", [78]Source!G409, ""))</f>
        <v>Подраздел: Улучшенная отделка стен и перегородок</v>
      </c>
      <c r="B109" s="402"/>
      <c r="C109" s="402"/>
      <c r="D109" s="402"/>
      <c r="E109" s="402"/>
      <c r="F109" s="402"/>
      <c r="G109" s="402"/>
      <c r="H109" s="402"/>
      <c r="I109" s="402"/>
      <c r="J109" s="402"/>
      <c r="K109" s="402"/>
      <c r="L109" s="402"/>
    </row>
    <row r="110" spans="1:16" hidden="1" x14ac:dyDescent="0.2"/>
    <row r="111" spans="1:16" ht="15" hidden="1" x14ac:dyDescent="0.25">
      <c r="A111" s="403" t="str">
        <f>CONCATENATE("Итого по подразделу: ",IF([78]Source!G440&lt;&gt;"Новый подраздел", [78]Source!G440, ""))</f>
        <v>Итого по подразделу: Улучшенная отделка стен и перегородок</v>
      </c>
      <c r="B111" s="403"/>
      <c r="C111" s="403"/>
      <c r="D111" s="403"/>
      <c r="E111" s="403"/>
      <c r="F111" s="403"/>
      <c r="G111" s="403"/>
      <c r="H111" s="403"/>
      <c r="I111" s="404">
        <f>SUM(O109:O110)</f>
        <v>0</v>
      </c>
      <c r="J111" s="405"/>
      <c r="K111" s="404">
        <f>SUM(P109:P110)</f>
        <v>0</v>
      </c>
      <c r="L111" s="405"/>
    </row>
    <row r="112" spans="1:16" hidden="1" x14ac:dyDescent="0.2">
      <c r="A112" s="47" t="s">
        <v>54</v>
      </c>
      <c r="J112" s="47">
        <f>SUM(W109:W111)</f>
        <v>0</v>
      </c>
      <c r="K112" s="47">
        <f>SUM(X109:X111)</f>
        <v>0</v>
      </c>
    </row>
    <row r="113" spans="1:12" hidden="1" x14ac:dyDescent="0.2">
      <c r="A113" s="47" t="s">
        <v>55</v>
      </c>
      <c r="J113" s="47">
        <f>SUM(Y109:Y112)</f>
        <v>0</v>
      </c>
      <c r="K113" s="47">
        <f>SUM(Z109:Z112)</f>
        <v>0</v>
      </c>
    </row>
    <row r="114" spans="1:12" hidden="1" x14ac:dyDescent="0.2"/>
    <row r="115" spans="1:12" ht="16.5" hidden="1" x14ac:dyDescent="0.25">
      <c r="A115" s="402" t="str">
        <f>CONCATENATE("Подраздел: ",IF([78]Source!G470&lt;&gt;"Новый подраздел", [78]Source!G470, ""))</f>
        <v>Подраздел: Простая отделка стен и перегородок</v>
      </c>
      <c r="B115" s="402"/>
      <c r="C115" s="402"/>
      <c r="D115" s="402"/>
      <c r="E115" s="402"/>
      <c r="F115" s="402"/>
      <c r="G115" s="402"/>
      <c r="H115" s="402"/>
      <c r="I115" s="402"/>
      <c r="J115" s="402"/>
      <c r="K115" s="402"/>
      <c r="L115" s="402"/>
    </row>
    <row r="116" spans="1:12" hidden="1" x14ac:dyDescent="0.2"/>
    <row r="117" spans="1:12" ht="15" hidden="1" x14ac:dyDescent="0.25">
      <c r="A117" s="403" t="str">
        <f>CONCATENATE("Итого по подразделу: ",IF([78]Source!G501&lt;&gt;"Новый подраздел", [78]Source!G501, ""))</f>
        <v>Итого по подразделу: Простая отделка стен и перегородок</v>
      </c>
      <c r="B117" s="403"/>
      <c r="C117" s="403"/>
      <c r="D117" s="403"/>
      <c r="E117" s="403"/>
      <c r="F117" s="403"/>
      <c r="G117" s="403"/>
      <c r="H117" s="403"/>
      <c r="I117" s="404">
        <f>SUM(O115:O116)</f>
        <v>0</v>
      </c>
      <c r="J117" s="405"/>
      <c r="K117" s="404">
        <f>SUM(P115:P116)</f>
        <v>0</v>
      </c>
      <c r="L117" s="405"/>
    </row>
    <row r="118" spans="1:12" hidden="1" x14ac:dyDescent="0.2">
      <c r="A118" s="47" t="s">
        <v>54</v>
      </c>
      <c r="J118" s="47">
        <f>SUM(W115:W117)</f>
        <v>0</v>
      </c>
      <c r="K118" s="47">
        <f>SUM(X115:X117)</f>
        <v>0</v>
      </c>
    </row>
    <row r="119" spans="1:12" hidden="1" x14ac:dyDescent="0.2">
      <c r="A119" s="47" t="s">
        <v>55</v>
      </c>
      <c r="J119" s="47">
        <f>SUM(Y115:Y118)</f>
        <v>0</v>
      </c>
      <c r="K119" s="47">
        <f>SUM(Z115:Z118)</f>
        <v>0</v>
      </c>
    </row>
    <row r="120" spans="1:12" hidden="1" x14ac:dyDescent="0.2"/>
    <row r="121" spans="1:12" ht="16.5" hidden="1" x14ac:dyDescent="0.25">
      <c r="A121" s="402" t="str">
        <f>CONCATENATE("Подраздел: ",IF([78]Source!G531&lt;&gt;"Новый подраздел", [78]Source!G531, ""))</f>
        <v>Подраздел: Облицовка стен керамической плиткой</v>
      </c>
      <c r="B121" s="402"/>
      <c r="C121" s="402"/>
      <c r="D121" s="402"/>
      <c r="E121" s="402"/>
      <c r="F121" s="402"/>
      <c r="G121" s="402"/>
      <c r="H121" s="402"/>
      <c r="I121" s="402"/>
      <c r="J121" s="402"/>
      <c r="K121" s="402"/>
      <c r="L121" s="402"/>
    </row>
    <row r="122" spans="1:12" hidden="1" x14ac:dyDescent="0.2"/>
    <row r="123" spans="1:12" ht="15" hidden="1" x14ac:dyDescent="0.25">
      <c r="A123" s="403" t="str">
        <f>CONCATENATE("Итого по подразделу: ",IF([78]Source!G552&lt;&gt;"Новый подраздел", [78]Source!G552, ""))</f>
        <v>Итого по подразделу: Облицовка стен керамической плиткой</v>
      </c>
      <c r="B123" s="403"/>
      <c r="C123" s="403"/>
      <c r="D123" s="403"/>
      <c r="E123" s="403"/>
      <c r="F123" s="403"/>
      <c r="G123" s="403"/>
      <c r="H123" s="403"/>
      <c r="I123" s="404">
        <f>SUM(O121:O122)</f>
        <v>0</v>
      </c>
      <c r="J123" s="405"/>
      <c r="K123" s="404">
        <f>SUM(P121:P122)</f>
        <v>0</v>
      </c>
      <c r="L123" s="405"/>
    </row>
    <row r="124" spans="1:12" hidden="1" x14ac:dyDescent="0.2">
      <c r="A124" s="47" t="s">
        <v>54</v>
      </c>
      <c r="J124" s="47">
        <f>SUM(W121:W123)</f>
        <v>0</v>
      </c>
      <c r="K124" s="47">
        <f>SUM(X121:X123)</f>
        <v>0</v>
      </c>
    </row>
    <row r="125" spans="1:12" hidden="1" x14ac:dyDescent="0.2">
      <c r="A125" s="47" t="s">
        <v>55</v>
      </c>
      <c r="J125" s="47">
        <f>SUM(Y121:Y124)</f>
        <v>0</v>
      </c>
      <c r="K125" s="47">
        <f>SUM(Z121:Z124)</f>
        <v>0</v>
      </c>
    </row>
    <row r="126" spans="1:12" hidden="1" x14ac:dyDescent="0.2"/>
    <row r="127" spans="1:12" ht="16.5" hidden="1" x14ac:dyDescent="0.25">
      <c r="A127" s="402" t="str">
        <f>CONCATENATE("Подраздел: ",IF([78]Source!G582&lt;&gt;"Новый подраздел", [78]Source!G582, ""))</f>
        <v>Подраздел: Обеспыливающая пропитка</v>
      </c>
      <c r="B127" s="402"/>
      <c r="C127" s="402"/>
      <c r="D127" s="402"/>
      <c r="E127" s="402"/>
      <c r="F127" s="402"/>
      <c r="G127" s="402"/>
      <c r="H127" s="402"/>
      <c r="I127" s="402"/>
      <c r="J127" s="402"/>
      <c r="K127" s="402"/>
      <c r="L127" s="402"/>
    </row>
    <row r="128" spans="1:12" hidden="1" x14ac:dyDescent="0.2"/>
    <row r="129" spans="1:12" ht="15" hidden="1" x14ac:dyDescent="0.25">
      <c r="A129" s="403" t="str">
        <f>CONCATENATE("Итого по подразделу: ",IF([78]Source!G591&lt;&gt;"Новый подраздел", [78]Source!G591, ""))</f>
        <v>Итого по подразделу: Обеспыливающая пропитка</v>
      </c>
      <c r="B129" s="403"/>
      <c r="C129" s="403"/>
      <c r="D129" s="403"/>
      <c r="E129" s="403"/>
      <c r="F129" s="403"/>
      <c r="G129" s="403"/>
      <c r="H129" s="403"/>
      <c r="I129" s="404">
        <f>SUM(O127:O128)</f>
        <v>0</v>
      </c>
      <c r="J129" s="405"/>
      <c r="K129" s="404">
        <f>SUM(P127:P128)</f>
        <v>0</v>
      </c>
      <c r="L129" s="405"/>
    </row>
    <row r="130" spans="1:12" hidden="1" x14ac:dyDescent="0.2">
      <c r="A130" s="47" t="s">
        <v>54</v>
      </c>
      <c r="J130" s="47">
        <f>SUM(W127:W129)</f>
        <v>0</v>
      </c>
      <c r="K130" s="47">
        <f>SUM(X127:X129)</f>
        <v>0</v>
      </c>
    </row>
    <row r="131" spans="1:12" hidden="1" x14ac:dyDescent="0.2">
      <c r="A131" s="47" t="s">
        <v>55</v>
      </c>
      <c r="J131" s="47">
        <f>SUM(Y127:Y130)</f>
        <v>0</v>
      </c>
      <c r="K131" s="47">
        <f>SUM(Z127:Z130)</f>
        <v>0</v>
      </c>
    </row>
    <row r="132" spans="1:12" hidden="1" x14ac:dyDescent="0.2"/>
    <row r="133" spans="1:12" ht="16.5" hidden="1" x14ac:dyDescent="0.25">
      <c r="A133" s="402" t="str">
        <f>CONCATENATE("Подраздел: ",IF([78]Source!G621&lt;&gt;"Новый подраздел", [78]Source!G621, ""))</f>
        <v>Подраздел: Устройство плинтусов</v>
      </c>
      <c r="B133" s="402"/>
      <c r="C133" s="402"/>
      <c r="D133" s="402"/>
      <c r="E133" s="402"/>
      <c r="F133" s="402"/>
      <c r="G133" s="402"/>
      <c r="H133" s="402"/>
      <c r="I133" s="402"/>
      <c r="J133" s="402"/>
      <c r="K133" s="402"/>
      <c r="L133" s="402"/>
    </row>
    <row r="134" spans="1:12" hidden="1" x14ac:dyDescent="0.2"/>
    <row r="135" spans="1:12" ht="15" hidden="1" x14ac:dyDescent="0.25">
      <c r="A135" s="403" t="str">
        <f>CONCATENATE("Итого по подразделу: ",IF([78]Source!G644&lt;&gt;"Новый подраздел", [78]Source!G644, ""))</f>
        <v>Итого по подразделу: Устройство плинтусов</v>
      </c>
      <c r="B135" s="403"/>
      <c r="C135" s="403"/>
      <c r="D135" s="403"/>
      <c r="E135" s="403"/>
      <c r="F135" s="403"/>
      <c r="G135" s="403"/>
      <c r="H135" s="403"/>
      <c r="I135" s="404">
        <f>SUM(O133:O134)</f>
        <v>0</v>
      </c>
      <c r="J135" s="405"/>
      <c r="K135" s="404">
        <f>SUM(P133:P134)</f>
        <v>0</v>
      </c>
      <c r="L135" s="405"/>
    </row>
    <row r="136" spans="1:12" hidden="1" x14ac:dyDescent="0.2">
      <c r="A136" s="47" t="s">
        <v>54</v>
      </c>
      <c r="J136" s="47">
        <f>SUM(W133:W135)</f>
        <v>0</v>
      </c>
      <c r="K136" s="47">
        <f>SUM(X133:X135)</f>
        <v>0</v>
      </c>
    </row>
    <row r="137" spans="1:12" hidden="1" x14ac:dyDescent="0.2">
      <c r="A137" s="47" t="s">
        <v>55</v>
      </c>
      <c r="J137" s="47">
        <f>SUM(Y133:Y136)</f>
        <v>0</v>
      </c>
      <c r="K137" s="47">
        <f>SUM(Z133:Z136)</f>
        <v>0</v>
      </c>
    </row>
    <row r="139" spans="1:12" ht="15" x14ac:dyDescent="0.25">
      <c r="A139" s="403" t="str">
        <f>CONCATENATE("Итого по разделу: ",IF([78]Source!G674&lt;&gt;"Новый раздел", [78]Source!G674, ""))</f>
        <v>Итого по разделу: Стены и перегородки</v>
      </c>
      <c r="B139" s="403"/>
      <c r="C139" s="403"/>
      <c r="D139" s="403"/>
      <c r="E139" s="403"/>
      <c r="F139" s="403"/>
      <c r="G139" s="403"/>
      <c r="H139" s="403"/>
      <c r="I139" s="404">
        <f>SUM(O70:O138)</f>
        <v>2284.4699999999998</v>
      </c>
      <c r="J139" s="405"/>
      <c r="K139" s="404">
        <f>SUM(P70:P138)</f>
        <v>53175.16</v>
      </c>
      <c r="L139" s="405"/>
    </row>
    <row r="140" spans="1:12" hidden="1" x14ac:dyDescent="0.2">
      <c r="A140" s="47" t="s">
        <v>54</v>
      </c>
      <c r="J140" s="47">
        <f>SUM(W70:W139)</f>
        <v>0</v>
      </c>
      <c r="K140" s="47">
        <f>SUM(X70:X139)</f>
        <v>0</v>
      </c>
    </row>
    <row r="141" spans="1:12" hidden="1" x14ac:dyDescent="0.2">
      <c r="A141" s="47" t="s">
        <v>55</v>
      </c>
      <c r="J141" s="47">
        <f>SUM(Y70:Y140)</f>
        <v>0</v>
      </c>
      <c r="K141" s="47">
        <f>SUM(Z70:Z140)</f>
        <v>0</v>
      </c>
    </row>
    <row r="142" spans="1:12" hidden="1" x14ac:dyDescent="0.2"/>
    <row r="143" spans="1:12" ht="16.5" hidden="1" x14ac:dyDescent="0.25">
      <c r="A143" s="402" t="str">
        <f>CONCATENATE("Раздел: ",IF([78]Source!G704&lt;&gt;"Новый раздел", [78]Source!G704, ""))</f>
        <v>Раздел: Потолки</v>
      </c>
      <c r="B143" s="402"/>
      <c r="C143" s="402"/>
      <c r="D143" s="402"/>
      <c r="E143" s="402"/>
      <c r="F143" s="402"/>
      <c r="G143" s="402"/>
      <c r="H143" s="402"/>
      <c r="I143" s="402"/>
      <c r="J143" s="402"/>
      <c r="K143" s="402"/>
      <c r="L143" s="402"/>
    </row>
    <row r="144" spans="1:12" hidden="1" x14ac:dyDescent="0.2"/>
    <row r="145" spans="1:12" ht="16.5" hidden="1" x14ac:dyDescent="0.25">
      <c r="A145" s="402" t="str">
        <f>CONCATENATE("Подраздел: ",IF([78]Source!G708&lt;&gt;"Новый подраздел", [78]Source!G708, ""))</f>
        <v>Подраздел: Улучшенная отделка потолка</v>
      </c>
      <c r="B145" s="402"/>
      <c r="C145" s="402"/>
      <c r="D145" s="402"/>
      <c r="E145" s="402"/>
      <c r="F145" s="402"/>
      <c r="G145" s="402"/>
      <c r="H145" s="402"/>
      <c r="I145" s="402"/>
      <c r="J145" s="402"/>
      <c r="K145" s="402"/>
      <c r="L145" s="402"/>
    </row>
    <row r="146" spans="1:12" hidden="1" x14ac:dyDescent="0.2"/>
    <row r="147" spans="1:12" ht="15" hidden="1" x14ac:dyDescent="0.25">
      <c r="A147" s="403" t="str">
        <f>CONCATENATE("Итого по подразделу: ",IF([78]Source!G721&lt;&gt;"Новый подраздел", [78]Source!G721, ""))</f>
        <v>Итого по подразделу: Улучшенная отделка потолка</v>
      </c>
      <c r="B147" s="403"/>
      <c r="C147" s="403"/>
      <c r="D147" s="403"/>
      <c r="E147" s="403"/>
      <c r="F147" s="403"/>
      <c r="G147" s="403"/>
      <c r="H147" s="403"/>
      <c r="I147" s="404">
        <f>SUM(O145:O146)</f>
        <v>0</v>
      </c>
      <c r="J147" s="405"/>
      <c r="K147" s="404">
        <f>SUM(P145:P146)</f>
        <v>0</v>
      </c>
      <c r="L147" s="405"/>
    </row>
    <row r="148" spans="1:12" hidden="1" x14ac:dyDescent="0.2">
      <c r="A148" s="47" t="s">
        <v>54</v>
      </c>
      <c r="J148" s="47">
        <f>SUM(W145:W147)</f>
        <v>0</v>
      </c>
      <c r="K148" s="47">
        <f>SUM(X145:X147)</f>
        <v>0</v>
      </c>
    </row>
    <row r="149" spans="1:12" hidden="1" x14ac:dyDescent="0.2">
      <c r="A149" s="47" t="s">
        <v>55</v>
      </c>
      <c r="J149" s="47">
        <f>SUM(Y145:Y148)</f>
        <v>0</v>
      </c>
      <c r="K149" s="47">
        <f>SUM(Z145:Z148)</f>
        <v>0</v>
      </c>
    </row>
    <row r="150" spans="1:12" hidden="1" x14ac:dyDescent="0.2"/>
    <row r="151" spans="1:12" ht="16.5" hidden="1" x14ac:dyDescent="0.25">
      <c r="A151" s="402" t="str">
        <f>CONCATENATE("Подраздел: ",IF([78]Source!G751&lt;&gt;"Новый подраздел", [78]Source!G751, ""))</f>
        <v>Подраздел: Простая отделка потолков</v>
      </c>
      <c r="B151" s="402"/>
      <c r="C151" s="402"/>
      <c r="D151" s="402"/>
      <c r="E151" s="402"/>
      <c r="F151" s="402"/>
      <c r="G151" s="402"/>
      <c r="H151" s="402"/>
      <c r="I151" s="402"/>
      <c r="J151" s="402"/>
      <c r="K151" s="402"/>
      <c r="L151" s="402"/>
    </row>
    <row r="152" spans="1:12" hidden="1" x14ac:dyDescent="0.2"/>
    <row r="153" spans="1:12" ht="15" hidden="1" x14ac:dyDescent="0.25">
      <c r="A153" s="403" t="str">
        <f>CONCATENATE("Итого по подразделу: ",IF([78]Source!G764&lt;&gt;"Новый подраздел", [78]Source!G764, ""))</f>
        <v>Итого по подразделу: Простая отделка потолков</v>
      </c>
      <c r="B153" s="403"/>
      <c r="C153" s="403"/>
      <c r="D153" s="403"/>
      <c r="E153" s="403"/>
      <c r="F153" s="403"/>
      <c r="G153" s="403"/>
      <c r="H153" s="403"/>
      <c r="I153" s="404">
        <f>SUM(O151:O152)</f>
        <v>0</v>
      </c>
      <c r="J153" s="405"/>
      <c r="K153" s="404">
        <f>SUM(P151:P152)</f>
        <v>0</v>
      </c>
      <c r="L153" s="405"/>
    </row>
    <row r="154" spans="1:12" hidden="1" x14ac:dyDescent="0.2">
      <c r="A154" s="47" t="s">
        <v>54</v>
      </c>
      <c r="J154" s="47">
        <f>SUM(W151:W153)</f>
        <v>0</v>
      </c>
      <c r="K154" s="47">
        <f>SUM(X151:X153)</f>
        <v>0</v>
      </c>
    </row>
    <row r="155" spans="1:12" hidden="1" x14ac:dyDescent="0.2">
      <c r="A155" s="47" t="s">
        <v>55</v>
      </c>
      <c r="J155" s="47">
        <f>SUM(Y151:Y154)</f>
        <v>0</v>
      </c>
      <c r="K155" s="47">
        <f>SUM(Z151:Z154)</f>
        <v>0</v>
      </c>
    </row>
    <row r="156" spans="1:12" hidden="1" x14ac:dyDescent="0.2"/>
    <row r="157" spans="1:12" ht="16.5" hidden="1" x14ac:dyDescent="0.25">
      <c r="A157" s="402" t="str">
        <f>CONCATENATE("Подраздел: ",IF([78]Source!G794&lt;&gt;"Новый подраздел", [78]Source!G794, ""))</f>
        <v>Подраздел: Монтаж подвесных потолков</v>
      </c>
      <c r="B157" s="402"/>
      <c r="C157" s="402"/>
      <c r="D157" s="402"/>
      <c r="E157" s="402"/>
      <c r="F157" s="402"/>
      <c r="G157" s="402"/>
      <c r="H157" s="402"/>
      <c r="I157" s="402"/>
      <c r="J157" s="402"/>
      <c r="K157" s="402"/>
      <c r="L157" s="402"/>
    </row>
    <row r="158" spans="1:12" hidden="1" x14ac:dyDescent="0.2"/>
    <row r="159" spans="1:12" ht="15" hidden="1" x14ac:dyDescent="0.25">
      <c r="A159" s="403" t="str">
        <f>CONCATENATE("Итого по подразделу: ",IF([78]Source!G817&lt;&gt;"Новый подраздел", [78]Source!G817, ""))</f>
        <v>Итого по подразделу: Монтаж подвесных потолков</v>
      </c>
      <c r="B159" s="403"/>
      <c r="C159" s="403"/>
      <c r="D159" s="403"/>
      <c r="E159" s="403"/>
      <c r="F159" s="403"/>
      <c r="G159" s="403"/>
      <c r="H159" s="403"/>
      <c r="I159" s="404">
        <f>SUM(O157:O158)</f>
        <v>0</v>
      </c>
      <c r="J159" s="405"/>
      <c r="K159" s="404">
        <f>SUM(P157:P158)</f>
        <v>0</v>
      </c>
      <c r="L159" s="405"/>
    </row>
    <row r="160" spans="1:12" hidden="1" x14ac:dyDescent="0.2">
      <c r="A160" s="47" t="s">
        <v>54</v>
      </c>
      <c r="J160" s="47">
        <f>SUM(W157:W159)</f>
        <v>0</v>
      </c>
      <c r="K160" s="47">
        <f>SUM(X157:X159)</f>
        <v>0</v>
      </c>
    </row>
    <row r="161" spans="1:22" hidden="1" x14ac:dyDescent="0.2">
      <c r="A161" s="47" t="s">
        <v>55</v>
      </c>
      <c r="J161" s="47">
        <f>SUM(Y157:Y160)</f>
        <v>0</v>
      </c>
      <c r="K161" s="47">
        <f>SUM(Z157:Z160)</f>
        <v>0</v>
      </c>
    </row>
    <row r="162" spans="1:22" hidden="1" x14ac:dyDescent="0.2"/>
    <row r="163" spans="1:22" ht="16.5" hidden="1" x14ac:dyDescent="0.25">
      <c r="A163" s="402" t="str">
        <f>CONCATENATE("Подраздел: ",IF([78]Source!G847&lt;&gt;"Новый подраздел", [78]Source!G847, ""))</f>
        <v>Подраздел: Обеспыливающая пропитка потолка</v>
      </c>
      <c r="B163" s="402"/>
      <c r="C163" s="402"/>
      <c r="D163" s="402"/>
      <c r="E163" s="402"/>
      <c r="F163" s="402"/>
      <c r="G163" s="402"/>
      <c r="H163" s="402"/>
      <c r="I163" s="402"/>
      <c r="J163" s="402"/>
      <c r="K163" s="402"/>
      <c r="L163" s="402"/>
    </row>
    <row r="164" spans="1:22" hidden="1" x14ac:dyDescent="0.2"/>
    <row r="165" spans="1:22" ht="15" hidden="1" x14ac:dyDescent="0.25">
      <c r="A165" s="403" t="str">
        <f>CONCATENATE("Итого по подразделу: ",IF([78]Source!G856&lt;&gt;"Новый подраздел", [78]Source!G856, ""))</f>
        <v>Итого по подразделу: Обеспыливающая пропитка потолка</v>
      </c>
      <c r="B165" s="403"/>
      <c r="C165" s="403"/>
      <c r="D165" s="403"/>
      <c r="E165" s="403"/>
      <c r="F165" s="403"/>
      <c r="G165" s="403"/>
      <c r="H165" s="403"/>
      <c r="I165" s="404">
        <f>SUM(O163:O164)</f>
        <v>0</v>
      </c>
      <c r="J165" s="405"/>
      <c r="K165" s="404">
        <f>SUM(P163:P164)</f>
        <v>0</v>
      </c>
      <c r="L165" s="405"/>
    </row>
    <row r="166" spans="1:22" hidden="1" x14ac:dyDescent="0.2">
      <c r="A166" s="47" t="s">
        <v>54</v>
      </c>
      <c r="J166" s="47">
        <f>SUM(W163:W165)</f>
        <v>0</v>
      </c>
      <c r="K166" s="47">
        <f>SUM(X163:X165)</f>
        <v>0</v>
      </c>
    </row>
    <row r="167" spans="1:22" hidden="1" x14ac:dyDescent="0.2">
      <c r="A167" s="47" t="s">
        <v>55</v>
      </c>
      <c r="J167" s="47">
        <f>SUM(Y163:Y166)</f>
        <v>0</v>
      </c>
      <c r="K167" s="47">
        <f>SUM(Z163:Z166)</f>
        <v>0</v>
      </c>
    </row>
    <row r="168" spans="1:22" hidden="1" x14ac:dyDescent="0.2"/>
    <row r="169" spans="1:22" ht="15" hidden="1" x14ac:dyDescent="0.25">
      <c r="A169" s="403" t="str">
        <f>CONCATENATE("Итого по разделу: ",IF([78]Source!G886&lt;&gt;"Новый раздел", [78]Source!G886, ""))</f>
        <v>Итого по разделу: Потолки</v>
      </c>
      <c r="B169" s="403"/>
      <c r="C169" s="403"/>
      <c r="D169" s="403"/>
      <c r="E169" s="403"/>
      <c r="F169" s="403"/>
      <c r="G169" s="403"/>
      <c r="H169" s="403"/>
      <c r="I169" s="404">
        <f>SUM(O143:O168)</f>
        <v>0</v>
      </c>
      <c r="J169" s="405"/>
      <c r="K169" s="404">
        <f>SUM(P143:P168)</f>
        <v>0</v>
      </c>
      <c r="L169" s="405"/>
    </row>
    <row r="170" spans="1:22" hidden="1" x14ac:dyDescent="0.2">
      <c r="A170" s="47" t="s">
        <v>54</v>
      </c>
      <c r="J170" s="47">
        <f>SUM(W143:W169)</f>
        <v>0</v>
      </c>
      <c r="K170" s="47">
        <f>SUM(X143:X169)</f>
        <v>0</v>
      </c>
    </row>
    <row r="171" spans="1:22" hidden="1" x14ac:dyDescent="0.2">
      <c r="A171" s="47" t="s">
        <v>55</v>
      </c>
      <c r="J171" s="47">
        <f>SUM(Y143:Y170)</f>
        <v>0</v>
      </c>
      <c r="K171" s="47">
        <f>SUM(Z143:Z170)</f>
        <v>0</v>
      </c>
    </row>
    <row r="173" spans="1:22" ht="16.5" x14ac:dyDescent="0.25">
      <c r="A173" s="402" t="str">
        <f>CONCATENATE("Раздел: ",IF([78]Source!G916&lt;&gt;"Новый раздел", [78]Source!G916, ""))</f>
        <v>Раздел: Двери</v>
      </c>
      <c r="B173" s="402"/>
      <c r="C173" s="402"/>
      <c r="D173" s="402"/>
      <c r="E173" s="402"/>
      <c r="F173" s="402"/>
      <c r="G173" s="402"/>
      <c r="H173" s="402"/>
      <c r="I173" s="402"/>
      <c r="J173" s="402"/>
      <c r="K173" s="402"/>
      <c r="L173" s="402"/>
    </row>
    <row r="174" spans="1:22" ht="65.25" x14ac:dyDescent="0.2">
      <c r="A174" s="84">
        <v>6</v>
      </c>
      <c r="B174" s="84" t="str">
        <f>[78]Source!E920</f>
        <v>69</v>
      </c>
      <c r="C174" s="85" t="s">
        <v>219</v>
      </c>
      <c r="D174" s="85" t="s">
        <v>205</v>
      </c>
      <c r="E174" s="86" t="str">
        <f>[78]Source!H920</f>
        <v>10 шт.</v>
      </c>
      <c r="F174" s="87">
        <f>[78]Source!I920</f>
        <v>0.34</v>
      </c>
      <c r="G174" s="88"/>
      <c r="H174" s="89"/>
      <c r="I174" s="87"/>
      <c r="J174" s="176"/>
      <c r="K174" s="87"/>
      <c r="L174" s="176"/>
      <c r="Q174" s="47">
        <f>[78]Source!X920</f>
        <v>354.64</v>
      </c>
      <c r="R174" s="47">
        <f>[78]Source!X921</f>
        <v>6831.06</v>
      </c>
      <c r="S174" s="47">
        <f>[78]Source!Y920</f>
        <v>428.01</v>
      </c>
      <c r="T174" s="47">
        <f>[78]Source!Y921</f>
        <v>4879.33</v>
      </c>
      <c r="U174" s="47">
        <f>ROUND((175/100)*ROUND([78]Source!R920, 2), 2)</f>
        <v>3.12</v>
      </c>
      <c r="V174" s="47">
        <f>ROUND((157/100)*ROUND([78]Source!R921, 2), 2)</f>
        <v>66.900000000000006</v>
      </c>
    </row>
    <row r="175" spans="1:22" ht="12.75" x14ac:dyDescent="0.2">
      <c r="D175" s="203" t="str">
        <f>"Объем: "&amp;[78]Source!I920&amp;"=(1,7*"&amp;"0,2)"</f>
        <v>Объем: 0,34=(1,7*0,2)</v>
      </c>
    </row>
    <row r="176" spans="1:22" ht="14.25" x14ac:dyDescent="0.2">
      <c r="A176" s="84"/>
      <c r="B176" s="84"/>
      <c r="C176" s="85"/>
      <c r="D176" s="85" t="s">
        <v>43</v>
      </c>
      <c r="E176" s="86"/>
      <c r="F176" s="87"/>
      <c r="G176" s="88">
        <f>[78]Source!AO920</f>
        <v>660.45</v>
      </c>
      <c r="H176" s="89" t="str">
        <f>[78]Source!DG920</f>
        <v>)*1,67</v>
      </c>
      <c r="I176" s="87">
        <f>[78]Source!AV921</f>
        <v>1.087</v>
      </c>
      <c r="J176" s="176">
        <f>[78]Source!S920</f>
        <v>407.63</v>
      </c>
      <c r="K176" s="87">
        <f>IF([78]Source!BA921&lt;&gt; 0, [78]Source!BA921, 1)</f>
        <v>23.94</v>
      </c>
      <c r="L176" s="176">
        <f>[78]Source!S921</f>
        <v>9758.66</v>
      </c>
    </row>
    <row r="177" spans="1:22" ht="14.25" x14ac:dyDescent="0.2">
      <c r="A177" s="84"/>
      <c r="B177" s="84"/>
      <c r="C177" s="85"/>
      <c r="D177" s="85" t="s">
        <v>44</v>
      </c>
      <c r="E177" s="86"/>
      <c r="F177" s="87"/>
      <c r="G177" s="88">
        <f>[78]Source!AM920</f>
        <v>23.33</v>
      </c>
      <c r="H177" s="89" t="str">
        <f>[78]Source!DE920</f>
        <v/>
      </c>
      <c r="I177" s="87">
        <f>[78]Source!AV921</f>
        <v>1.087</v>
      </c>
      <c r="J177" s="176">
        <f>[78]Source!Q920-J190</f>
        <v>8.6199999999999992</v>
      </c>
      <c r="K177" s="87">
        <f>IF([78]Source!BB921&lt;&gt; 0, [78]Source!BB921, 1)</f>
        <v>6.99</v>
      </c>
      <c r="L177" s="176">
        <f>[78]Source!Q921-L190</f>
        <v>60.25</v>
      </c>
    </row>
    <row r="178" spans="1:22" ht="14.25" x14ac:dyDescent="0.2">
      <c r="A178" s="84"/>
      <c r="B178" s="84"/>
      <c r="C178" s="85"/>
      <c r="D178" s="85" t="s">
        <v>45</v>
      </c>
      <c r="E178" s="86"/>
      <c r="F178" s="87"/>
      <c r="G178" s="88">
        <f>[78]Source!AN920</f>
        <v>2.88</v>
      </c>
      <c r="H178" s="89" t="str">
        <f>[78]Source!DE920</f>
        <v/>
      </c>
      <c r="I178" s="87">
        <f>[78]Source!AV921</f>
        <v>1.087</v>
      </c>
      <c r="J178" s="90">
        <f>[78]Source!R920-J191</f>
        <v>1.07</v>
      </c>
      <c r="K178" s="87">
        <f>IF([78]Source!BS921&lt;&gt; 0, [78]Source!BS921, 1)</f>
        <v>23.94</v>
      </c>
      <c r="L178" s="90">
        <f>[78]Source!R921-L191</f>
        <v>25.61</v>
      </c>
    </row>
    <row r="179" spans="1:22" ht="14.25" x14ac:dyDescent="0.2">
      <c r="A179" s="84"/>
      <c r="B179" s="84"/>
      <c r="C179" s="85"/>
      <c r="D179" s="85" t="s">
        <v>46</v>
      </c>
      <c r="E179" s="86"/>
      <c r="F179" s="87"/>
      <c r="G179" s="88">
        <f>[78]Source!AL920</f>
        <v>2766.32</v>
      </c>
      <c r="H179" s="89" t="str">
        <f>[78]Source!DD920</f>
        <v/>
      </c>
      <c r="I179" s="87">
        <f>[78]Source!AW921</f>
        <v>1</v>
      </c>
      <c r="J179" s="176">
        <f>[78]Source!P920</f>
        <v>940.55</v>
      </c>
      <c r="K179" s="87">
        <f>IF([78]Source!BC921&lt;&gt; 0, [78]Source!BC921, 1)</f>
        <v>4.0199999999999996</v>
      </c>
      <c r="L179" s="176">
        <f>[78]Source!P921</f>
        <v>3781.01</v>
      </c>
    </row>
    <row r="180" spans="1:22" ht="128.25" x14ac:dyDescent="0.2">
      <c r="A180" s="84">
        <v>7</v>
      </c>
      <c r="B180" s="84" t="str">
        <f>[78]Source!E922</f>
        <v>69,1</v>
      </c>
      <c r="C180" s="85" t="str">
        <f>[78]Source!F922</f>
        <v>1.7-2-118</v>
      </c>
      <c r="D180" s="85" t="s">
        <v>220</v>
      </c>
      <c r="E180" s="86" t="str">
        <f>[78]Source!H922</f>
        <v>т</v>
      </c>
      <c r="F180" s="87">
        <f>[78]Source!I922</f>
        <v>9.6000000000000002E-2</v>
      </c>
      <c r="G180" s="88">
        <f>[78]Source!AK922</f>
        <v>50396</v>
      </c>
      <c r="H180" s="123" t="s">
        <v>20</v>
      </c>
      <c r="I180" s="87">
        <f>[78]Source!AW923</f>
        <v>1</v>
      </c>
      <c r="J180" s="176">
        <f>[78]Source!O922</f>
        <v>4838.0200000000004</v>
      </c>
      <c r="K180" s="87">
        <f>IF([78]Source!BC923&lt;&gt; 0, [78]Source!BC923, 1)</f>
        <v>1.57</v>
      </c>
      <c r="L180" s="176">
        <f>[78]Source!O923</f>
        <v>7595.69</v>
      </c>
      <c r="Q180" s="47">
        <f>[78]Source!X922</f>
        <v>0</v>
      </c>
      <c r="R180" s="47">
        <f>[78]Source!X923</f>
        <v>0</v>
      </c>
      <c r="S180" s="47">
        <f>[78]Source!Y922</f>
        <v>0</v>
      </c>
      <c r="T180" s="47">
        <f>[78]Source!Y923</f>
        <v>0</v>
      </c>
      <c r="U180" s="47">
        <f>ROUND((175/100)*ROUND([78]Source!R922, 2), 2)</f>
        <v>0</v>
      </c>
      <c r="V180" s="47">
        <f>ROUND((157/100)*ROUND([78]Source!R923, 2), 2)</f>
        <v>0</v>
      </c>
    </row>
    <row r="181" spans="1:22" ht="42.75" x14ac:dyDescent="0.2">
      <c r="A181" s="84">
        <v>8</v>
      </c>
      <c r="B181" s="84" t="str">
        <f>[78]Source!E924</f>
        <v>69,2</v>
      </c>
      <c r="C181" s="85" t="str">
        <f>[78]Source!F924</f>
        <v>1.7-2-20</v>
      </c>
      <c r="D181" s="85" t="s">
        <v>221</v>
      </c>
      <c r="E181" s="86" t="str">
        <f>[78]Source!H924</f>
        <v>шт.</v>
      </c>
      <c r="F181" s="87">
        <f>[78]Source!I924</f>
        <v>0.2</v>
      </c>
      <c r="G181" s="88">
        <f>[78]Source!AK924</f>
        <v>962.77</v>
      </c>
      <c r="H181" s="123" t="s">
        <v>20</v>
      </c>
      <c r="I181" s="87">
        <f>[78]Source!AW925</f>
        <v>1</v>
      </c>
      <c r="J181" s="176">
        <f>[78]Source!O924</f>
        <v>192.55</v>
      </c>
      <c r="K181" s="87">
        <f>IF([78]Source!BC925&lt;&gt; 0, [78]Source!BC925, 1)</f>
        <v>9.17</v>
      </c>
      <c r="L181" s="176">
        <f>[78]Source!O925</f>
        <v>1765.68</v>
      </c>
      <c r="Q181" s="47">
        <f>[78]Source!X924</f>
        <v>0</v>
      </c>
      <c r="R181" s="47">
        <f>[78]Source!X925</f>
        <v>0</v>
      </c>
      <c r="S181" s="47">
        <f>[78]Source!Y924</f>
        <v>0</v>
      </c>
      <c r="T181" s="47">
        <f>[78]Source!Y925</f>
        <v>0</v>
      </c>
      <c r="U181" s="47">
        <f>ROUND((175/100)*ROUND([78]Source!R924, 2), 2)</f>
        <v>0</v>
      </c>
      <c r="V181" s="47">
        <f>ROUND((157/100)*ROUND([78]Source!R925, 2), 2)</f>
        <v>0</v>
      </c>
    </row>
    <row r="182" spans="1:22" ht="128.25" x14ac:dyDescent="0.2">
      <c r="A182" s="84">
        <v>9</v>
      </c>
      <c r="B182" s="84" t="str">
        <f>[78]Source!E926</f>
        <v>69,3</v>
      </c>
      <c r="C182" s="85" t="str">
        <f>[78]Source!F926</f>
        <v>1.7-2-119</v>
      </c>
      <c r="D182" s="85" t="s">
        <v>222</v>
      </c>
      <c r="E182" s="86" t="str">
        <f>[78]Source!H926</f>
        <v>т</v>
      </c>
      <c r="F182" s="87">
        <f>[78]Source!I926</f>
        <v>0.23100000000000001</v>
      </c>
      <c r="G182" s="88">
        <f>[78]Source!AK926</f>
        <v>49761.5</v>
      </c>
      <c r="H182" s="123" t="s">
        <v>20</v>
      </c>
      <c r="I182" s="87">
        <f>[78]Source!AW927</f>
        <v>1</v>
      </c>
      <c r="J182" s="176">
        <f>[78]Source!O926</f>
        <v>11494.91</v>
      </c>
      <c r="K182" s="87">
        <f>IF([78]Source!BC927&lt;&gt; 0, [78]Source!BC927, 1)</f>
        <v>1.46</v>
      </c>
      <c r="L182" s="176">
        <f>[78]Source!O927</f>
        <v>16782.57</v>
      </c>
      <c r="Q182" s="47">
        <f>[78]Source!X926</f>
        <v>0</v>
      </c>
      <c r="R182" s="47">
        <f>[78]Source!X927</f>
        <v>0</v>
      </c>
      <c r="S182" s="47">
        <f>[78]Source!Y926</f>
        <v>0</v>
      </c>
      <c r="T182" s="47">
        <f>[78]Source!Y927</f>
        <v>0</v>
      </c>
      <c r="U182" s="47">
        <f>ROUND((175/100)*ROUND([78]Source!R926, 2), 2)</f>
        <v>0</v>
      </c>
      <c r="V182" s="47">
        <f>ROUND((157/100)*ROUND([78]Source!R927, 2), 2)</f>
        <v>0</v>
      </c>
    </row>
    <row r="183" spans="1:22" ht="14.25" x14ac:dyDescent="0.2">
      <c r="A183" s="84"/>
      <c r="B183" s="84"/>
      <c r="C183" s="85"/>
      <c r="D183" s="85" t="s">
        <v>47</v>
      </c>
      <c r="E183" s="86" t="s">
        <v>48</v>
      </c>
      <c r="F183" s="87">
        <f>[78]Source!DN921</f>
        <v>70</v>
      </c>
      <c r="G183" s="88"/>
      <c r="H183" s="89"/>
      <c r="I183" s="87"/>
      <c r="J183" s="176">
        <f>SUM(Q174:Q182)</f>
        <v>354.64</v>
      </c>
      <c r="K183" s="87">
        <f>[78]Source!BZ921</f>
        <v>70</v>
      </c>
      <c r="L183" s="176">
        <f>SUM(R174:R182)</f>
        <v>6831.06</v>
      </c>
    </row>
    <row r="184" spans="1:22" ht="14.25" x14ac:dyDescent="0.2">
      <c r="A184" s="84"/>
      <c r="B184" s="84"/>
      <c r="C184" s="85"/>
      <c r="D184" s="85" t="s">
        <v>49</v>
      </c>
      <c r="E184" s="86" t="s">
        <v>48</v>
      </c>
      <c r="F184" s="87">
        <f>[78]Source!DO921</f>
        <v>50</v>
      </c>
      <c r="G184" s="88"/>
      <c r="H184" s="89"/>
      <c r="I184" s="87"/>
      <c r="J184" s="176">
        <f>SUM(S174:S183)</f>
        <v>428.01</v>
      </c>
      <c r="K184" s="87">
        <f>[78]Source!CA921</f>
        <v>50</v>
      </c>
      <c r="L184" s="176">
        <f>SUM(T174:T183)</f>
        <v>4879.33</v>
      </c>
    </row>
    <row r="185" spans="1:22" ht="14.25" x14ac:dyDescent="0.2">
      <c r="A185" s="84"/>
      <c r="B185" s="84"/>
      <c r="C185" s="85"/>
      <c r="D185" s="85" t="s">
        <v>50</v>
      </c>
      <c r="E185" s="86" t="s">
        <v>48</v>
      </c>
      <c r="F185" s="87">
        <f>175</f>
        <v>175</v>
      </c>
      <c r="G185" s="88"/>
      <c r="H185" s="89"/>
      <c r="I185" s="87"/>
      <c r="J185" s="176">
        <f>SUM(U174:U184)-J192</f>
        <v>1.88</v>
      </c>
      <c r="K185" s="87">
        <f>157</f>
        <v>157</v>
      </c>
      <c r="L185" s="176">
        <f>SUM(V174:V184)-L192</f>
        <v>40.21</v>
      </c>
    </row>
    <row r="186" spans="1:22" ht="14.25" x14ac:dyDescent="0.2">
      <c r="A186" s="183"/>
      <c r="B186" s="183"/>
      <c r="C186" s="184"/>
      <c r="D186" s="184" t="s">
        <v>51</v>
      </c>
      <c r="E186" s="185" t="s">
        <v>52</v>
      </c>
      <c r="F186" s="186">
        <f>[78]Source!AQ920</f>
        <v>56.18</v>
      </c>
      <c r="G186" s="187"/>
      <c r="H186" s="188" t="str">
        <f>[78]Source!DI920</f>
        <v/>
      </c>
      <c r="I186" s="186">
        <f>[78]Source!AV921</f>
        <v>1.087</v>
      </c>
      <c r="J186" s="189">
        <f>[78]Source!U920</f>
        <v>20.76</v>
      </c>
      <c r="K186" s="186"/>
      <c r="L186" s="189"/>
    </row>
    <row r="187" spans="1:22" ht="15" x14ac:dyDescent="0.25">
      <c r="D187" s="194" t="s">
        <v>81</v>
      </c>
      <c r="I187" s="408">
        <f>J176+J177+J179+J183+J184+J185+SUM(J180:J182)</f>
        <v>18666.810000000001</v>
      </c>
      <c r="J187" s="408"/>
      <c r="K187" s="408">
        <f>L176+L177+L179+L183+L184+L185+SUM(L180:L182)</f>
        <v>51494.46</v>
      </c>
      <c r="L187" s="408"/>
      <c r="O187" s="92">
        <f>J176+J177+J179+J183+J184+J185+SUM(J180:J182)</f>
        <v>18666.810000000001</v>
      </c>
      <c r="P187" s="92">
        <f>L176+L177+L179+L183+L184+L185+SUM(L180:L182)</f>
        <v>51494.46</v>
      </c>
    </row>
    <row r="189" spans="1:22" ht="52.5" x14ac:dyDescent="0.2">
      <c r="A189" s="84">
        <v>10</v>
      </c>
      <c r="B189" s="84" t="str">
        <f>CONCATENATE([78]Source!E920, "/1")</f>
        <v>69/1</v>
      </c>
      <c r="C189" s="85" t="s">
        <v>223</v>
      </c>
      <c r="D189" s="85" t="s">
        <v>82</v>
      </c>
      <c r="E189" s="86" t="str">
        <f>[78]Source!H920</f>
        <v>10 шт.</v>
      </c>
      <c r="F189" s="87">
        <f>[78]Source!I920</f>
        <v>0.34</v>
      </c>
      <c r="G189" s="88"/>
      <c r="H189" s="89"/>
      <c r="I189" s="87"/>
      <c r="J189" s="176"/>
      <c r="K189" s="87"/>
      <c r="L189" s="176"/>
    </row>
    <row r="190" spans="1:22" ht="14.25" x14ac:dyDescent="0.2">
      <c r="A190" s="84"/>
      <c r="B190" s="84"/>
      <c r="C190" s="85"/>
      <c r="D190" s="85" t="s">
        <v>44</v>
      </c>
      <c r="E190" s="86"/>
      <c r="F190" s="87"/>
      <c r="G190" s="88">
        <f t="shared" ref="G190:L190" si="1">G191</f>
        <v>2.88</v>
      </c>
      <c r="H190" s="195" t="str">
        <f t="shared" si="1"/>
        <v>)*(1.67-1)</v>
      </c>
      <c r="I190" s="87">
        <f t="shared" si="1"/>
        <v>1.087</v>
      </c>
      <c r="J190" s="176">
        <f t="shared" si="1"/>
        <v>0.71</v>
      </c>
      <c r="K190" s="87">
        <f t="shared" si="1"/>
        <v>23.94</v>
      </c>
      <c r="L190" s="176">
        <f t="shared" si="1"/>
        <v>17</v>
      </c>
    </row>
    <row r="191" spans="1:22" ht="14.25" x14ac:dyDescent="0.2">
      <c r="A191" s="84"/>
      <c r="B191" s="84"/>
      <c r="C191" s="85"/>
      <c r="D191" s="85" t="s">
        <v>45</v>
      </c>
      <c r="E191" s="86"/>
      <c r="F191" s="87"/>
      <c r="G191" s="88">
        <f>[78]Source!AN920</f>
        <v>2.88</v>
      </c>
      <c r="H191" s="195" t="s">
        <v>53</v>
      </c>
      <c r="I191" s="87">
        <f>[78]Source!AV921</f>
        <v>1.087</v>
      </c>
      <c r="J191" s="90">
        <f>ROUND(F174*G191*I191*(1.67-1), 2)</f>
        <v>0.71</v>
      </c>
      <c r="K191" s="87">
        <f>IF([78]Source!BS921&lt;&gt; 0, [78]Source!BS921, 1)</f>
        <v>23.94</v>
      </c>
      <c r="L191" s="90">
        <f>ROUND(ROUND(F174*G191*I191*(1.67-1), 2)*K191, 2)</f>
        <v>17</v>
      </c>
    </row>
    <row r="192" spans="1:22" ht="14.25" x14ac:dyDescent="0.2">
      <c r="A192" s="84"/>
      <c r="B192" s="84"/>
      <c r="C192" s="85"/>
      <c r="D192" s="85" t="s">
        <v>50</v>
      </c>
      <c r="E192" s="86" t="s">
        <v>48</v>
      </c>
      <c r="F192" s="87">
        <f>175</f>
        <v>175</v>
      </c>
      <c r="G192" s="88"/>
      <c r="H192" s="89"/>
      <c r="I192" s="87"/>
      <c r="J192" s="176">
        <f>ROUND(J191*(F192/100), 2)</f>
        <v>1.24</v>
      </c>
      <c r="K192" s="87">
        <f>157</f>
        <v>157</v>
      </c>
      <c r="L192" s="176">
        <f>ROUND(L191*(K192/100), 2)</f>
        <v>26.69</v>
      </c>
    </row>
    <row r="193" spans="1:22" ht="15" x14ac:dyDescent="0.25">
      <c r="A193" s="190"/>
      <c r="B193" s="190"/>
      <c r="C193" s="190"/>
      <c r="D193" s="191" t="s">
        <v>81</v>
      </c>
      <c r="E193" s="190"/>
      <c r="F193" s="190"/>
      <c r="G193" s="190"/>
      <c r="H193" s="190"/>
      <c r="I193" s="409">
        <f>J192+J191</f>
        <v>1.95</v>
      </c>
      <c r="J193" s="409"/>
      <c r="K193" s="409">
        <f>L192+L191</f>
        <v>43.69</v>
      </c>
      <c r="L193" s="409"/>
      <c r="O193" s="92">
        <f>I193</f>
        <v>1.95</v>
      </c>
      <c r="P193" s="92">
        <f>K193</f>
        <v>43.69</v>
      </c>
    </row>
    <row r="195" spans="1:22" ht="52.5" x14ac:dyDescent="0.2">
      <c r="A195" s="84">
        <v>11</v>
      </c>
      <c r="B195" s="84" t="str">
        <f>[78]Source!E928</f>
        <v>70</v>
      </c>
      <c r="C195" s="85" t="s">
        <v>224</v>
      </c>
      <c r="D195" s="85" t="s">
        <v>225</v>
      </c>
      <c r="E195" s="86" t="str">
        <f>[78]Source!H928</f>
        <v>10 шт.</v>
      </c>
      <c r="F195" s="87">
        <f>[78]Source!I928</f>
        <v>0.06</v>
      </c>
      <c r="G195" s="88"/>
      <c r="H195" s="89"/>
      <c r="I195" s="87"/>
      <c r="J195" s="176"/>
      <c r="K195" s="87"/>
      <c r="L195" s="176"/>
      <c r="Q195" s="47">
        <f>[78]Source!X928</f>
        <v>104.21</v>
      </c>
      <c r="R195" s="47">
        <f>[78]Source!X929</f>
        <v>2007.27</v>
      </c>
      <c r="S195" s="47">
        <f>[78]Source!Y928</f>
        <v>125.77</v>
      </c>
      <c r="T195" s="47">
        <f>[78]Source!Y929</f>
        <v>1433.77</v>
      </c>
      <c r="U195" s="47">
        <f>ROUND((175/100)*ROUND([78]Source!R928, 2), 2)</f>
        <v>0.81</v>
      </c>
      <c r="V195" s="47">
        <f>ROUND((157/100)*ROUND([78]Source!R929, 2), 2)</f>
        <v>17.29</v>
      </c>
    </row>
    <row r="196" spans="1:22" ht="12.75" x14ac:dyDescent="0.2">
      <c r="D196" s="203" t="str">
        <f>"Объем: "&amp;[78]Source!I928&amp;"=(0,3*"&amp;"0,2)"</f>
        <v>Объем: 0,06=(0,3*0,2)</v>
      </c>
    </row>
    <row r="197" spans="1:22" ht="14.25" x14ac:dyDescent="0.2">
      <c r="A197" s="84"/>
      <c r="B197" s="84"/>
      <c r="C197" s="85"/>
      <c r="D197" s="85" t="s">
        <v>43</v>
      </c>
      <c r="E197" s="86"/>
      <c r="F197" s="87"/>
      <c r="G197" s="88">
        <f>[78]Source!AO928</f>
        <v>1099.73</v>
      </c>
      <c r="H197" s="89" t="str">
        <f>[78]Source!DG928</f>
        <v>)*1,67</v>
      </c>
      <c r="I197" s="87">
        <f>[78]Source!AV929</f>
        <v>1.087</v>
      </c>
      <c r="J197" s="176">
        <f>[78]Source!S928</f>
        <v>119.78</v>
      </c>
      <c r="K197" s="87">
        <f>IF([78]Source!BA929&lt;&gt; 0, [78]Source!BA929, 1)</f>
        <v>23.94</v>
      </c>
      <c r="L197" s="176">
        <f>[78]Source!S929</f>
        <v>2867.53</v>
      </c>
    </row>
    <row r="198" spans="1:22" ht="14.25" x14ac:dyDescent="0.2">
      <c r="A198" s="84"/>
      <c r="B198" s="84"/>
      <c r="C198" s="85"/>
      <c r="D198" s="85" t="s">
        <v>44</v>
      </c>
      <c r="E198" s="86"/>
      <c r="F198" s="87"/>
      <c r="G198" s="88">
        <f>[78]Source!AM928</f>
        <v>33.33</v>
      </c>
      <c r="H198" s="89" t="str">
        <f>[78]Source!DE928</f>
        <v/>
      </c>
      <c r="I198" s="87">
        <f>[78]Source!AV929</f>
        <v>1.087</v>
      </c>
      <c r="J198" s="176">
        <f>[78]Source!Q928-J209</f>
        <v>2.17</v>
      </c>
      <c r="K198" s="87">
        <f>IF([78]Source!BB929&lt;&gt; 0, [78]Source!BB929, 1)</f>
        <v>7.1</v>
      </c>
      <c r="L198" s="176">
        <f>[78]Source!Q929-L209</f>
        <v>15.41</v>
      </c>
    </row>
    <row r="199" spans="1:22" ht="14.25" x14ac:dyDescent="0.2">
      <c r="A199" s="84"/>
      <c r="B199" s="84"/>
      <c r="C199" s="85"/>
      <c r="D199" s="85" t="s">
        <v>45</v>
      </c>
      <c r="E199" s="86"/>
      <c r="F199" s="87"/>
      <c r="G199" s="88">
        <f>[78]Source!AN928</f>
        <v>4.2300000000000004</v>
      </c>
      <c r="H199" s="89" t="str">
        <f>[78]Source!DE928</f>
        <v/>
      </c>
      <c r="I199" s="87">
        <f>[78]Source!AV929</f>
        <v>1.087</v>
      </c>
      <c r="J199" s="90">
        <f>[78]Source!R928-J210</f>
        <v>0.28000000000000003</v>
      </c>
      <c r="K199" s="87">
        <f>IF([78]Source!BS929&lt;&gt; 0, [78]Source!BS929, 1)</f>
        <v>23.94</v>
      </c>
      <c r="L199" s="90">
        <f>[78]Source!R929-L210</f>
        <v>6.7</v>
      </c>
    </row>
    <row r="200" spans="1:22" ht="14.25" x14ac:dyDescent="0.2">
      <c r="A200" s="84"/>
      <c r="B200" s="84"/>
      <c r="C200" s="85"/>
      <c r="D200" s="85" t="s">
        <v>46</v>
      </c>
      <c r="E200" s="86"/>
      <c r="F200" s="87"/>
      <c r="G200" s="88">
        <f>[78]Source!AL928</f>
        <v>3665.84</v>
      </c>
      <c r="H200" s="89" t="str">
        <f>[78]Source!DD928</f>
        <v/>
      </c>
      <c r="I200" s="87">
        <f>[78]Source!AW929</f>
        <v>1</v>
      </c>
      <c r="J200" s="176">
        <f>[78]Source!P928</f>
        <v>219.95</v>
      </c>
      <c r="K200" s="87">
        <f>IF([78]Source!BC929&lt;&gt; 0, [78]Source!BC929, 1)</f>
        <v>4.1399999999999997</v>
      </c>
      <c r="L200" s="176">
        <f>[78]Source!P929</f>
        <v>910.59</v>
      </c>
    </row>
    <row r="201" spans="1:22" ht="128.25" x14ac:dyDescent="0.2">
      <c r="A201" s="84">
        <v>12</v>
      </c>
      <c r="B201" s="84" t="str">
        <f>[78]Source!E930</f>
        <v>70,1</v>
      </c>
      <c r="C201" s="85" t="str">
        <f>[78]Source!F930</f>
        <v>1.7-2-125</v>
      </c>
      <c r="D201" s="85" t="s">
        <v>226</v>
      </c>
      <c r="E201" s="86" t="str">
        <f>[78]Source!H930</f>
        <v>т</v>
      </c>
      <c r="F201" s="87">
        <f>[78]Source!I930</f>
        <v>8.2799999999999999E-2</v>
      </c>
      <c r="G201" s="88">
        <f>[78]Source!AK930</f>
        <v>49851.77</v>
      </c>
      <c r="H201" s="123" t="s">
        <v>20</v>
      </c>
      <c r="I201" s="87">
        <f>[78]Source!AW931</f>
        <v>1</v>
      </c>
      <c r="J201" s="176">
        <f>[78]Source!O930</f>
        <v>4127.7299999999996</v>
      </c>
      <c r="K201" s="87">
        <f>IF([78]Source!BC931&lt;&gt; 0, [78]Source!BC931, 1)</f>
        <v>1.78</v>
      </c>
      <c r="L201" s="176">
        <f>[78]Source!O931</f>
        <v>7347.36</v>
      </c>
      <c r="Q201" s="47">
        <f>[78]Source!X930</f>
        <v>0</v>
      </c>
      <c r="R201" s="47">
        <f>[78]Source!X931</f>
        <v>0</v>
      </c>
      <c r="S201" s="47">
        <f>[78]Source!Y930</f>
        <v>0</v>
      </c>
      <c r="T201" s="47">
        <f>[78]Source!Y931</f>
        <v>0</v>
      </c>
      <c r="U201" s="47">
        <f>ROUND((175/100)*ROUND([78]Source!R930, 2), 2)</f>
        <v>0</v>
      </c>
      <c r="V201" s="47">
        <f>ROUND((157/100)*ROUND([78]Source!R931, 2), 2)</f>
        <v>0</v>
      </c>
    </row>
    <row r="202" spans="1:22" ht="14.25" x14ac:dyDescent="0.2">
      <c r="A202" s="84"/>
      <c r="B202" s="84"/>
      <c r="C202" s="85"/>
      <c r="D202" s="85" t="s">
        <v>47</v>
      </c>
      <c r="E202" s="86" t="s">
        <v>48</v>
      </c>
      <c r="F202" s="87">
        <f>[78]Source!DN929</f>
        <v>70</v>
      </c>
      <c r="G202" s="88"/>
      <c r="H202" s="89"/>
      <c r="I202" s="87"/>
      <c r="J202" s="176">
        <f>SUM(Q195:Q201)</f>
        <v>104.21</v>
      </c>
      <c r="K202" s="87">
        <f>[78]Source!BZ929</f>
        <v>70</v>
      </c>
      <c r="L202" s="176">
        <f>SUM(R195:R201)</f>
        <v>2007.27</v>
      </c>
    </row>
    <row r="203" spans="1:22" ht="14.25" x14ac:dyDescent="0.2">
      <c r="A203" s="84"/>
      <c r="B203" s="84"/>
      <c r="C203" s="85"/>
      <c r="D203" s="85" t="s">
        <v>49</v>
      </c>
      <c r="E203" s="86" t="s">
        <v>48</v>
      </c>
      <c r="F203" s="87">
        <f>[78]Source!DO929</f>
        <v>50</v>
      </c>
      <c r="G203" s="88"/>
      <c r="H203" s="89"/>
      <c r="I203" s="87"/>
      <c r="J203" s="176">
        <f>SUM(S195:S202)</f>
        <v>125.77</v>
      </c>
      <c r="K203" s="87">
        <f>[78]Source!CA929</f>
        <v>50</v>
      </c>
      <c r="L203" s="176">
        <f>SUM(T195:T202)</f>
        <v>1433.77</v>
      </c>
    </row>
    <row r="204" spans="1:22" ht="14.25" x14ac:dyDescent="0.2">
      <c r="A204" s="84"/>
      <c r="B204" s="84"/>
      <c r="C204" s="85"/>
      <c r="D204" s="85" t="s">
        <v>50</v>
      </c>
      <c r="E204" s="86" t="s">
        <v>48</v>
      </c>
      <c r="F204" s="87">
        <f>175</f>
        <v>175</v>
      </c>
      <c r="G204" s="88"/>
      <c r="H204" s="89"/>
      <c r="I204" s="87"/>
      <c r="J204" s="176">
        <f>SUM(U195:U203)-J211</f>
        <v>0.49</v>
      </c>
      <c r="K204" s="87">
        <f>157</f>
        <v>157</v>
      </c>
      <c r="L204" s="176">
        <f>SUM(V195:V203)-L211</f>
        <v>10.52</v>
      </c>
    </row>
    <row r="205" spans="1:22" ht="14.25" x14ac:dyDescent="0.2">
      <c r="A205" s="183"/>
      <c r="B205" s="183"/>
      <c r="C205" s="184"/>
      <c r="D205" s="184" t="s">
        <v>51</v>
      </c>
      <c r="E205" s="185" t="s">
        <v>52</v>
      </c>
      <c r="F205" s="186">
        <f>[78]Source!AQ928</f>
        <v>93.33</v>
      </c>
      <c r="G205" s="187"/>
      <c r="H205" s="188" t="str">
        <f>[78]Source!DI928</f>
        <v/>
      </c>
      <c r="I205" s="186">
        <f>[78]Source!AV929</f>
        <v>1.087</v>
      </c>
      <c r="J205" s="189">
        <f>[78]Source!U928</f>
        <v>6.09</v>
      </c>
      <c r="K205" s="186"/>
      <c r="L205" s="189"/>
    </row>
    <row r="206" spans="1:22" ht="15" x14ac:dyDescent="0.25">
      <c r="D206" s="194" t="s">
        <v>81</v>
      </c>
      <c r="I206" s="408">
        <f>J197+J198+J200+J202+J203+J204+SUM(J201:J201)</f>
        <v>4700.1000000000004</v>
      </c>
      <c r="J206" s="408"/>
      <c r="K206" s="408">
        <f>L197+L198+L200+L202+L203+L204+SUM(L201:L201)</f>
        <v>14592.45</v>
      </c>
      <c r="L206" s="408"/>
      <c r="O206" s="92">
        <f>J197+J198+J200+J202+J203+J204+SUM(J201:J201)</f>
        <v>4700.1000000000004</v>
      </c>
      <c r="P206" s="92">
        <f>L197+L198+L200+L202+L203+L204+SUM(L201:L201)</f>
        <v>14592.45</v>
      </c>
    </row>
    <row r="208" spans="1:22" ht="52.5" x14ac:dyDescent="0.2">
      <c r="A208" s="84">
        <v>13</v>
      </c>
      <c r="B208" s="84" t="str">
        <f>CONCATENATE([78]Source!E928, "/1")</f>
        <v>70/1</v>
      </c>
      <c r="C208" s="85" t="s">
        <v>227</v>
      </c>
      <c r="D208" s="85" t="s">
        <v>82</v>
      </c>
      <c r="E208" s="86" t="str">
        <f>[78]Source!H928</f>
        <v>10 шт.</v>
      </c>
      <c r="F208" s="87">
        <f>[78]Source!I928</f>
        <v>0.06</v>
      </c>
      <c r="G208" s="88"/>
      <c r="H208" s="89"/>
      <c r="I208" s="87"/>
      <c r="J208" s="176"/>
      <c r="K208" s="87"/>
      <c r="L208" s="176"/>
    </row>
    <row r="209" spans="1:22" ht="14.25" x14ac:dyDescent="0.2">
      <c r="A209" s="84"/>
      <c r="B209" s="84"/>
      <c r="C209" s="85"/>
      <c r="D209" s="85" t="s">
        <v>44</v>
      </c>
      <c r="E209" s="86"/>
      <c r="F209" s="87"/>
      <c r="G209" s="88">
        <f t="shared" ref="G209:L209" si="2">G210</f>
        <v>4.2300000000000004</v>
      </c>
      <c r="H209" s="195" t="str">
        <f t="shared" si="2"/>
        <v>)*(1.67-1)</v>
      </c>
      <c r="I209" s="87">
        <f t="shared" si="2"/>
        <v>1.087</v>
      </c>
      <c r="J209" s="176">
        <f t="shared" si="2"/>
        <v>0.18</v>
      </c>
      <c r="K209" s="87">
        <f t="shared" si="2"/>
        <v>23.94</v>
      </c>
      <c r="L209" s="176">
        <f t="shared" si="2"/>
        <v>4.3099999999999996</v>
      </c>
    </row>
    <row r="210" spans="1:22" ht="14.25" x14ac:dyDescent="0.2">
      <c r="A210" s="84"/>
      <c r="B210" s="84"/>
      <c r="C210" s="85"/>
      <c r="D210" s="85" t="s">
        <v>45</v>
      </c>
      <c r="E210" s="86"/>
      <c r="F210" s="87"/>
      <c r="G210" s="88">
        <f>[78]Source!AN928</f>
        <v>4.2300000000000004</v>
      </c>
      <c r="H210" s="195" t="s">
        <v>53</v>
      </c>
      <c r="I210" s="87">
        <f>[78]Source!AV929</f>
        <v>1.087</v>
      </c>
      <c r="J210" s="90">
        <f>ROUND(F195*G210*I210*(1.67-1), 2)</f>
        <v>0.18</v>
      </c>
      <c r="K210" s="87">
        <f>IF([78]Source!BS929&lt;&gt; 0, [78]Source!BS929, 1)</f>
        <v>23.94</v>
      </c>
      <c r="L210" s="90">
        <f>ROUND(ROUND(F195*G210*I210*(1.67-1), 2)*K210, 2)</f>
        <v>4.3099999999999996</v>
      </c>
    </row>
    <row r="211" spans="1:22" ht="14.25" x14ac:dyDescent="0.2">
      <c r="A211" s="84"/>
      <c r="B211" s="84"/>
      <c r="C211" s="85"/>
      <c r="D211" s="85" t="s">
        <v>50</v>
      </c>
      <c r="E211" s="86" t="s">
        <v>48</v>
      </c>
      <c r="F211" s="87">
        <f>175</f>
        <v>175</v>
      </c>
      <c r="G211" s="88"/>
      <c r="H211" s="89"/>
      <c r="I211" s="87"/>
      <c r="J211" s="176">
        <f>ROUND(J210*(F211/100), 2)</f>
        <v>0.32</v>
      </c>
      <c r="K211" s="87">
        <f>157</f>
        <v>157</v>
      </c>
      <c r="L211" s="176">
        <f>ROUND(L210*(K211/100), 2)</f>
        <v>6.77</v>
      </c>
    </row>
    <row r="212" spans="1:22" ht="15" x14ac:dyDescent="0.25">
      <c r="A212" s="190"/>
      <c r="B212" s="190"/>
      <c r="C212" s="190"/>
      <c r="D212" s="191" t="s">
        <v>81</v>
      </c>
      <c r="E212" s="190"/>
      <c r="F212" s="190"/>
      <c r="G212" s="190"/>
      <c r="H212" s="190"/>
      <c r="I212" s="409">
        <f>J211+J210</f>
        <v>0.5</v>
      </c>
      <c r="J212" s="409"/>
      <c r="K212" s="409">
        <f>L211+L210</f>
        <v>11.08</v>
      </c>
      <c r="L212" s="409"/>
      <c r="O212" s="92">
        <f>I212</f>
        <v>0.5</v>
      </c>
      <c r="P212" s="92">
        <f>K212</f>
        <v>11.08</v>
      </c>
    </row>
    <row r="214" spans="1:22" ht="52.5" x14ac:dyDescent="0.2">
      <c r="A214" s="84">
        <v>14</v>
      </c>
      <c r="B214" s="84" t="str">
        <f>[78]Source!E936</f>
        <v>71</v>
      </c>
      <c r="C214" s="85" t="s">
        <v>228</v>
      </c>
      <c r="D214" s="85" t="s">
        <v>229</v>
      </c>
      <c r="E214" s="86" t="str">
        <f>[78]Source!H936</f>
        <v>10 компл.</v>
      </c>
      <c r="F214" s="87">
        <f>[78]Source!I936</f>
        <v>0.06</v>
      </c>
      <c r="G214" s="88"/>
      <c r="H214" s="89"/>
      <c r="I214" s="87"/>
      <c r="J214" s="176"/>
      <c r="K214" s="87"/>
      <c r="L214" s="176"/>
      <c r="Q214" s="47">
        <f>[78]Source!X936</f>
        <v>7.24</v>
      </c>
      <c r="R214" s="47">
        <f>[78]Source!X937</f>
        <v>125.59</v>
      </c>
      <c r="S214" s="47">
        <f>[78]Source!Y936</f>
        <v>5.07</v>
      </c>
      <c r="T214" s="47">
        <f>[78]Source!Y937</f>
        <v>59.19</v>
      </c>
      <c r="U214" s="47">
        <f>ROUND((175/100)*ROUND([78]Source!R936, 2), 2)</f>
        <v>0.02</v>
      </c>
      <c r="V214" s="47">
        <f>ROUND((157/100)*ROUND([78]Source!R937, 2), 2)</f>
        <v>0.38</v>
      </c>
    </row>
    <row r="215" spans="1:22" ht="12.75" x14ac:dyDescent="0.2">
      <c r="D215" s="203" t="str">
        <f>"Объем: "&amp;[78]Source!I936&amp;"=(0,3*"&amp;"0,2)"</f>
        <v>Объем: 0,06=(0,3*0,2)</v>
      </c>
    </row>
    <row r="216" spans="1:22" ht="14.25" x14ac:dyDescent="0.2">
      <c r="A216" s="84"/>
      <c r="B216" s="84"/>
      <c r="C216" s="85"/>
      <c r="D216" s="85" t="s">
        <v>43</v>
      </c>
      <c r="E216" s="86"/>
      <c r="F216" s="87"/>
      <c r="G216" s="88">
        <f>[78]Source!AO936</f>
        <v>57.51</v>
      </c>
      <c r="H216" s="89" t="str">
        <f>[78]Source!DG936</f>
        <v>)*1,67</v>
      </c>
      <c r="I216" s="87">
        <f>[78]Source!AV937</f>
        <v>1.0469999999999999</v>
      </c>
      <c r="J216" s="176">
        <f>[78]Source!S936</f>
        <v>6.03</v>
      </c>
      <c r="K216" s="87">
        <f>IF([78]Source!BA937&lt;&gt; 0, [78]Source!BA937, 1)</f>
        <v>23.94</v>
      </c>
      <c r="L216" s="176">
        <f>[78]Source!S937</f>
        <v>144.36000000000001</v>
      </c>
    </row>
    <row r="217" spans="1:22" ht="14.25" x14ac:dyDescent="0.2">
      <c r="A217" s="84"/>
      <c r="B217" s="84"/>
      <c r="C217" s="85"/>
      <c r="D217" s="85" t="s">
        <v>44</v>
      </c>
      <c r="E217" s="86"/>
      <c r="F217" s="87"/>
      <c r="G217" s="88">
        <f>[78]Source!AM936</f>
        <v>0.42</v>
      </c>
      <c r="H217" s="89" t="str">
        <f>[78]Source!DE936</f>
        <v/>
      </c>
      <c r="I217" s="87">
        <f>[78]Source!AV937</f>
        <v>1.0469999999999999</v>
      </c>
      <c r="J217" s="176">
        <f>[78]Source!Q936-J228</f>
        <v>0.03</v>
      </c>
      <c r="K217" s="87">
        <f>IF([78]Source!BB937&lt;&gt; 0, [78]Source!BB937, 1)</f>
        <v>10.6</v>
      </c>
      <c r="L217" s="176">
        <f>[78]Source!Q937-L228</f>
        <v>0.32</v>
      </c>
    </row>
    <row r="218" spans="1:22" ht="14.25" x14ac:dyDescent="0.2">
      <c r="A218" s="84"/>
      <c r="B218" s="84"/>
      <c r="C218" s="85"/>
      <c r="D218" s="85" t="s">
        <v>45</v>
      </c>
      <c r="E218" s="86"/>
      <c r="F218" s="87"/>
      <c r="G218" s="88">
        <f>[78]Source!AN936</f>
        <v>0.12</v>
      </c>
      <c r="H218" s="89" t="str">
        <f>[78]Source!DE936</f>
        <v/>
      </c>
      <c r="I218" s="87">
        <f>[78]Source!AV937</f>
        <v>1.0469999999999999</v>
      </c>
      <c r="J218" s="90">
        <f>[78]Source!R936-J229</f>
        <v>0</v>
      </c>
      <c r="K218" s="87">
        <f>IF([78]Source!BS937&lt;&gt; 0, [78]Source!BS937, 1)</f>
        <v>23.94</v>
      </c>
      <c r="L218" s="90">
        <f>[78]Source!R937-L229</f>
        <v>0</v>
      </c>
    </row>
    <row r="219" spans="1:22" ht="14.25" x14ac:dyDescent="0.2">
      <c r="A219" s="84"/>
      <c r="B219" s="84"/>
      <c r="C219" s="85"/>
      <c r="D219" s="85" t="s">
        <v>46</v>
      </c>
      <c r="E219" s="86"/>
      <c r="F219" s="87"/>
      <c r="G219" s="88">
        <f>[78]Source!AL936</f>
        <v>1.61</v>
      </c>
      <c r="H219" s="89" t="str">
        <f>[78]Source!DD936</f>
        <v/>
      </c>
      <c r="I219" s="87">
        <f>[78]Source!AW937</f>
        <v>1</v>
      </c>
      <c r="J219" s="176">
        <f>[78]Source!P936</f>
        <v>0.1</v>
      </c>
      <c r="K219" s="87">
        <f>IF([78]Source!BC937&lt;&gt; 0, [78]Source!BC937, 1)</f>
        <v>31.57</v>
      </c>
      <c r="L219" s="176">
        <f>[78]Source!P937</f>
        <v>3.16</v>
      </c>
    </row>
    <row r="220" spans="1:22" ht="14.25" x14ac:dyDescent="0.2">
      <c r="A220" s="84">
        <v>15</v>
      </c>
      <c r="B220" s="84" t="str">
        <f>[78]Source!E938</f>
        <v>71,1</v>
      </c>
      <c r="C220" s="85" t="str">
        <f>[78]Source!F938</f>
        <v>1.8-1-8</v>
      </c>
      <c r="D220" s="85" t="s">
        <v>230</v>
      </c>
      <c r="E220" s="86" t="str">
        <f>[78]Source!H938</f>
        <v>компл.</v>
      </c>
      <c r="F220" s="87">
        <f>[78]Source!I938</f>
        <v>0.6</v>
      </c>
      <c r="G220" s="88">
        <f>[78]Source!AK938</f>
        <v>72.27</v>
      </c>
      <c r="H220" s="123" t="s">
        <v>20</v>
      </c>
      <c r="I220" s="87">
        <f>[78]Source!AW939</f>
        <v>1</v>
      </c>
      <c r="J220" s="176">
        <f>[78]Source!O938</f>
        <v>43.36</v>
      </c>
      <c r="K220" s="87">
        <f>IF([78]Source!BC939&lt;&gt; 0, [78]Source!BC939, 1)</f>
        <v>4.93</v>
      </c>
      <c r="L220" s="176">
        <f>[78]Source!O939</f>
        <v>213.76</v>
      </c>
      <c r="Q220" s="47">
        <f>[78]Source!X938</f>
        <v>0</v>
      </c>
      <c r="R220" s="47">
        <f>[78]Source!X939</f>
        <v>0</v>
      </c>
      <c r="S220" s="47">
        <f>[78]Source!Y938</f>
        <v>0</v>
      </c>
      <c r="T220" s="47">
        <f>[78]Source!Y939</f>
        <v>0</v>
      </c>
      <c r="U220" s="47">
        <f>ROUND((175/100)*ROUND([78]Source!R938, 2), 2)</f>
        <v>0</v>
      </c>
      <c r="V220" s="47">
        <f>ROUND((157/100)*ROUND([78]Source!R939, 2), 2)</f>
        <v>0</v>
      </c>
    </row>
    <row r="221" spans="1:22" ht="14.25" x14ac:dyDescent="0.2">
      <c r="A221" s="84"/>
      <c r="B221" s="84"/>
      <c r="C221" s="85"/>
      <c r="D221" s="85" t="s">
        <v>47</v>
      </c>
      <c r="E221" s="86" t="s">
        <v>48</v>
      </c>
      <c r="F221" s="87">
        <f>[78]Source!DN937</f>
        <v>87</v>
      </c>
      <c r="G221" s="88"/>
      <c r="H221" s="89"/>
      <c r="I221" s="87"/>
      <c r="J221" s="176">
        <f>SUM(Q214:Q220)</f>
        <v>7.24</v>
      </c>
      <c r="K221" s="87">
        <f>[78]Source!BZ937</f>
        <v>87</v>
      </c>
      <c r="L221" s="176">
        <f>SUM(R214:R220)</f>
        <v>125.59</v>
      </c>
    </row>
    <row r="222" spans="1:22" ht="14.25" x14ac:dyDescent="0.2">
      <c r="A222" s="84"/>
      <c r="B222" s="84"/>
      <c r="C222" s="85"/>
      <c r="D222" s="85" t="s">
        <v>49</v>
      </c>
      <c r="E222" s="86" t="s">
        <v>48</v>
      </c>
      <c r="F222" s="87">
        <f>[78]Source!DO937</f>
        <v>41</v>
      </c>
      <c r="G222" s="88"/>
      <c r="H222" s="89"/>
      <c r="I222" s="87"/>
      <c r="J222" s="176">
        <f>SUM(S214:S221)</f>
        <v>5.07</v>
      </c>
      <c r="K222" s="87">
        <f>[78]Source!CA937</f>
        <v>41</v>
      </c>
      <c r="L222" s="176">
        <f>SUM(T214:T221)</f>
        <v>59.19</v>
      </c>
    </row>
    <row r="223" spans="1:22" ht="14.25" x14ac:dyDescent="0.2">
      <c r="A223" s="84"/>
      <c r="B223" s="84"/>
      <c r="C223" s="85"/>
      <c r="D223" s="85" t="s">
        <v>50</v>
      </c>
      <c r="E223" s="86" t="s">
        <v>48</v>
      </c>
      <c r="F223" s="87">
        <f>175</f>
        <v>175</v>
      </c>
      <c r="G223" s="88"/>
      <c r="H223" s="89"/>
      <c r="I223" s="87"/>
      <c r="J223" s="176">
        <f>SUM(U214:U222)-J230</f>
        <v>0</v>
      </c>
      <c r="K223" s="87">
        <f>157</f>
        <v>157</v>
      </c>
      <c r="L223" s="176">
        <f>SUM(V214:V222)-L230</f>
        <v>0</v>
      </c>
    </row>
    <row r="224" spans="1:22" ht="14.25" x14ac:dyDescent="0.2">
      <c r="A224" s="183"/>
      <c r="B224" s="183"/>
      <c r="C224" s="184"/>
      <c r="D224" s="184" t="s">
        <v>51</v>
      </c>
      <c r="E224" s="185" t="s">
        <v>52</v>
      </c>
      <c r="F224" s="186">
        <f>[78]Source!AQ936</f>
        <v>3.97</v>
      </c>
      <c r="G224" s="187"/>
      <c r="H224" s="188" t="str">
        <f>[78]Source!DI936</f>
        <v/>
      </c>
      <c r="I224" s="186">
        <f>[78]Source!AV937</f>
        <v>1.0469999999999999</v>
      </c>
      <c r="J224" s="189">
        <f>[78]Source!U936</f>
        <v>0.25</v>
      </c>
      <c r="K224" s="186"/>
      <c r="L224" s="189"/>
    </row>
    <row r="225" spans="1:22" ht="15" x14ac:dyDescent="0.25">
      <c r="D225" s="194" t="s">
        <v>81</v>
      </c>
      <c r="I225" s="408">
        <f>J216+J217+J219+J221+J222+J223+SUM(J220:J220)</f>
        <v>61.83</v>
      </c>
      <c r="J225" s="408"/>
      <c r="K225" s="408">
        <f>L216+L217+L219+L221+L222+L223+SUM(L220:L220)</f>
        <v>546.38</v>
      </c>
      <c r="L225" s="408"/>
      <c r="O225" s="92">
        <f>J216+J217+J219+J221+J222+J223+SUM(J220:J220)</f>
        <v>61.83</v>
      </c>
      <c r="P225" s="92">
        <f>L216+L217+L219+L221+L222+L223+SUM(L220:L220)</f>
        <v>546.38</v>
      </c>
    </row>
    <row r="227" spans="1:22" ht="52.5" x14ac:dyDescent="0.2">
      <c r="A227" s="84">
        <v>16</v>
      </c>
      <c r="B227" s="84" t="str">
        <f>CONCATENATE([78]Source!E936, "/1")</f>
        <v>71/1</v>
      </c>
      <c r="C227" s="85" t="s">
        <v>231</v>
      </c>
      <c r="D227" s="85" t="s">
        <v>82</v>
      </c>
      <c r="E227" s="86" t="str">
        <f>[78]Source!H936</f>
        <v>10 компл.</v>
      </c>
      <c r="F227" s="87">
        <f>[78]Source!I936</f>
        <v>0.06</v>
      </c>
      <c r="G227" s="88"/>
      <c r="H227" s="89"/>
      <c r="I227" s="87"/>
      <c r="J227" s="176"/>
      <c r="K227" s="87"/>
      <c r="L227" s="176"/>
    </row>
    <row r="228" spans="1:22" ht="14.25" x14ac:dyDescent="0.2">
      <c r="A228" s="84"/>
      <c r="B228" s="84"/>
      <c r="C228" s="85"/>
      <c r="D228" s="85" t="s">
        <v>44</v>
      </c>
      <c r="E228" s="86"/>
      <c r="F228" s="87"/>
      <c r="G228" s="88">
        <f t="shared" ref="G228:L228" si="3">G229</f>
        <v>0.12</v>
      </c>
      <c r="H228" s="195" t="str">
        <f t="shared" si="3"/>
        <v>)*(1.67-1)</v>
      </c>
      <c r="I228" s="87">
        <f t="shared" si="3"/>
        <v>1.0469999999999999</v>
      </c>
      <c r="J228" s="176">
        <f t="shared" si="3"/>
        <v>0.01</v>
      </c>
      <c r="K228" s="87">
        <f t="shared" si="3"/>
        <v>23.94</v>
      </c>
      <c r="L228" s="176">
        <f t="shared" si="3"/>
        <v>0.24</v>
      </c>
    </row>
    <row r="229" spans="1:22" ht="14.25" x14ac:dyDescent="0.2">
      <c r="A229" s="84"/>
      <c r="B229" s="84"/>
      <c r="C229" s="85"/>
      <c r="D229" s="85" t="s">
        <v>45</v>
      </c>
      <c r="E229" s="86"/>
      <c r="F229" s="87"/>
      <c r="G229" s="88">
        <f>[78]Source!AN936</f>
        <v>0.12</v>
      </c>
      <c r="H229" s="195" t="s">
        <v>53</v>
      </c>
      <c r="I229" s="87">
        <f>[78]Source!AV937</f>
        <v>1.0469999999999999</v>
      </c>
      <c r="J229" s="90">
        <f>ROUND(F214*G229*I229*(1.67-1), 2)</f>
        <v>0.01</v>
      </c>
      <c r="K229" s="87">
        <f>IF([78]Source!BS937&lt;&gt; 0, [78]Source!BS937, 1)</f>
        <v>23.94</v>
      </c>
      <c r="L229" s="90">
        <f>ROUND(ROUND(F214*G229*I229*(1.67-1), 2)*K229, 2)</f>
        <v>0.24</v>
      </c>
    </row>
    <row r="230" spans="1:22" ht="14.25" x14ac:dyDescent="0.2">
      <c r="A230" s="84"/>
      <c r="B230" s="84"/>
      <c r="C230" s="85"/>
      <c r="D230" s="85" t="s">
        <v>50</v>
      </c>
      <c r="E230" s="86" t="s">
        <v>48</v>
      </c>
      <c r="F230" s="87">
        <f>175</f>
        <v>175</v>
      </c>
      <c r="G230" s="88"/>
      <c r="H230" s="89"/>
      <c r="I230" s="87"/>
      <c r="J230" s="176">
        <f>ROUND(J229*(F230/100), 2)</f>
        <v>0.02</v>
      </c>
      <c r="K230" s="87">
        <f>157</f>
        <v>157</v>
      </c>
      <c r="L230" s="176">
        <f>ROUND(L229*(K230/100), 2)</f>
        <v>0.38</v>
      </c>
    </row>
    <row r="231" spans="1:22" ht="15" x14ac:dyDescent="0.25">
      <c r="A231" s="190"/>
      <c r="B231" s="190"/>
      <c r="C231" s="190"/>
      <c r="D231" s="191" t="s">
        <v>81</v>
      </c>
      <c r="E231" s="190"/>
      <c r="F231" s="190"/>
      <c r="G231" s="190"/>
      <c r="H231" s="190"/>
      <c r="I231" s="409">
        <f>J230+J229</f>
        <v>0.03</v>
      </c>
      <c r="J231" s="409"/>
      <c r="K231" s="409">
        <f>L230+L229</f>
        <v>0.62</v>
      </c>
      <c r="L231" s="409"/>
      <c r="O231" s="92">
        <f>I231</f>
        <v>0.03</v>
      </c>
      <c r="P231" s="92">
        <f>K231</f>
        <v>0.62</v>
      </c>
    </row>
    <row r="233" spans="1:22" ht="52.5" x14ac:dyDescent="0.2">
      <c r="A233" s="84">
        <v>17</v>
      </c>
      <c r="B233" s="84" t="str">
        <f>[78]Source!E940</f>
        <v>72</v>
      </c>
      <c r="C233" s="85" t="s">
        <v>232</v>
      </c>
      <c r="D233" s="85" t="s">
        <v>206</v>
      </c>
      <c r="E233" s="86" t="str">
        <f>[78]Source!H940</f>
        <v>1  ШТ.</v>
      </c>
      <c r="F233" s="87">
        <f>[78]Source!I940</f>
        <v>3.2</v>
      </c>
      <c r="G233" s="88"/>
      <c r="H233" s="89"/>
      <c r="I233" s="87"/>
      <c r="J233" s="176"/>
      <c r="K233" s="87"/>
      <c r="L233" s="176"/>
      <c r="Q233" s="47">
        <f>[78]Source!X940</f>
        <v>87.42</v>
      </c>
      <c r="R233" s="47">
        <f>[78]Source!X941</f>
        <v>1694.25</v>
      </c>
      <c r="S233" s="47">
        <f>[78]Source!Y940</f>
        <v>64.11</v>
      </c>
      <c r="T233" s="47">
        <f>[78]Source!Y941</f>
        <v>817.23</v>
      </c>
      <c r="U233" s="47">
        <f>ROUND((175/100)*ROUND([78]Source!R940, 2), 2)</f>
        <v>0.88</v>
      </c>
      <c r="V233" s="47">
        <f>ROUND((157/100)*ROUND([78]Source!R941, 2), 2)</f>
        <v>18.79</v>
      </c>
    </row>
    <row r="234" spans="1:22" ht="12.75" x14ac:dyDescent="0.2">
      <c r="D234" s="203" t="str">
        <f>"Объем: "&amp;[78]Source!I940&amp;"=16*"&amp;"0,2"</f>
        <v>Объем: 3,2=16*0,2</v>
      </c>
    </row>
    <row r="235" spans="1:22" ht="14.25" x14ac:dyDescent="0.2">
      <c r="A235" s="84"/>
      <c r="B235" s="84"/>
      <c r="C235" s="85"/>
      <c r="D235" s="85" t="s">
        <v>43</v>
      </c>
      <c r="E235" s="86"/>
      <c r="F235" s="87"/>
      <c r="G235" s="88">
        <f>[78]Source!AO940</f>
        <v>14.88</v>
      </c>
      <c r="H235" s="89" t="str">
        <f>[78]Source!DG940</f>
        <v>)*1,67</v>
      </c>
      <c r="I235" s="87">
        <f>[78]Source!AV941</f>
        <v>1.0469999999999999</v>
      </c>
      <c r="J235" s="176">
        <f>[78]Source!S940</f>
        <v>83.26</v>
      </c>
      <c r="K235" s="87">
        <f>IF([78]Source!BA941&lt;&gt; 0, [78]Source!BA941, 1)</f>
        <v>23.94</v>
      </c>
      <c r="L235" s="176">
        <f>[78]Source!S941</f>
        <v>1993.24</v>
      </c>
    </row>
    <row r="236" spans="1:22" ht="14.25" x14ac:dyDescent="0.2">
      <c r="A236" s="84"/>
      <c r="B236" s="84"/>
      <c r="C236" s="85"/>
      <c r="D236" s="85" t="s">
        <v>44</v>
      </c>
      <c r="E236" s="86"/>
      <c r="F236" s="87"/>
      <c r="G236" s="88">
        <f>[78]Source!AM940</f>
        <v>1.99</v>
      </c>
      <c r="H236" s="89" t="str">
        <f>[78]Source!DE940</f>
        <v/>
      </c>
      <c r="I236" s="87">
        <f>[78]Source!AV941</f>
        <v>1.0469999999999999</v>
      </c>
      <c r="J236" s="176">
        <f>[78]Source!Q940-J248</f>
        <v>6.67</v>
      </c>
      <c r="K236" s="87">
        <f>IF([78]Source!BB941&lt;&gt; 0, [78]Source!BB941, 1)</f>
        <v>7.25</v>
      </c>
      <c r="L236" s="176">
        <f>[78]Source!Q941-L248</f>
        <v>48.36</v>
      </c>
    </row>
    <row r="237" spans="1:22" ht="14.25" x14ac:dyDescent="0.2">
      <c r="A237" s="84"/>
      <c r="B237" s="84"/>
      <c r="C237" s="85"/>
      <c r="D237" s="85" t="s">
        <v>45</v>
      </c>
      <c r="E237" s="86"/>
      <c r="F237" s="87"/>
      <c r="G237" s="88">
        <f>[78]Source!AN940</f>
        <v>0.09</v>
      </c>
      <c r="H237" s="89" t="str">
        <f>[78]Source!DE940</f>
        <v/>
      </c>
      <c r="I237" s="87">
        <f>[78]Source!AV941</f>
        <v>1.0469999999999999</v>
      </c>
      <c r="J237" s="90">
        <f>[78]Source!R940-J249</f>
        <v>0.3</v>
      </c>
      <c r="K237" s="87">
        <f>IF([78]Source!BS941&lt;&gt; 0, [78]Source!BS941, 1)</f>
        <v>23.94</v>
      </c>
      <c r="L237" s="90">
        <f>[78]Source!R941-L249</f>
        <v>7.18</v>
      </c>
    </row>
    <row r="238" spans="1:22" ht="14.25" x14ac:dyDescent="0.2">
      <c r="A238" s="84"/>
      <c r="B238" s="84"/>
      <c r="C238" s="85"/>
      <c r="D238" s="85" t="s">
        <v>46</v>
      </c>
      <c r="E238" s="86"/>
      <c r="F238" s="87"/>
      <c r="G238" s="88">
        <f>[78]Source!AL940</f>
        <v>0.41</v>
      </c>
      <c r="H238" s="89" t="str">
        <f>[78]Source!DD940</f>
        <v/>
      </c>
      <c r="I238" s="87">
        <f>[78]Source!AW941</f>
        <v>1</v>
      </c>
      <c r="J238" s="176">
        <f>[78]Source!P940</f>
        <v>1.31</v>
      </c>
      <c r="K238" s="87">
        <f>IF([78]Source!BC941&lt;&gt; 0, [78]Source!BC941, 1)</f>
        <v>4.71</v>
      </c>
      <c r="L238" s="176">
        <f>[78]Source!P941</f>
        <v>6.17</v>
      </c>
    </row>
    <row r="239" spans="1:22" ht="28.5" x14ac:dyDescent="0.2">
      <c r="A239" s="84">
        <v>18</v>
      </c>
      <c r="B239" s="84" t="str">
        <f>[78]Source!E942</f>
        <v>72,1</v>
      </c>
      <c r="C239" s="85" t="str">
        <f>[78]Source!F942</f>
        <v>1.8-1-74</v>
      </c>
      <c r="D239" s="85" t="s">
        <v>207</v>
      </c>
      <c r="E239" s="86" t="str">
        <f>[78]Source!H942</f>
        <v>шт.</v>
      </c>
      <c r="F239" s="87">
        <f>[78]Source!I942</f>
        <v>2.6</v>
      </c>
      <c r="G239" s="88">
        <f>[78]Source!AK942</f>
        <v>269.44</v>
      </c>
      <c r="H239" s="123" t="s">
        <v>20</v>
      </c>
      <c r="I239" s="87">
        <f>[78]Source!AW943</f>
        <v>1</v>
      </c>
      <c r="J239" s="176">
        <f>[78]Source!O942</f>
        <v>700.54</v>
      </c>
      <c r="K239" s="87">
        <f>IF([78]Source!BC943&lt;&gt; 0, [78]Source!BC943, 1)</f>
        <v>3.46</v>
      </c>
      <c r="L239" s="176">
        <f>[78]Source!O943</f>
        <v>2423.87</v>
      </c>
      <c r="Q239" s="47">
        <f>[78]Source!X942</f>
        <v>0</v>
      </c>
      <c r="R239" s="47">
        <f>[78]Source!X943</f>
        <v>0</v>
      </c>
      <c r="S239" s="47">
        <f>[78]Source!Y942</f>
        <v>0</v>
      </c>
      <c r="T239" s="47">
        <f>[78]Source!Y943</f>
        <v>0</v>
      </c>
      <c r="U239" s="47">
        <f>ROUND((175/100)*ROUND([78]Source!R942, 2), 2)</f>
        <v>0</v>
      </c>
      <c r="V239" s="47">
        <f>ROUND((157/100)*ROUND([78]Source!R943, 2), 2)</f>
        <v>0</v>
      </c>
    </row>
    <row r="240" spans="1:22" ht="28.5" x14ac:dyDescent="0.2">
      <c r="A240" s="84">
        <v>19</v>
      </c>
      <c r="B240" s="84" t="str">
        <f>[78]Source!E944</f>
        <v>72,2</v>
      </c>
      <c r="C240" s="85" t="str">
        <f>[78]Source!F944</f>
        <v>1.8-1-75</v>
      </c>
      <c r="D240" s="85" t="s">
        <v>233</v>
      </c>
      <c r="E240" s="86" t="str">
        <f>[78]Source!H944</f>
        <v>шт.</v>
      </c>
      <c r="F240" s="87">
        <f>[78]Source!I944</f>
        <v>0.6</v>
      </c>
      <c r="G240" s="88">
        <f>[78]Source!AK944</f>
        <v>272.64999999999998</v>
      </c>
      <c r="H240" s="123" t="s">
        <v>20</v>
      </c>
      <c r="I240" s="87">
        <f>[78]Source!AW945</f>
        <v>1</v>
      </c>
      <c r="J240" s="176">
        <f>[78]Source!O944</f>
        <v>163.59</v>
      </c>
      <c r="K240" s="87">
        <f>IF([78]Source!BC945&lt;&gt; 0, [78]Source!BC945, 1)</f>
        <v>4.3</v>
      </c>
      <c r="L240" s="176">
        <f>[78]Source!O945</f>
        <v>703.44</v>
      </c>
      <c r="Q240" s="47">
        <f>[78]Source!X944</f>
        <v>0</v>
      </c>
      <c r="R240" s="47">
        <f>[78]Source!X945</f>
        <v>0</v>
      </c>
      <c r="S240" s="47">
        <f>[78]Source!Y944</f>
        <v>0</v>
      </c>
      <c r="T240" s="47">
        <f>[78]Source!Y945</f>
        <v>0</v>
      </c>
      <c r="U240" s="47">
        <f>ROUND((175/100)*ROUND([78]Source!R944, 2), 2)</f>
        <v>0</v>
      </c>
      <c r="V240" s="47">
        <f>ROUND((157/100)*ROUND([78]Source!R945, 2), 2)</f>
        <v>0</v>
      </c>
    </row>
    <row r="241" spans="1:16" ht="14.25" x14ac:dyDescent="0.2">
      <c r="A241" s="84"/>
      <c r="B241" s="84"/>
      <c r="C241" s="85"/>
      <c r="D241" s="85" t="s">
        <v>47</v>
      </c>
      <c r="E241" s="86" t="s">
        <v>48</v>
      </c>
      <c r="F241" s="87">
        <f>[78]Source!DN941</f>
        <v>85</v>
      </c>
      <c r="G241" s="88"/>
      <c r="H241" s="89"/>
      <c r="I241" s="87"/>
      <c r="J241" s="176">
        <f>SUM(Q233:Q240)</f>
        <v>87.42</v>
      </c>
      <c r="K241" s="87">
        <f>[78]Source!BZ941</f>
        <v>85</v>
      </c>
      <c r="L241" s="176">
        <f>SUM(R233:R240)</f>
        <v>1694.25</v>
      </c>
    </row>
    <row r="242" spans="1:16" ht="14.25" x14ac:dyDescent="0.2">
      <c r="A242" s="84"/>
      <c r="B242" s="84"/>
      <c r="C242" s="85"/>
      <c r="D242" s="85" t="s">
        <v>49</v>
      </c>
      <c r="E242" s="86" t="s">
        <v>48</v>
      </c>
      <c r="F242" s="87">
        <f>[78]Source!DO941</f>
        <v>41</v>
      </c>
      <c r="G242" s="88"/>
      <c r="H242" s="89"/>
      <c r="I242" s="87"/>
      <c r="J242" s="176">
        <f>SUM(S233:S241)</f>
        <v>64.11</v>
      </c>
      <c r="K242" s="87">
        <f>[78]Source!CA941</f>
        <v>41</v>
      </c>
      <c r="L242" s="176">
        <f>SUM(T233:T241)</f>
        <v>817.23</v>
      </c>
    </row>
    <row r="243" spans="1:16" ht="14.25" x14ac:dyDescent="0.2">
      <c r="A243" s="84"/>
      <c r="B243" s="84"/>
      <c r="C243" s="85"/>
      <c r="D243" s="85" t="s">
        <v>50</v>
      </c>
      <c r="E243" s="86" t="s">
        <v>48</v>
      </c>
      <c r="F243" s="87">
        <f>175</f>
        <v>175</v>
      </c>
      <c r="G243" s="88"/>
      <c r="H243" s="89"/>
      <c r="I243" s="87"/>
      <c r="J243" s="176">
        <f>SUM(U233:U242)-J250</f>
        <v>0.53</v>
      </c>
      <c r="K243" s="87">
        <f>157</f>
        <v>157</v>
      </c>
      <c r="L243" s="176">
        <f>SUM(V233:V242)-L250</f>
        <v>11.27</v>
      </c>
    </row>
    <row r="244" spans="1:16" ht="14.25" x14ac:dyDescent="0.2">
      <c r="A244" s="183"/>
      <c r="B244" s="183"/>
      <c r="C244" s="184"/>
      <c r="D244" s="184" t="s">
        <v>51</v>
      </c>
      <c r="E244" s="185" t="s">
        <v>52</v>
      </c>
      <c r="F244" s="186">
        <f>[78]Source!AQ940</f>
        <v>1.1100000000000001</v>
      </c>
      <c r="G244" s="187"/>
      <c r="H244" s="188" t="str">
        <f>[78]Source!DI940</f>
        <v/>
      </c>
      <c r="I244" s="186">
        <f>[78]Source!AV941</f>
        <v>1.0469999999999999</v>
      </c>
      <c r="J244" s="189">
        <f>[78]Source!U940</f>
        <v>3.72</v>
      </c>
      <c r="K244" s="186"/>
      <c r="L244" s="189"/>
    </row>
    <row r="245" spans="1:16" ht="15" x14ac:dyDescent="0.25">
      <c r="D245" s="194" t="s">
        <v>81</v>
      </c>
      <c r="I245" s="408">
        <f>J235+J236+J238+J241+J242+J243+SUM(J239:J240)</f>
        <v>1107.43</v>
      </c>
      <c r="J245" s="408"/>
      <c r="K245" s="408">
        <f>L235+L236+L238+L241+L242+L243+SUM(L239:L240)</f>
        <v>7697.83</v>
      </c>
      <c r="L245" s="408"/>
      <c r="O245" s="92">
        <f>J235+J236+J238+J241+J242+J243+SUM(J239:J240)</f>
        <v>1107.43</v>
      </c>
      <c r="P245" s="92">
        <f>L235+L236+L238+L241+L242+L243+SUM(L239:L240)</f>
        <v>7697.83</v>
      </c>
    </row>
    <row r="247" spans="1:16" ht="52.5" x14ac:dyDescent="0.2">
      <c r="A247" s="84">
        <v>20</v>
      </c>
      <c r="B247" s="84" t="str">
        <f>CONCATENATE([78]Source!E940, "/1")</f>
        <v>72/1</v>
      </c>
      <c r="C247" s="85" t="s">
        <v>234</v>
      </c>
      <c r="D247" s="85" t="s">
        <v>82</v>
      </c>
      <c r="E247" s="86" t="str">
        <f>[78]Source!H940</f>
        <v>1  ШТ.</v>
      </c>
      <c r="F247" s="87">
        <f>[78]Source!I940</f>
        <v>3.2</v>
      </c>
      <c r="G247" s="88"/>
      <c r="H247" s="89"/>
      <c r="I247" s="87"/>
      <c r="J247" s="176"/>
      <c r="K247" s="87"/>
      <c r="L247" s="176"/>
    </row>
    <row r="248" spans="1:16" ht="14.25" x14ac:dyDescent="0.2">
      <c r="A248" s="84"/>
      <c r="B248" s="84"/>
      <c r="C248" s="85"/>
      <c r="D248" s="85" t="s">
        <v>44</v>
      </c>
      <c r="E248" s="86"/>
      <c r="F248" s="87"/>
      <c r="G248" s="88">
        <f t="shared" ref="G248:L248" si="4">G249</f>
        <v>0.09</v>
      </c>
      <c r="H248" s="195" t="str">
        <f t="shared" si="4"/>
        <v>)*(1.67-1)</v>
      </c>
      <c r="I248" s="87">
        <f t="shared" si="4"/>
        <v>1.0469999999999999</v>
      </c>
      <c r="J248" s="176">
        <f t="shared" si="4"/>
        <v>0.2</v>
      </c>
      <c r="K248" s="87">
        <f t="shared" si="4"/>
        <v>23.94</v>
      </c>
      <c r="L248" s="176">
        <f t="shared" si="4"/>
        <v>4.79</v>
      </c>
    </row>
    <row r="249" spans="1:16" ht="14.25" x14ac:dyDescent="0.2">
      <c r="A249" s="84"/>
      <c r="B249" s="84"/>
      <c r="C249" s="85"/>
      <c r="D249" s="85" t="s">
        <v>45</v>
      </c>
      <c r="E249" s="86"/>
      <c r="F249" s="87"/>
      <c r="G249" s="88">
        <f>[78]Source!AN940</f>
        <v>0.09</v>
      </c>
      <c r="H249" s="195" t="s">
        <v>53</v>
      </c>
      <c r="I249" s="87">
        <f>[78]Source!AV941</f>
        <v>1.0469999999999999</v>
      </c>
      <c r="J249" s="90">
        <f>ROUND(F233*G249*I249*(1.67-1), 2)</f>
        <v>0.2</v>
      </c>
      <c r="K249" s="87">
        <f>IF([78]Source!BS941&lt;&gt; 0, [78]Source!BS941, 1)</f>
        <v>23.94</v>
      </c>
      <c r="L249" s="90">
        <f>ROUND(ROUND(F233*G249*I249*(1.67-1), 2)*K249, 2)</f>
        <v>4.79</v>
      </c>
    </row>
    <row r="250" spans="1:16" ht="14.25" x14ac:dyDescent="0.2">
      <c r="A250" s="84"/>
      <c r="B250" s="84"/>
      <c r="C250" s="85"/>
      <c r="D250" s="85" t="s">
        <v>50</v>
      </c>
      <c r="E250" s="86" t="s">
        <v>48</v>
      </c>
      <c r="F250" s="87">
        <f>175</f>
        <v>175</v>
      </c>
      <c r="G250" s="88"/>
      <c r="H250" s="89"/>
      <c r="I250" s="87"/>
      <c r="J250" s="176">
        <f>ROUND(J249*(F250/100), 2)</f>
        <v>0.35</v>
      </c>
      <c r="K250" s="87">
        <f>157</f>
        <v>157</v>
      </c>
      <c r="L250" s="176">
        <f>ROUND(L249*(K250/100), 2)</f>
        <v>7.52</v>
      </c>
    </row>
    <row r="251" spans="1:16" ht="15" x14ac:dyDescent="0.25">
      <c r="A251" s="190"/>
      <c r="B251" s="190"/>
      <c r="C251" s="190"/>
      <c r="D251" s="191" t="s">
        <v>81</v>
      </c>
      <c r="E251" s="190"/>
      <c r="F251" s="190"/>
      <c r="G251" s="190"/>
      <c r="H251" s="190"/>
      <c r="I251" s="409">
        <f>J250+J249</f>
        <v>0.55000000000000004</v>
      </c>
      <c r="J251" s="409"/>
      <c r="K251" s="409">
        <f>L250+L249</f>
        <v>12.31</v>
      </c>
      <c r="L251" s="409"/>
      <c r="O251" s="92">
        <f>I251</f>
        <v>0.55000000000000004</v>
      </c>
      <c r="P251" s="92">
        <f>K251</f>
        <v>12.31</v>
      </c>
    </row>
    <row r="254" spans="1:16" ht="15" x14ac:dyDescent="0.25">
      <c r="A254" s="403" t="str">
        <f>CONCATENATE("Итого по разделу: ",IF([78]Source!G947&lt;&gt;"Новый раздел", [78]Source!G947, ""))</f>
        <v>Итого по разделу: Двери</v>
      </c>
      <c r="B254" s="403"/>
      <c r="C254" s="403"/>
      <c r="D254" s="403"/>
      <c r="E254" s="403"/>
      <c r="F254" s="403"/>
      <c r="G254" s="403"/>
      <c r="H254" s="403"/>
      <c r="I254" s="404">
        <f>SUM(O173:O253)</f>
        <v>24539.200000000001</v>
      </c>
      <c r="J254" s="405"/>
      <c r="K254" s="404">
        <f>SUM(P173:P253)</f>
        <v>74398.820000000007</v>
      </c>
      <c r="L254" s="405"/>
    </row>
    <row r="255" spans="1:16" hidden="1" x14ac:dyDescent="0.2">
      <c r="A255" s="47" t="s">
        <v>54</v>
      </c>
      <c r="J255" s="47">
        <f>SUM(W173:W254)</f>
        <v>0</v>
      </c>
      <c r="K255" s="47">
        <f>SUM(X173:X254)</f>
        <v>0</v>
      </c>
    </row>
    <row r="256" spans="1:16" hidden="1" x14ac:dyDescent="0.2">
      <c r="A256" s="47" t="s">
        <v>55</v>
      </c>
      <c r="J256" s="47">
        <f>SUM(Y173:Y255)</f>
        <v>0</v>
      </c>
      <c r="K256" s="47">
        <f>SUM(Z173:Z255)</f>
        <v>0</v>
      </c>
    </row>
    <row r="258" spans="1:22" ht="16.5" x14ac:dyDescent="0.25">
      <c r="A258" s="402" t="str">
        <f>CONCATENATE("Раздел: ",IF([78]Source!G977&lt;&gt;"Новый раздел", [78]Source!G977, ""))</f>
        <v>Раздел: Перемычки</v>
      </c>
      <c r="B258" s="402"/>
      <c r="C258" s="402"/>
      <c r="D258" s="402"/>
      <c r="E258" s="402"/>
      <c r="F258" s="402"/>
      <c r="G258" s="402"/>
      <c r="H258" s="402"/>
      <c r="I258" s="402"/>
      <c r="J258" s="402"/>
      <c r="K258" s="402"/>
      <c r="L258" s="402"/>
    </row>
    <row r="259" spans="1:22" ht="57" x14ac:dyDescent="0.2">
      <c r="A259" s="84">
        <v>21</v>
      </c>
      <c r="B259" s="84" t="str">
        <f>[78]Source!E981</f>
        <v>73</v>
      </c>
      <c r="C259" s="85" t="s">
        <v>235</v>
      </c>
      <c r="D259" s="85" t="s">
        <v>236</v>
      </c>
      <c r="E259" s="86" t="str">
        <f>[78]Source!H981</f>
        <v>100 шт. сборных конструкций</v>
      </c>
      <c r="F259" s="87">
        <f>[78]Source!I981</f>
        <v>8.0000000000000002E-3</v>
      </c>
      <c r="G259" s="88"/>
      <c r="H259" s="89"/>
      <c r="I259" s="87"/>
      <c r="J259" s="176"/>
      <c r="K259" s="87"/>
      <c r="L259" s="176"/>
      <c r="Q259" s="47">
        <f>[78]Source!X981</f>
        <v>3.93</v>
      </c>
      <c r="R259" s="47">
        <f>[78]Source!X982</f>
        <v>73.319999999999993</v>
      </c>
      <c r="S259" s="47">
        <f>[78]Source!Y981</f>
        <v>2.94</v>
      </c>
      <c r="T259" s="47">
        <f>[78]Source!Y982</f>
        <v>33.11</v>
      </c>
      <c r="U259" s="47">
        <f>ROUND((175/100)*ROUND([78]Source!R981, 2), 2)</f>
        <v>0</v>
      </c>
      <c r="V259" s="47">
        <f>ROUND((157/100)*ROUND([78]Source!R982, 2), 2)</f>
        <v>0</v>
      </c>
    </row>
    <row r="260" spans="1:22" ht="12.75" x14ac:dyDescent="0.2">
      <c r="D260" s="203" t="str">
        <f>"Объем: "&amp;[78]Source!I981&amp;"=(0,04*"&amp;"0,2)"</f>
        <v>Объем: 0,008=(0,04*0,2)</v>
      </c>
    </row>
    <row r="261" spans="1:22" ht="14.25" x14ac:dyDescent="0.2">
      <c r="A261" s="84"/>
      <c r="B261" s="84"/>
      <c r="C261" s="85"/>
      <c r="D261" s="85" t="s">
        <v>43</v>
      </c>
      <c r="E261" s="86"/>
      <c r="F261" s="87"/>
      <c r="G261" s="88">
        <f>[78]Source!AO981</f>
        <v>169.76</v>
      </c>
      <c r="H261" s="89" t="str">
        <f>[78]Source!DG981</f>
        <v>)*1,67</v>
      </c>
      <c r="I261" s="87">
        <f>[78]Source!AV982</f>
        <v>1.087</v>
      </c>
      <c r="J261" s="176">
        <f>[78]Source!S981</f>
        <v>2.4700000000000002</v>
      </c>
      <c r="K261" s="87">
        <f>IF([78]Source!BA982&lt;&gt; 0, [78]Source!BA982, 1)</f>
        <v>23.94</v>
      </c>
      <c r="L261" s="176">
        <f>[78]Source!S982</f>
        <v>59.13</v>
      </c>
    </row>
    <row r="262" spans="1:22" ht="14.25" x14ac:dyDescent="0.2">
      <c r="A262" s="84"/>
      <c r="B262" s="84"/>
      <c r="C262" s="85"/>
      <c r="D262" s="85" t="s">
        <v>46</v>
      </c>
      <c r="E262" s="86"/>
      <c r="F262" s="87"/>
      <c r="G262" s="88">
        <f>[78]Source!AL981</f>
        <v>112.78</v>
      </c>
      <c r="H262" s="89" t="str">
        <f>[78]Source!DD981</f>
        <v/>
      </c>
      <c r="I262" s="87">
        <f>[78]Source!AW982</f>
        <v>1.0029999999999999</v>
      </c>
      <c r="J262" s="176">
        <f>[78]Source!P981</f>
        <v>0.9</v>
      </c>
      <c r="K262" s="87">
        <f>IF([78]Source!BC982&lt;&gt; 0, [78]Source!BC982, 1)</f>
        <v>7.19</v>
      </c>
      <c r="L262" s="176">
        <f>[78]Source!P982</f>
        <v>6.47</v>
      </c>
    </row>
    <row r="263" spans="1:22" ht="28.5" x14ac:dyDescent="0.2">
      <c r="A263" s="84">
        <v>22</v>
      </c>
      <c r="B263" s="84" t="str">
        <f>[78]Source!E983</f>
        <v>73,1</v>
      </c>
      <c r="C263" s="85" t="str">
        <f>[78]Source!F983</f>
        <v>1.5-1-169</v>
      </c>
      <c r="D263" s="85" t="s">
        <v>237</v>
      </c>
      <c r="E263" s="86" t="str">
        <f>[78]Source!H983</f>
        <v>м3</v>
      </c>
      <c r="F263" s="87">
        <f>[78]Source!I983</f>
        <v>4.4000000000000003E-3</v>
      </c>
      <c r="G263" s="88">
        <f>[78]Source!AK983</f>
        <v>1283.54</v>
      </c>
      <c r="H263" s="123" t="s">
        <v>20</v>
      </c>
      <c r="I263" s="87">
        <f>[78]Source!AW984</f>
        <v>1.0029999999999999</v>
      </c>
      <c r="J263" s="176">
        <f>[78]Source!O983</f>
        <v>5.66</v>
      </c>
      <c r="K263" s="87">
        <f>IF([78]Source!BC984&lt;&gt; 0, [78]Source!BC984, 1)</f>
        <v>11.92</v>
      </c>
      <c r="L263" s="176">
        <f>[78]Source!O984</f>
        <v>67.47</v>
      </c>
      <c r="Q263" s="47">
        <f>[78]Source!X983</f>
        <v>0</v>
      </c>
      <c r="R263" s="47">
        <f>[78]Source!X984</f>
        <v>0</v>
      </c>
      <c r="S263" s="47">
        <f>[78]Source!Y983</f>
        <v>0</v>
      </c>
      <c r="T263" s="47">
        <f>[78]Source!Y984</f>
        <v>0</v>
      </c>
      <c r="U263" s="47">
        <f>ROUND((175/100)*ROUND([78]Source!R983, 2), 2)</f>
        <v>0</v>
      </c>
      <c r="V263" s="47">
        <f>ROUND((157/100)*ROUND([78]Source!R984, 2), 2)</f>
        <v>0</v>
      </c>
    </row>
    <row r="264" spans="1:22" ht="28.5" x14ac:dyDescent="0.2">
      <c r="A264" s="84">
        <v>23</v>
      </c>
      <c r="B264" s="84" t="str">
        <f>[78]Source!E987</f>
        <v>73,3</v>
      </c>
      <c r="C264" s="85" t="str">
        <f>[78]Source!F987</f>
        <v>1.5-1-169</v>
      </c>
      <c r="D264" s="85" t="s">
        <v>237</v>
      </c>
      <c r="E264" s="86" t="str">
        <f>[78]Source!H987</f>
        <v>м3</v>
      </c>
      <c r="F264" s="87">
        <f>[78]Source!I987</f>
        <v>1.04E-2</v>
      </c>
      <c r="G264" s="88">
        <f>[78]Source!AK987</f>
        <v>1283.54</v>
      </c>
      <c r="H264" s="123" t="s">
        <v>20</v>
      </c>
      <c r="I264" s="87">
        <f>[78]Source!AW988</f>
        <v>1.0029999999999999</v>
      </c>
      <c r="J264" s="176">
        <f>[78]Source!O987</f>
        <v>13.39</v>
      </c>
      <c r="K264" s="87">
        <f>IF([78]Source!BC988&lt;&gt; 0, [78]Source!BC988, 1)</f>
        <v>11.92</v>
      </c>
      <c r="L264" s="176">
        <f>[78]Source!O988</f>
        <v>159.61000000000001</v>
      </c>
      <c r="Q264" s="47">
        <f>[78]Source!X987</f>
        <v>0</v>
      </c>
      <c r="R264" s="47">
        <f>[78]Source!X988</f>
        <v>0</v>
      </c>
      <c r="S264" s="47">
        <f>[78]Source!Y987</f>
        <v>0</v>
      </c>
      <c r="T264" s="47">
        <f>[78]Source!Y988</f>
        <v>0</v>
      </c>
      <c r="U264" s="47">
        <f>ROUND((175/100)*ROUND([78]Source!R987, 2), 2)</f>
        <v>0</v>
      </c>
      <c r="V264" s="47">
        <f>ROUND((157/100)*ROUND([78]Source!R988, 2), 2)</f>
        <v>0</v>
      </c>
    </row>
    <row r="265" spans="1:22" ht="28.5" x14ac:dyDescent="0.2">
      <c r="A265" s="84">
        <v>24</v>
      </c>
      <c r="B265" s="84" t="str">
        <f>[78]Source!E989</f>
        <v>73,4</v>
      </c>
      <c r="C265" s="85" t="str">
        <f>[78]Source!F989</f>
        <v>1.5-1-169</v>
      </c>
      <c r="D265" s="85" t="s">
        <v>237</v>
      </c>
      <c r="E265" s="86" t="str">
        <f>[78]Source!H989</f>
        <v>м3</v>
      </c>
      <c r="F265" s="87">
        <f>[78]Source!I989</f>
        <v>6.6E-3</v>
      </c>
      <c r="G265" s="88">
        <f>[78]Source!AK989</f>
        <v>1283.54</v>
      </c>
      <c r="H265" s="123" t="s">
        <v>20</v>
      </c>
      <c r="I265" s="87">
        <f>[78]Source!AW990</f>
        <v>1.0029999999999999</v>
      </c>
      <c r="J265" s="176">
        <f>[78]Source!O989</f>
        <v>8.5</v>
      </c>
      <c r="K265" s="87">
        <f>IF([78]Source!BC990&lt;&gt; 0, [78]Source!BC990, 1)</f>
        <v>11.92</v>
      </c>
      <c r="L265" s="176">
        <f>[78]Source!O990</f>
        <v>101.32</v>
      </c>
      <c r="Q265" s="47">
        <f>[78]Source!X989</f>
        <v>0</v>
      </c>
      <c r="R265" s="47">
        <f>[78]Source!X990</f>
        <v>0</v>
      </c>
      <c r="S265" s="47">
        <f>[78]Source!Y989</f>
        <v>0</v>
      </c>
      <c r="T265" s="47">
        <f>[78]Source!Y990</f>
        <v>0</v>
      </c>
      <c r="U265" s="47">
        <f>ROUND((175/100)*ROUND([78]Source!R989, 2), 2)</f>
        <v>0</v>
      </c>
      <c r="V265" s="47">
        <f>ROUND((157/100)*ROUND([78]Source!R990, 2), 2)</f>
        <v>0</v>
      </c>
    </row>
    <row r="266" spans="1:22" ht="14.25" x14ac:dyDescent="0.2">
      <c r="A266" s="84"/>
      <c r="B266" s="84"/>
      <c r="C266" s="85"/>
      <c r="D266" s="85" t="s">
        <v>47</v>
      </c>
      <c r="E266" s="86" t="s">
        <v>48</v>
      </c>
      <c r="F266" s="87">
        <f>[78]Source!DN982</f>
        <v>124</v>
      </c>
      <c r="G266" s="88"/>
      <c r="H266" s="89"/>
      <c r="I266" s="87"/>
      <c r="J266" s="176">
        <f>SUM(Q259:Q265)</f>
        <v>3.93</v>
      </c>
      <c r="K266" s="87">
        <f>[78]Source!BZ982</f>
        <v>124</v>
      </c>
      <c r="L266" s="176">
        <f>SUM(R259:R265)</f>
        <v>73.319999999999993</v>
      </c>
    </row>
    <row r="267" spans="1:22" ht="14.25" x14ac:dyDescent="0.2">
      <c r="A267" s="84"/>
      <c r="B267" s="84"/>
      <c r="C267" s="85"/>
      <c r="D267" s="85" t="s">
        <v>49</v>
      </c>
      <c r="E267" s="86" t="s">
        <v>48</v>
      </c>
      <c r="F267" s="87">
        <f>[78]Source!DO982</f>
        <v>56</v>
      </c>
      <c r="G267" s="88"/>
      <c r="H267" s="89"/>
      <c r="I267" s="87"/>
      <c r="J267" s="176">
        <f>SUM(S259:S266)</f>
        <v>2.94</v>
      </c>
      <c r="K267" s="87">
        <f>[78]Source!CA982</f>
        <v>56</v>
      </c>
      <c r="L267" s="176">
        <f>SUM(T259:T266)</f>
        <v>33.11</v>
      </c>
    </row>
    <row r="268" spans="1:22" ht="14.25" x14ac:dyDescent="0.2">
      <c r="A268" s="183"/>
      <c r="B268" s="183"/>
      <c r="C268" s="184"/>
      <c r="D268" s="184" t="s">
        <v>51</v>
      </c>
      <c r="E268" s="185" t="s">
        <v>52</v>
      </c>
      <c r="F268" s="186">
        <f>[78]Source!AQ981</f>
        <v>14.8</v>
      </c>
      <c r="G268" s="187"/>
      <c r="H268" s="188" t="str">
        <f>[78]Source!DI981</f>
        <v/>
      </c>
      <c r="I268" s="186">
        <f>[78]Source!AV982</f>
        <v>1.087</v>
      </c>
      <c r="J268" s="189">
        <f>[78]Source!U981</f>
        <v>0.13</v>
      </c>
      <c r="K268" s="186"/>
      <c r="L268" s="189"/>
    </row>
    <row r="269" spans="1:22" ht="15" x14ac:dyDescent="0.25">
      <c r="A269" s="190"/>
      <c r="B269" s="190"/>
      <c r="C269" s="190"/>
      <c r="D269" s="191" t="s">
        <v>81</v>
      </c>
      <c r="E269" s="190"/>
      <c r="F269" s="190"/>
      <c r="G269" s="190"/>
      <c r="H269" s="190"/>
      <c r="I269" s="409">
        <f>J261+J262+J266+J267+SUM(J263:J265)</f>
        <v>37.79</v>
      </c>
      <c r="J269" s="409"/>
      <c r="K269" s="409">
        <f>L261+L262+L266+L267+SUM(L263:L265)</f>
        <v>500.43</v>
      </c>
      <c r="L269" s="409"/>
      <c r="O269" s="92">
        <f>J261+J262+J266+J267+SUM(J263:J265)</f>
        <v>37.79</v>
      </c>
      <c r="P269" s="92">
        <f>L261+L262+L266+L267+SUM(L263:L265)</f>
        <v>500.43</v>
      </c>
    </row>
    <row r="272" spans="1:22" ht="15" x14ac:dyDescent="0.25">
      <c r="A272" s="403" t="str">
        <f>CONCATENATE("Итого по разделу: ",IF([78]Source!G998&lt;&gt;"Новый раздел", [78]Source!G998, ""))</f>
        <v>Итого по разделу: Перемычки</v>
      </c>
      <c r="B272" s="403"/>
      <c r="C272" s="403"/>
      <c r="D272" s="403"/>
      <c r="E272" s="403"/>
      <c r="F272" s="403"/>
      <c r="G272" s="403"/>
      <c r="H272" s="403"/>
      <c r="I272" s="404">
        <f>SUM(O258:O271)</f>
        <v>37.79</v>
      </c>
      <c r="J272" s="405"/>
      <c r="K272" s="404">
        <f>SUM(P258:P271)</f>
        <v>500.43</v>
      </c>
      <c r="L272" s="405"/>
    </row>
    <row r="273" spans="1:32" hidden="1" x14ac:dyDescent="0.2">
      <c r="A273" s="47" t="s">
        <v>54</v>
      </c>
      <c r="J273" s="47">
        <f>SUM(W258:W272)</f>
        <v>0</v>
      </c>
      <c r="K273" s="47">
        <f>SUM(X258:X272)</f>
        <v>0</v>
      </c>
    </row>
    <row r="274" spans="1:32" hidden="1" x14ac:dyDescent="0.2">
      <c r="A274" s="47" t="s">
        <v>55</v>
      </c>
      <c r="J274" s="47">
        <f>SUM(Y258:Y273)</f>
        <v>0</v>
      </c>
      <c r="K274" s="47">
        <f>SUM(Z258:Z273)</f>
        <v>0</v>
      </c>
    </row>
    <row r="275" spans="1:32" hidden="1" x14ac:dyDescent="0.2"/>
    <row r="276" spans="1:32" ht="16.5" hidden="1" x14ac:dyDescent="0.25">
      <c r="A276" s="402" t="str">
        <f>CONCATENATE("Раздел: ",IF([78]Source!G1028&lt;&gt;"Новый раздел", [78]Source!G1028, ""))</f>
        <v>Раздел: Изделия</v>
      </c>
      <c r="B276" s="402"/>
      <c r="C276" s="402"/>
      <c r="D276" s="402"/>
      <c r="E276" s="402"/>
      <c r="F276" s="402"/>
      <c r="G276" s="402"/>
      <c r="H276" s="402"/>
      <c r="I276" s="402"/>
      <c r="J276" s="402"/>
      <c r="K276" s="402"/>
      <c r="L276" s="402"/>
    </row>
    <row r="277" spans="1:32" hidden="1" x14ac:dyDescent="0.2"/>
    <row r="278" spans="1:32" ht="15" hidden="1" x14ac:dyDescent="0.25">
      <c r="A278" s="403" t="str">
        <f>CONCATENATE("Итого по разделу: ",IF([78]Source!G1041&lt;&gt;"Новый раздел", [78]Source!G1041, ""))</f>
        <v>Итого по разделу: Изделия</v>
      </c>
      <c r="B278" s="403"/>
      <c r="C278" s="403"/>
      <c r="D278" s="403"/>
      <c r="E278" s="403"/>
      <c r="F278" s="403"/>
      <c r="G278" s="403"/>
      <c r="H278" s="403"/>
      <c r="I278" s="404">
        <f>SUM(O276:O277)</f>
        <v>0</v>
      </c>
      <c r="J278" s="405"/>
      <c r="K278" s="404">
        <f>SUM(P276:P277)</f>
        <v>0</v>
      </c>
      <c r="L278" s="405"/>
    </row>
    <row r="279" spans="1:32" hidden="1" x14ac:dyDescent="0.2">
      <c r="A279" s="47" t="s">
        <v>54</v>
      </c>
      <c r="J279" s="47">
        <f>SUM(W276:W278)</f>
        <v>0</v>
      </c>
      <c r="K279" s="47">
        <f>SUM(X276:X278)</f>
        <v>0</v>
      </c>
    </row>
    <row r="280" spans="1:32" hidden="1" x14ac:dyDescent="0.2">
      <c r="A280" s="47" t="s">
        <v>55</v>
      </c>
      <c r="J280" s="47">
        <f>SUM(Y276:Y279)</f>
        <v>0</v>
      </c>
      <c r="K280" s="47">
        <f>SUM(Z276:Z279)</f>
        <v>0</v>
      </c>
    </row>
    <row r="281" spans="1:32" hidden="1" x14ac:dyDescent="0.2"/>
    <row r="282" spans="1:32" ht="45" hidden="1" x14ac:dyDescent="0.25">
      <c r="A282" s="403" t="str">
        <f>CONCATENATE("Итого по локальной смете: ",IF([78]Source!G1071&lt;&gt;"Новая локальная смета", [78]Source!G1071, ""))</f>
        <v>Итого по локальной смете: Станционный комплекс "Аминьевское шоссе". Платформенная чать. Архитектурные решения служебных и технических помещений. Уровень платформы.</v>
      </c>
      <c r="B282" s="403"/>
      <c r="C282" s="403"/>
      <c r="D282" s="403"/>
      <c r="E282" s="403"/>
      <c r="F282" s="403"/>
      <c r="G282" s="403"/>
      <c r="H282" s="403"/>
      <c r="I282" s="404">
        <f>SUM(O44:O281)</f>
        <v>26861.46</v>
      </c>
      <c r="J282" s="405"/>
      <c r="K282" s="404">
        <f>SUM(P44:P281)</f>
        <v>128074.41</v>
      </c>
      <c r="L282" s="405"/>
      <c r="AF282" s="180" t="str">
        <f>CONCATENATE("Итого по локальной смете: ",IF([78]Source!G1071&lt;&gt;"Новая локальная смета", [78]Source!G1071, ""))</f>
        <v>Итого по локальной смете: Станционный комплекс "Аминьевское шоссе". Платформенная чать. Архитектурные решения служебных и технических помещений. Уровень платформы.</v>
      </c>
    </row>
    <row r="283" spans="1:32" hidden="1" x14ac:dyDescent="0.2">
      <c r="A283" s="47" t="s">
        <v>54</v>
      </c>
      <c r="J283" s="47">
        <f>SUM(W44:W282)</f>
        <v>0</v>
      </c>
      <c r="K283" s="47">
        <f>SUM(X44:X282)</f>
        <v>0</v>
      </c>
    </row>
    <row r="284" spans="1:32" hidden="1" x14ac:dyDescent="0.2">
      <c r="A284" s="47" t="s">
        <v>55</v>
      </c>
      <c r="J284" s="47">
        <f>SUM(Y44:Y283)</f>
        <v>0</v>
      </c>
      <c r="K284" s="47">
        <f>SUM(Z44:Z283)</f>
        <v>0</v>
      </c>
    </row>
    <row r="285" spans="1:32" ht="14.25" hidden="1" x14ac:dyDescent="0.2">
      <c r="D285" s="410" t="str">
        <f>[78]Source!H1077</f>
        <v>Стоимость материалов (всего)</v>
      </c>
      <c r="E285" s="410"/>
      <c r="F285" s="410"/>
      <c r="G285" s="410"/>
      <c r="H285" s="410"/>
      <c r="I285" s="411">
        <f>[78]Source!F1077</f>
        <v>24373.61</v>
      </c>
      <c r="J285" s="411"/>
      <c r="K285" s="411">
        <f>[78]Source!P1077</f>
        <v>53200.35</v>
      </c>
      <c r="L285" s="411"/>
    </row>
    <row r="286" spans="1:32" ht="14.25" hidden="1" x14ac:dyDescent="0.2">
      <c r="D286" s="410" t="str">
        <f>[78]Source!H1085</f>
        <v>ЗП машинистов</v>
      </c>
      <c r="E286" s="410"/>
      <c r="F286" s="410"/>
      <c r="G286" s="410"/>
      <c r="H286" s="410"/>
      <c r="I286" s="411">
        <f>[78]Source!F1085</f>
        <v>3.33</v>
      </c>
      <c r="J286" s="411"/>
      <c r="K286" s="411">
        <f>[78]Source!P1085</f>
        <v>79.72</v>
      </c>
      <c r="L286" s="411"/>
    </row>
    <row r="287" spans="1:32" ht="14.25" hidden="1" x14ac:dyDescent="0.2">
      <c r="D287" s="410" t="str">
        <f>[78]Source!H1086</f>
        <v>Основная ЗП рабочих</v>
      </c>
      <c r="E287" s="410"/>
      <c r="F287" s="410"/>
      <c r="G287" s="410"/>
      <c r="H287" s="410"/>
      <c r="I287" s="411">
        <f>[78]Source!F1086</f>
        <v>1252.6400000000001</v>
      </c>
      <c r="J287" s="411"/>
      <c r="K287" s="411">
        <f>[78]Source!P1086</f>
        <v>30138.78</v>
      </c>
      <c r="L287" s="411"/>
    </row>
    <row r="289" spans="1:32" ht="15" x14ac:dyDescent="0.25">
      <c r="A289" s="403" t="s">
        <v>169</v>
      </c>
      <c r="B289" s="403"/>
      <c r="C289" s="403"/>
      <c r="D289" s="403"/>
      <c r="E289" s="403"/>
      <c r="F289" s="403"/>
      <c r="G289" s="403"/>
      <c r="H289" s="403"/>
      <c r="I289" s="404">
        <f>SUM(O1:O288)</f>
        <v>26861.46</v>
      </c>
      <c r="J289" s="405"/>
      <c r="K289" s="404">
        <f>SUM(P1:P288)</f>
        <v>128074.41</v>
      </c>
      <c r="L289" s="405"/>
      <c r="AF289" s="180" t="str">
        <f>CONCATENATE("Итого по акту: ",IF([78]Source!G1101&lt;&gt;"Новый объект", [78]Source!G1101, ""))</f>
        <v>Итого по акту: 48482-ТПК_5-0569-р-сср2  12-4017-Л-Р-11.3.1.2.2-АР2-СМ1</v>
      </c>
    </row>
    <row r="290" spans="1:32" hidden="1" x14ac:dyDescent="0.2">
      <c r="A290" s="47" t="s">
        <v>54</v>
      </c>
      <c r="J290" s="47">
        <f>SUM(W1:W289)</f>
        <v>0</v>
      </c>
      <c r="K290" s="47">
        <f>SUM(X1:X289)</f>
        <v>0</v>
      </c>
    </row>
    <row r="291" spans="1:32" hidden="1" x14ac:dyDescent="0.2">
      <c r="A291" s="47" t="s">
        <v>55</v>
      </c>
      <c r="J291" s="47">
        <f>SUM(Y1:Y290)</f>
        <v>0</v>
      </c>
      <c r="K291" s="47">
        <f>SUM(Z1:Z290)</f>
        <v>0</v>
      </c>
    </row>
    <row r="292" spans="1:32" ht="14.25" x14ac:dyDescent="0.2">
      <c r="D292" s="410" t="str">
        <f>[78]Source!H1130</f>
        <v>Стоимость материалов (всего)</v>
      </c>
      <c r="E292" s="410"/>
      <c r="F292" s="410"/>
      <c r="G292" s="410"/>
      <c r="H292" s="410"/>
      <c r="I292" s="411">
        <f>[78]Source!F1130</f>
        <v>24373.61</v>
      </c>
      <c r="J292" s="411"/>
      <c r="K292" s="411">
        <f>[78]Source!P1130</f>
        <v>53200.35</v>
      </c>
      <c r="L292" s="411"/>
    </row>
    <row r="293" spans="1:32" ht="14.25" x14ac:dyDescent="0.2">
      <c r="D293" s="410" t="str">
        <f>[78]Source!H1131</f>
        <v>ЗП машинистов</v>
      </c>
      <c r="E293" s="410"/>
      <c r="F293" s="410"/>
      <c r="G293" s="410"/>
      <c r="H293" s="410"/>
      <c r="I293" s="411">
        <f>[78]Source!F1131</f>
        <v>3.33</v>
      </c>
      <c r="J293" s="411"/>
      <c r="K293" s="411">
        <f>[78]Source!P1131</f>
        <v>79.72</v>
      </c>
      <c r="L293" s="411"/>
    </row>
    <row r="294" spans="1:32" ht="14.25" x14ac:dyDescent="0.2">
      <c r="D294" s="410" t="str">
        <f>[78]Source!H1132</f>
        <v>Основная ЗП рабочих</v>
      </c>
      <c r="E294" s="410"/>
      <c r="F294" s="410"/>
      <c r="G294" s="410"/>
      <c r="H294" s="410"/>
      <c r="I294" s="411">
        <f>[78]Source!F1132</f>
        <v>1252.6400000000001</v>
      </c>
      <c r="J294" s="411"/>
      <c r="K294" s="411">
        <f>[78]Source!P1132</f>
        <v>30138.78</v>
      </c>
      <c r="L294" s="411"/>
    </row>
    <row r="295" spans="1:32" ht="14.25" x14ac:dyDescent="0.2">
      <c r="D295" s="410" t="str">
        <f>[78]Source!H1133</f>
        <v>Оборудование</v>
      </c>
      <c r="E295" s="410"/>
      <c r="F295" s="410"/>
      <c r="G295" s="410"/>
      <c r="H295" s="410"/>
      <c r="I295" s="411">
        <f>[78]Source!F1133</f>
        <v>0</v>
      </c>
      <c r="J295" s="411"/>
      <c r="K295" s="411">
        <f>[78]Source!P1133</f>
        <v>0</v>
      </c>
      <c r="L295" s="411"/>
    </row>
    <row r="296" spans="1:32" s="105" customFormat="1" ht="14.25" x14ac:dyDescent="0.2">
      <c r="D296" s="172"/>
      <c r="E296" s="172"/>
      <c r="F296" s="172"/>
      <c r="G296" s="172"/>
      <c r="H296" s="172"/>
      <c r="I296" s="197"/>
      <c r="J296" s="197"/>
      <c r="K296" s="197"/>
      <c r="L296" s="197"/>
    </row>
    <row r="297" spans="1:32" s="105" customFormat="1" ht="15" x14ac:dyDescent="0.25">
      <c r="D297" s="178" t="s">
        <v>57</v>
      </c>
      <c r="E297" s="178"/>
      <c r="F297" s="178"/>
      <c r="G297" s="178"/>
      <c r="H297" s="178"/>
      <c r="I297" s="198"/>
      <c r="J297" s="199">
        <f>I289</f>
        <v>26861.46</v>
      </c>
      <c r="K297" s="199"/>
      <c r="L297" s="199">
        <f>K289</f>
        <v>128074.41</v>
      </c>
    </row>
    <row r="298" spans="1:32" s="105" customFormat="1" ht="14.25" x14ac:dyDescent="0.2">
      <c r="D298" s="172" t="s">
        <v>3</v>
      </c>
      <c r="E298" s="172"/>
      <c r="F298" s="172"/>
      <c r="G298" s="172"/>
      <c r="H298" s="172"/>
      <c r="I298" s="198"/>
      <c r="J298" s="200">
        <f>I289-J301</f>
        <v>26861.46</v>
      </c>
      <c r="K298" s="200"/>
      <c r="L298" s="200">
        <f>K289-L301</f>
        <v>128074.41</v>
      </c>
    </row>
    <row r="299" spans="1:32" s="105" customFormat="1" ht="14.25" x14ac:dyDescent="0.2">
      <c r="D299" s="172" t="s">
        <v>58</v>
      </c>
      <c r="E299" s="172"/>
      <c r="F299" s="172"/>
      <c r="G299" s="172"/>
      <c r="H299" s="172"/>
      <c r="I299" s="198"/>
      <c r="J299" s="200">
        <f>I293+I294</f>
        <v>1255.97</v>
      </c>
      <c r="K299" s="200"/>
      <c r="L299" s="200">
        <f>K293+K294</f>
        <v>30218.5</v>
      </c>
    </row>
    <row r="300" spans="1:32" s="105" customFormat="1" ht="14.25" x14ac:dyDescent="0.2">
      <c r="D300" s="172" t="s">
        <v>59</v>
      </c>
      <c r="E300" s="172"/>
      <c r="F300" s="172"/>
      <c r="G300" s="172"/>
      <c r="H300" s="172"/>
      <c r="I300" s="198"/>
      <c r="J300" s="200">
        <f>I292</f>
        <v>24373.61</v>
      </c>
      <c r="K300" s="200"/>
      <c r="L300" s="200">
        <f>K292</f>
        <v>53200.35</v>
      </c>
    </row>
    <row r="301" spans="1:32" s="105" customFormat="1" ht="16.5" customHeight="1" x14ac:dyDescent="0.2">
      <c r="D301" s="172" t="s">
        <v>62</v>
      </c>
      <c r="E301" s="172"/>
      <c r="F301" s="172"/>
      <c r="G301" s="172"/>
      <c r="H301" s="172"/>
      <c r="J301" s="201">
        <f>I295</f>
        <v>0</v>
      </c>
      <c r="L301" s="201">
        <f>K295</f>
        <v>0</v>
      </c>
    </row>
    <row r="302" spans="1:32" s="105" customFormat="1" ht="16.5" customHeight="1" x14ac:dyDescent="0.25">
      <c r="A302" s="96"/>
      <c r="B302" s="96"/>
      <c r="C302" s="96"/>
      <c r="D302" s="79" t="s">
        <v>60</v>
      </c>
      <c r="E302" s="79"/>
      <c r="F302" s="79"/>
      <c r="G302" s="79"/>
      <c r="H302" s="79"/>
      <c r="I302" s="412">
        <v>0</v>
      </c>
      <c r="J302" s="412"/>
      <c r="K302" s="412">
        <v>0</v>
      </c>
      <c r="L302" s="412"/>
    </row>
    <row r="303" spans="1:32" s="105" customFormat="1" ht="16.5" customHeight="1" x14ac:dyDescent="0.25">
      <c r="A303" s="96"/>
      <c r="B303" s="96"/>
      <c r="C303" s="96"/>
      <c r="D303" s="79" t="s">
        <v>108</v>
      </c>
      <c r="E303" s="79"/>
      <c r="F303" s="79"/>
      <c r="G303" s="79"/>
      <c r="H303" s="79"/>
      <c r="I303" s="95"/>
      <c r="J303" s="95">
        <v>0</v>
      </c>
      <c r="K303" s="95"/>
      <c r="L303" s="95">
        <v>0</v>
      </c>
    </row>
    <row r="304" spans="1:32" s="105" customFormat="1" ht="16.5" customHeight="1" x14ac:dyDescent="0.2">
      <c r="A304" s="94"/>
      <c r="B304" s="94"/>
      <c r="C304" s="94"/>
      <c r="D304" s="79" t="s">
        <v>109</v>
      </c>
      <c r="E304" s="79"/>
      <c r="F304" s="79"/>
      <c r="G304" s="79"/>
      <c r="H304" s="79"/>
      <c r="I304" s="413">
        <f>(J298+J303)*5.61%</f>
        <v>1506.93</v>
      </c>
      <c r="J304" s="414"/>
      <c r="K304" s="413">
        <f>(L298+L303)*5.61%</f>
        <v>7184.97</v>
      </c>
      <c r="L304" s="414"/>
    </row>
    <row r="305" spans="1:12" s="105" customFormat="1" ht="16.5" customHeight="1" x14ac:dyDescent="0.2">
      <c r="A305" s="97"/>
      <c r="B305" s="97"/>
      <c r="C305" s="97"/>
      <c r="D305" s="79" t="s">
        <v>70</v>
      </c>
      <c r="E305" s="79"/>
      <c r="F305" s="79"/>
      <c r="G305" s="79"/>
      <c r="H305" s="79"/>
      <c r="I305" s="413">
        <f>J298+J303+I304</f>
        <v>28368.39</v>
      </c>
      <c r="J305" s="414"/>
      <c r="K305" s="413">
        <f>L298+L303+K304</f>
        <v>135259.38</v>
      </c>
      <c r="L305" s="414"/>
    </row>
    <row r="306" spans="1:12" s="105" customFormat="1" ht="16.5" customHeight="1" x14ac:dyDescent="0.2">
      <c r="A306" s="94"/>
      <c r="B306" s="94"/>
      <c r="C306" s="94"/>
      <c r="D306" s="79" t="s">
        <v>71</v>
      </c>
      <c r="E306" s="79"/>
      <c r="F306" s="79"/>
      <c r="G306" s="79"/>
      <c r="H306" s="79"/>
      <c r="J306" s="151">
        <f>J299*0.15</f>
        <v>188.4</v>
      </c>
      <c r="L306" s="151">
        <f>L299*0.15</f>
        <v>4532.78</v>
      </c>
    </row>
    <row r="307" spans="1:12" s="105" customFormat="1" ht="14.25" customHeight="1" x14ac:dyDescent="0.25">
      <c r="D307" s="98" t="s">
        <v>72</v>
      </c>
      <c r="E307" s="98"/>
      <c r="F307" s="98"/>
      <c r="G307" s="98"/>
      <c r="H307" s="98"/>
      <c r="I307" s="418">
        <f>I305+J306+J301</f>
        <v>28556.79</v>
      </c>
      <c r="J307" s="418"/>
      <c r="K307" s="419">
        <f>K305+L306+L301</f>
        <v>139792.16</v>
      </c>
      <c r="L307" s="418"/>
    </row>
    <row r="308" spans="1:12" s="105" customFormat="1" ht="14.25" x14ac:dyDescent="0.2">
      <c r="D308" s="79"/>
      <c r="E308" s="79"/>
      <c r="F308" s="79"/>
      <c r="G308" s="79"/>
      <c r="H308" s="79"/>
      <c r="I308" s="413"/>
      <c r="J308" s="413"/>
      <c r="K308" s="413"/>
      <c r="L308" s="413"/>
    </row>
    <row r="309" spans="1:12" s="105" customFormat="1" ht="15" x14ac:dyDescent="0.25">
      <c r="D309" s="98" t="s">
        <v>110</v>
      </c>
      <c r="E309" s="98"/>
      <c r="F309" s="98"/>
      <c r="G309" s="98"/>
      <c r="H309" s="98"/>
      <c r="I309" s="97"/>
      <c r="J309" s="97"/>
      <c r="K309" s="97"/>
      <c r="L309" s="99">
        <f>L310+L313+L312</f>
        <v>124330.71</v>
      </c>
    </row>
    <row r="310" spans="1:12" s="105" customFormat="1" ht="14.25" x14ac:dyDescent="0.2">
      <c r="D310" s="79" t="s">
        <v>3</v>
      </c>
      <c r="E310" s="79"/>
      <c r="F310" s="79"/>
      <c r="G310" s="79"/>
      <c r="H310" s="79"/>
      <c r="I310" s="94"/>
      <c r="J310" s="100"/>
      <c r="L310" s="151">
        <f>(L298-L300)*0.95+L311</f>
        <v>124330.71</v>
      </c>
    </row>
    <row r="311" spans="1:12" s="105" customFormat="1" ht="14.25" x14ac:dyDescent="0.2">
      <c r="D311" s="79" t="s">
        <v>111</v>
      </c>
      <c r="E311" s="79"/>
      <c r="F311" s="79"/>
      <c r="G311" s="79"/>
      <c r="H311" s="79"/>
      <c r="I311" s="94"/>
      <c r="J311" s="100"/>
      <c r="L311" s="151">
        <f>L300*1</f>
        <v>53200.35</v>
      </c>
    </row>
    <row r="312" spans="1:12" s="105" customFormat="1" ht="14.25" x14ac:dyDescent="0.2">
      <c r="D312" s="101" t="s">
        <v>62</v>
      </c>
      <c r="E312" s="101"/>
      <c r="F312" s="101"/>
      <c r="G312" s="80"/>
      <c r="H312" s="80"/>
      <c r="I312" s="94"/>
      <c r="J312" s="100"/>
      <c r="K312" s="177"/>
      <c r="L312" s="177">
        <f>L301</f>
        <v>0</v>
      </c>
    </row>
    <row r="313" spans="1:12" s="105" customFormat="1" ht="14.25" x14ac:dyDescent="0.2">
      <c r="D313" s="79" t="s">
        <v>112</v>
      </c>
      <c r="E313" s="79"/>
      <c r="F313" s="79"/>
      <c r="G313" s="79"/>
      <c r="H313" s="79"/>
      <c r="I313" s="413"/>
      <c r="J313" s="413"/>
      <c r="L313" s="151">
        <v>0</v>
      </c>
    </row>
    <row r="314" spans="1:12" s="105" customFormat="1" ht="14.25" customHeight="1" x14ac:dyDescent="0.2">
      <c r="D314" s="79" t="s">
        <v>108</v>
      </c>
      <c r="E314" s="79"/>
      <c r="F314" s="79"/>
      <c r="G314" s="79"/>
      <c r="H314" s="79"/>
      <c r="I314" s="177"/>
      <c r="J314" s="177"/>
      <c r="K314" s="177"/>
      <c r="L314" s="177">
        <v>0</v>
      </c>
    </row>
    <row r="315" spans="1:12" s="105" customFormat="1" ht="14.25" x14ac:dyDescent="0.2">
      <c r="D315" s="79" t="s">
        <v>113</v>
      </c>
      <c r="E315" s="79"/>
      <c r="F315" s="79"/>
      <c r="G315" s="79"/>
      <c r="H315" s="79"/>
      <c r="I315" s="94"/>
      <c r="J315" s="100"/>
      <c r="L315" s="151">
        <f>L299*0.95</f>
        <v>28707.58</v>
      </c>
    </row>
    <row r="316" spans="1:12" s="105" customFormat="1" ht="14.25" x14ac:dyDescent="0.2">
      <c r="D316" s="79" t="s">
        <v>114</v>
      </c>
      <c r="E316" s="79"/>
      <c r="F316" s="79"/>
      <c r="G316" s="79"/>
      <c r="H316" s="79"/>
      <c r="I316" s="413"/>
      <c r="J316" s="413"/>
      <c r="L316" s="151">
        <f>(L310+L314)*5.61%</f>
        <v>6974.95</v>
      </c>
    </row>
    <row r="317" spans="1:12" s="105" customFormat="1" ht="14.25" x14ac:dyDescent="0.2">
      <c r="D317" s="79" t="s">
        <v>70</v>
      </c>
      <c r="E317" s="79"/>
      <c r="F317" s="79"/>
      <c r="G317" s="79"/>
      <c r="H317" s="79"/>
      <c r="I317" s="94"/>
      <c r="J317" s="103"/>
      <c r="L317" s="151">
        <f>L310+L314+L316+L312</f>
        <v>131305.66</v>
      </c>
    </row>
    <row r="318" spans="1:12" s="105" customFormat="1" ht="14.25" x14ac:dyDescent="0.2">
      <c r="D318" s="79" t="s">
        <v>71</v>
      </c>
      <c r="E318" s="79"/>
      <c r="F318" s="79"/>
      <c r="G318" s="79"/>
      <c r="H318" s="79"/>
      <c r="I318" s="94"/>
      <c r="J318" s="94"/>
      <c r="L318" s="151">
        <f>L315*15%</f>
        <v>4306.1400000000003</v>
      </c>
    </row>
    <row r="319" spans="1:12" s="105" customFormat="1" ht="15" x14ac:dyDescent="0.25">
      <c r="D319" s="98" t="s">
        <v>72</v>
      </c>
      <c r="E319" s="98"/>
      <c r="F319" s="98"/>
      <c r="G319" s="98"/>
      <c r="H319" s="98"/>
      <c r="I319" s="97"/>
      <c r="J319" s="97"/>
      <c r="L319" s="152">
        <f>L317+L318+L313</f>
        <v>135611.79999999999</v>
      </c>
    </row>
    <row r="320" spans="1:12" s="105" customFormat="1" x14ac:dyDescent="0.2"/>
    <row r="321" spans="1:12" s="105" customFormat="1" ht="12.75" x14ac:dyDescent="0.2">
      <c r="A321" s="104"/>
      <c r="B321" s="104"/>
      <c r="C321" s="104"/>
      <c r="D321" s="104"/>
      <c r="E321" s="104"/>
      <c r="F321" s="104"/>
      <c r="G321" s="104"/>
      <c r="H321" s="104"/>
      <c r="I321" s="104"/>
      <c r="J321" s="104"/>
      <c r="K321" s="104"/>
      <c r="L321" s="104"/>
    </row>
    <row r="322" spans="1:12" s="105" customFormat="1" ht="12.75" x14ac:dyDescent="0.2">
      <c r="A322" s="104"/>
      <c r="B322" s="104"/>
      <c r="C322" s="104"/>
      <c r="D322" s="104"/>
      <c r="E322" s="104"/>
      <c r="F322" s="104"/>
      <c r="G322" s="104"/>
      <c r="H322" s="104"/>
      <c r="I322" s="104"/>
      <c r="J322" s="104"/>
      <c r="K322" s="104"/>
      <c r="L322" s="104"/>
    </row>
    <row r="323" spans="1:12" s="105" customFormat="1" ht="12.75" x14ac:dyDescent="0.2">
      <c r="A323" s="104"/>
      <c r="B323" s="104"/>
      <c r="C323" s="104"/>
      <c r="D323" s="104"/>
      <c r="E323" s="104"/>
      <c r="F323" s="104"/>
      <c r="G323" s="104"/>
      <c r="H323" s="104"/>
      <c r="I323" s="104"/>
      <c r="J323" s="104"/>
      <c r="K323" s="104"/>
      <c r="L323" s="104"/>
    </row>
    <row r="324" spans="1:12" s="105" customFormat="1" ht="12.75" x14ac:dyDescent="0.2">
      <c r="A324" s="104"/>
      <c r="B324" s="104"/>
      <c r="C324" s="104"/>
      <c r="D324" s="104"/>
      <c r="E324" s="104"/>
      <c r="F324" s="104"/>
      <c r="G324" s="104"/>
      <c r="H324" s="104"/>
      <c r="I324" s="104"/>
      <c r="J324" s="104"/>
      <c r="K324" s="104"/>
      <c r="L324" s="104"/>
    </row>
    <row r="325" spans="1:12" s="105" customFormat="1" ht="15.75" x14ac:dyDescent="0.25">
      <c r="A325" s="104"/>
      <c r="B325" s="142" t="s">
        <v>131</v>
      </c>
      <c r="C325" s="143"/>
      <c r="D325" s="143"/>
      <c r="E325" s="104"/>
      <c r="F325" s="104"/>
      <c r="G325" s="104"/>
      <c r="H325" s="104"/>
      <c r="I325" s="104"/>
      <c r="J325" s="104"/>
      <c r="K325" s="104"/>
      <c r="L325" s="104"/>
    </row>
    <row r="326" spans="1:12" s="105" customFormat="1" ht="15" x14ac:dyDescent="0.2">
      <c r="A326" s="104"/>
      <c r="B326" s="143"/>
      <c r="C326" s="143"/>
      <c r="D326" s="143"/>
      <c r="E326" s="104"/>
      <c r="F326" s="104"/>
      <c r="G326" s="104"/>
      <c r="H326" s="104"/>
      <c r="I326" s="104"/>
      <c r="J326" s="104"/>
      <c r="K326" s="104"/>
      <c r="L326" s="104"/>
    </row>
    <row r="327" spans="1:12" s="105" customFormat="1" ht="15.75" x14ac:dyDescent="0.25">
      <c r="B327" s="142" t="s">
        <v>115</v>
      </c>
      <c r="C327" s="142"/>
      <c r="D327" s="142"/>
      <c r="E327" s="106"/>
      <c r="F327" s="106"/>
      <c r="G327" s="106"/>
      <c r="H327" s="106"/>
      <c r="I327" s="106"/>
      <c r="J327" s="106"/>
      <c r="K327" s="106"/>
      <c r="L327" s="106"/>
    </row>
    <row r="328" spans="1:12" s="105" customFormat="1" ht="15.75" x14ac:dyDescent="0.25">
      <c r="B328" s="144" t="s">
        <v>116</v>
      </c>
      <c r="C328" s="145"/>
      <c r="D328" s="145"/>
      <c r="E328" s="108"/>
      <c r="F328" s="107"/>
      <c r="G328" s="415"/>
      <c r="H328" s="415"/>
      <c r="I328" s="109"/>
      <c r="J328" s="110" t="s">
        <v>117</v>
      </c>
      <c r="K328" s="111"/>
      <c r="L328" s="112"/>
    </row>
    <row r="329" spans="1:12" s="105" customFormat="1" ht="15.75" x14ac:dyDescent="0.25">
      <c r="B329" s="192" t="s">
        <v>132</v>
      </c>
      <c r="C329" s="147"/>
      <c r="D329" s="147"/>
      <c r="E329" s="113"/>
      <c r="F329" s="113"/>
      <c r="G329" s="113"/>
      <c r="H329" s="113"/>
      <c r="I329" s="112"/>
      <c r="J329" s="112"/>
      <c r="K329" s="112"/>
      <c r="L329" s="112"/>
    </row>
    <row r="330" spans="1:12" s="105" customFormat="1" ht="15.75" x14ac:dyDescent="0.25">
      <c r="B330" s="114"/>
      <c r="C330" s="114"/>
      <c r="D330" s="148"/>
      <c r="E330" s="115"/>
      <c r="F330" s="115"/>
      <c r="G330" s="116"/>
      <c r="H330" s="117"/>
      <c r="I330" s="115"/>
      <c r="J330" s="118"/>
      <c r="K330" s="119"/>
    </row>
    <row r="331" spans="1:12" s="105" customFormat="1" ht="15.75" x14ac:dyDescent="0.25">
      <c r="B331" s="114"/>
      <c r="C331" s="114"/>
      <c r="D331" s="148"/>
      <c r="E331" s="115"/>
      <c r="F331" s="115"/>
      <c r="G331" s="116"/>
      <c r="H331" s="117"/>
      <c r="I331" s="115"/>
      <c r="J331" s="118"/>
      <c r="K331" s="119"/>
    </row>
    <row r="332" spans="1:12" s="105" customFormat="1" ht="15.75" x14ac:dyDescent="0.25">
      <c r="B332" s="114"/>
      <c r="C332" s="114"/>
      <c r="D332" s="148"/>
      <c r="E332" s="115"/>
      <c r="F332" s="115"/>
      <c r="G332" s="116"/>
      <c r="H332" s="117"/>
      <c r="I332" s="115"/>
      <c r="J332" s="118"/>
      <c r="K332" s="119"/>
    </row>
    <row r="333" spans="1:12" s="105" customFormat="1" ht="15.75" x14ac:dyDescent="0.25">
      <c r="B333" s="114"/>
      <c r="C333" s="114"/>
      <c r="D333" s="115"/>
      <c r="E333" s="115"/>
      <c r="F333" s="115"/>
      <c r="G333" s="115"/>
      <c r="H333" s="117"/>
      <c r="I333" s="115"/>
      <c r="J333" s="118"/>
      <c r="K333" s="119"/>
    </row>
    <row r="334" spans="1:12" s="105" customFormat="1" ht="15.75" x14ac:dyDescent="0.25">
      <c r="B334" s="142" t="s">
        <v>118</v>
      </c>
      <c r="C334" s="193"/>
      <c r="D334" s="142"/>
      <c r="E334" s="113"/>
      <c r="F334" s="106"/>
      <c r="G334" s="113"/>
      <c r="H334" s="106"/>
      <c r="I334" s="112"/>
      <c r="J334" s="112"/>
      <c r="K334" s="112"/>
    </row>
    <row r="335" spans="1:12" s="105" customFormat="1" ht="15.75" x14ac:dyDescent="0.25">
      <c r="B335" s="142"/>
      <c r="C335" s="193"/>
      <c r="D335" s="142"/>
      <c r="E335" s="113"/>
      <c r="F335" s="106"/>
      <c r="G335" s="113"/>
      <c r="H335" s="106"/>
      <c r="I335" s="112"/>
      <c r="J335" s="112"/>
      <c r="K335" s="112"/>
    </row>
    <row r="336" spans="1:12" s="105" customFormat="1" ht="15.75" x14ac:dyDescent="0.25">
      <c r="B336" s="416" t="s">
        <v>119</v>
      </c>
      <c r="C336" s="416"/>
      <c r="D336" s="416"/>
      <c r="E336" s="113"/>
      <c r="F336" s="106"/>
      <c r="G336" s="113"/>
      <c r="H336" s="106"/>
      <c r="I336" s="112"/>
      <c r="J336" s="112"/>
      <c r="K336" s="112"/>
    </row>
    <row r="337" spans="2:11" s="105" customFormat="1" ht="15.75" x14ac:dyDescent="0.25">
      <c r="B337" s="417" t="s">
        <v>120</v>
      </c>
      <c r="C337" s="417"/>
      <c r="D337" s="417"/>
      <c r="E337" s="120"/>
      <c r="F337" s="107"/>
      <c r="G337" s="108"/>
      <c r="H337" s="121"/>
      <c r="I337" s="111"/>
      <c r="J337" s="110" t="s">
        <v>84</v>
      </c>
      <c r="K337" s="111"/>
    </row>
    <row r="338" spans="2:11" s="105" customFormat="1" ht="15.75" x14ac:dyDescent="0.25">
      <c r="B338" s="192" t="s">
        <v>73</v>
      </c>
      <c r="C338" s="150"/>
      <c r="D338" s="150"/>
      <c r="E338" s="122"/>
      <c r="F338" s="113"/>
      <c r="G338" s="106"/>
      <c r="H338" s="106"/>
      <c r="I338" s="112"/>
      <c r="J338" s="112"/>
      <c r="K338" s="112"/>
    </row>
  </sheetData>
  <mergeCells count="160">
    <mergeCell ref="G328:H328"/>
    <mergeCell ref="B336:D336"/>
    <mergeCell ref="B337:D337"/>
    <mergeCell ref="I307:J307"/>
    <mergeCell ref="K307:L307"/>
    <mergeCell ref="I308:J308"/>
    <mergeCell ref="K308:L308"/>
    <mergeCell ref="I313:J313"/>
    <mergeCell ref="I316:J316"/>
    <mergeCell ref="I302:J302"/>
    <mergeCell ref="K302:L302"/>
    <mergeCell ref="I304:J304"/>
    <mergeCell ref="K304:L304"/>
    <mergeCell ref="I305:J305"/>
    <mergeCell ref="K305:L305"/>
    <mergeCell ref="D294:H294"/>
    <mergeCell ref="I294:J294"/>
    <mergeCell ref="K294:L294"/>
    <mergeCell ref="D295:H295"/>
    <mergeCell ref="I295:J295"/>
    <mergeCell ref="K295:L295"/>
    <mergeCell ref="D292:H292"/>
    <mergeCell ref="I292:J292"/>
    <mergeCell ref="K292:L292"/>
    <mergeCell ref="D293:H293"/>
    <mergeCell ref="I293:J293"/>
    <mergeCell ref="K293:L293"/>
    <mergeCell ref="D287:H287"/>
    <mergeCell ref="I287:J287"/>
    <mergeCell ref="K287:L287"/>
    <mergeCell ref="A289:H289"/>
    <mergeCell ref="I289:J289"/>
    <mergeCell ref="K289:L289"/>
    <mergeCell ref="D285:H285"/>
    <mergeCell ref="I285:J285"/>
    <mergeCell ref="K285:L285"/>
    <mergeCell ref="D286:H286"/>
    <mergeCell ref="I286:J286"/>
    <mergeCell ref="K286:L286"/>
    <mergeCell ref="A276:L276"/>
    <mergeCell ref="A278:H278"/>
    <mergeCell ref="I278:J278"/>
    <mergeCell ref="K278:L278"/>
    <mergeCell ref="A282:H282"/>
    <mergeCell ref="I282:J282"/>
    <mergeCell ref="K282:L282"/>
    <mergeCell ref="A258:L258"/>
    <mergeCell ref="I269:J269"/>
    <mergeCell ref="K269:L269"/>
    <mergeCell ref="A272:H272"/>
    <mergeCell ref="I272:J272"/>
    <mergeCell ref="K272:L272"/>
    <mergeCell ref="I245:J245"/>
    <mergeCell ref="K245:L245"/>
    <mergeCell ref="I251:J251"/>
    <mergeCell ref="K251:L251"/>
    <mergeCell ref="A254:H254"/>
    <mergeCell ref="I254:J254"/>
    <mergeCell ref="K254:L254"/>
    <mergeCell ref="I212:J212"/>
    <mergeCell ref="K212:L212"/>
    <mergeCell ref="I225:J225"/>
    <mergeCell ref="K225:L225"/>
    <mergeCell ref="I231:J231"/>
    <mergeCell ref="K231:L231"/>
    <mergeCell ref="A173:L173"/>
    <mergeCell ref="I187:J187"/>
    <mergeCell ref="K187:L187"/>
    <mergeCell ref="I193:J193"/>
    <mergeCell ref="K193:L193"/>
    <mergeCell ref="I206:J206"/>
    <mergeCell ref="K206:L206"/>
    <mergeCell ref="A163:L163"/>
    <mergeCell ref="A165:H165"/>
    <mergeCell ref="I165:J165"/>
    <mergeCell ref="K165:L165"/>
    <mergeCell ref="A169:H169"/>
    <mergeCell ref="I169:J169"/>
    <mergeCell ref="K169:L169"/>
    <mergeCell ref="A153:H153"/>
    <mergeCell ref="I153:J153"/>
    <mergeCell ref="K153:L153"/>
    <mergeCell ref="A157:L157"/>
    <mergeCell ref="A159:H159"/>
    <mergeCell ref="I159:J159"/>
    <mergeCell ref="K159:L159"/>
    <mergeCell ref="A143:L143"/>
    <mergeCell ref="A145:L145"/>
    <mergeCell ref="A147:H147"/>
    <mergeCell ref="I147:J147"/>
    <mergeCell ref="K147:L147"/>
    <mergeCell ref="A151:L151"/>
    <mergeCell ref="A133:L133"/>
    <mergeCell ref="A135:H135"/>
    <mergeCell ref="I135:J135"/>
    <mergeCell ref="K135:L135"/>
    <mergeCell ref="A139:H139"/>
    <mergeCell ref="I139:J139"/>
    <mergeCell ref="K139:L139"/>
    <mergeCell ref="A121:L121"/>
    <mergeCell ref="A123:H123"/>
    <mergeCell ref="I123:J123"/>
    <mergeCell ref="K123:L123"/>
    <mergeCell ref="A127:L127"/>
    <mergeCell ref="A129:H129"/>
    <mergeCell ref="I129:J129"/>
    <mergeCell ref="K129:L129"/>
    <mergeCell ref="A109:L109"/>
    <mergeCell ref="A111:H111"/>
    <mergeCell ref="I111:J111"/>
    <mergeCell ref="K111:L111"/>
    <mergeCell ref="A115:L115"/>
    <mergeCell ref="A117:H117"/>
    <mergeCell ref="I117:J117"/>
    <mergeCell ref="K117:L117"/>
    <mergeCell ref="I94:J94"/>
    <mergeCell ref="K94:L94"/>
    <mergeCell ref="I100:J100"/>
    <mergeCell ref="K100:L100"/>
    <mergeCell ref="A103:L103"/>
    <mergeCell ref="A105:H105"/>
    <mergeCell ref="I105:J105"/>
    <mergeCell ref="K105:L105"/>
    <mergeCell ref="A66:H66"/>
    <mergeCell ref="I66:J66"/>
    <mergeCell ref="K66:L66"/>
    <mergeCell ref="A70:L70"/>
    <mergeCell ref="I81:J81"/>
    <mergeCell ref="K81:L81"/>
    <mergeCell ref="A54:L54"/>
    <mergeCell ref="A56:H56"/>
    <mergeCell ref="I56:J56"/>
    <mergeCell ref="K56:L56"/>
    <mergeCell ref="A60:L60"/>
    <mergeCell ref="A62:H62"/>
    <mergeCell ref="I62:J62"/>
    <mergeCell ref="K62:L62"/>
    <mergeCell ref="A41:L41"/>
    <mergeCell ref="A42:L42"/>
    <mergeCell ref="A44:L44"/>
    <mergeCell ref="A46:L46"/>
    <mergeCell ref="A48:L48"/>
    <mergeCell ref="A50:H50"/>
    <mergeCell ref="I50:J50"/>
    <mergeCell ref="K50:L50"/>
    <mergeCell ref="H31:H38"/>
    <mergeCell ref="I31:I38"/>
    <mergeCell ref="J31:J38"/>
    <mergeCell ref="K31:K38"/>
    <mergeCell ref="L31:L38"/>
    <mergeCell ref="A33:A38"/>
    <mergeCell ref="B33:B38"/>
    <mergeCell ref="H28:I28"/>
    <mergeCell ref="A30:L30"/>
    <mergeCell ref="A31:B32"/>
    <mergeCell ref="C31:C38"/>
    <mergeCell ref="D31:D38"/>
    <mergeCell ref="E31:E38"/>
    <mergeCell ref="F31:F38"/>
    <mergeCell ref="G31:G38"/>
  </mergeCells>
  <pageMargins left="0.39370078740157483" right="0.19685039370078741" top="0.19685039370078741" bottom="0.39370078740157483" header="0.31496062992125984" footer="0.31496062992125984"/>
  <pageSetup paperSize="9" scale="64" fitToHeight="0" orientation="portrait" blackAndWhite="1" r:id="rId1"/>
  <headerFoot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H381"/>
  <sheetViews>
    <sheetView view="pageBreakPreview" topLeftCell="A337" zoomScale="60" zoomScaleNormal="85" workbookViewId="0">
      <selection activeCell="A26" sqref="A1:L26"/>
    </sheetView>
  </sheetViews>
  <sheetFormatPr defaultColWidth="9.33203125" defaultRowHeight="11.25" x14ac:dyDescent="0.2"/>
  <cols>
    <col min="1" max="2" width="9.1640625" style="47" customWidth="1"/>
    <col min="3" max="3" width="15.6640625" style="47" customWidth="1"/>
    <col min="4" max="4" width="47.5" style="47" customWidth="1"/>
    <col min="5" max="5" width="13.6640625" style="47" customWidth="1"/>
    <col min="6" max="7" width="11.83203125" style="47" bestFit="1" customWidth="1"/>
    <col min="8" max="10" width="14.1640625" style="47" customWidth="1"/>
    <col min="11" max="11" width="11.1640625" style="47" bestFit="1" customWidth="1"/>
    <col min="12" max="12" width="14.5" style="47" customWidth="1"/>
    <col min="13" max="14" width="9.33203125" style="47"/>
    <col min="15" max="29" width="0" style="47" hidden="1" customWidth="1"/>
    <col min="30" max="30" width="106.1640625" style="47" hidden="1" customWidth="1"/>
    <col min="31" max="31" width="157.1640625" style="47" hidden="1" customWidth="1"/>
    <col min="32" max="32" width="117.83203125" style="47" hidden="1" customWidth="1"/>
    <col min="33" max="33" width="0" style="47" hidden="1" customWidth="1"/>
    <col min="34" max="34" width="93.33203125" style="47" hidden="1" customWidth="1"/>
    <col min="35" max="36" width="0" style="47" hidden="1" customWidth="1"/>
    <col min="37" max="16384" width="9.33203125" style="47"/>
  </cols>
  <sheetData>
    <row r="1" spans="1:12" ht="14.25" x14ac:dyDescent="0.2">
      <c r="A1" s="79"/>
      <c r="B1" s="79"/>
      <c r="C1" s="79"/>
      <c r="D1" s="79"/>
      <c r="E1" s="79"/>
      <c r="F1" s="79"/>
      <c r="G1" s="79"/>
      <c r="H1" s="79"/>
      <c r="I1" s="430" t="s">
        <v>15</v>
      </c>
      <c r="J1" s="430"/>
      <c r="K1" s="430"/>
      <c r="L1" s="430"/>
    </row>
    <row r="2" spans="1:12" ht="14.25" x14ac:dyDescent="0.2">
      <c r="A2" s="79"/>
      <c r="B2" s="79"/>
      <c r="C2" s="79"/>
      <c r="D2" s="79"/>
      <c r="E2" s="79"/>
      <c r="F2" s="79"/>
      <c r="G2" s="79"/>
      <c r="H2" s="79"/>
      <c r="I2" s="430" t="s">
        <v>16</v>
      </c>
      <c r="J2" s="430"/>
      <c r="K2" s="430"/>
      <c r="L2" s="430"/>
    </row>
    <row r="3" spans="1:12" ht="14.25" x14ac:dyDescent="0.2">
      <c r="A3" s="79"/>
      <c r="B3" s="79"/>
      <c r="C3" s="79"/>
      <c r="D3" s="79"/>
      <c r="E3" s="79"/>
      <c r="F3" s="79"/>
      <c r="G3" s="79"/>
      <c r="H3" s="79"/>
      <c r="I3" s="79"/>
      <c r="J3" s="431" t="s">
        <v>17</v>
      </c>
      <c r="K3" s="431"/>
      <c r="L3" s="431"/>
    </row>
    <row r="4" spans="1:12" ht="14.25" x14ac:dyDescent="0.2">
      <c r="A4" s="79"/>
      <c r="B4" s="79"/>
      <c r="C4" s="79"/>
      <c r="D4" s="79"/>
      <c r="E4" s="79"/>
      <c r="F4" s="79"/>
      <c r="G4" s="79"/>
      <c r="H4" s="79"/>
      <c r="I4" s="173" t="s">
        <v>18</v>
      </c>
      <c r="J4" s="432" t="s">
        <v>19</v>
      </c>
      <c r="K4" s="432"/>
      <c r="L4" s="432"/>
    </row>
    <row r="5" spans="1:12" ht="14.25" x14ac:dyDescent="0.2">
      <c r="A5" s="79"/>
      <c r="B5" s="79"/>
      <c r="C5" s="79"/>
      <c r="D5" s="79"/>
      <c r="E5" s="79"/>
      <c r="F5" s="79"/>
      <c r="G5" s="79"/>
      <c r="H5" s="79"/>
      <c r="I5" s="79"/>
      <c r="J5" s="421" t="s">
        <v>83</v>
      </c>
      <c r="K5" s="422"/>
      <c r="L5" s="423"/>
    </row>
    <row r="6" spans="1:12" ht="25.5" customHeight="1" x14ac:dyDescent="0.2">
      <c r="A6" s="427" t="s">
        <v>85</v>
      </c>
      <c r="B6" s="427"/>
      <c r="C6" s="428" t="s">
        <v>86</v>
      </c>
      <c r="D6" s="428"/>
      <c r="E6" s="428"/>
      <c r="F6" s="428"/>
      <c r="G6" s="428"/>
      <c r="H6" s="428"/>
      <c r="I6" s="173" t="s">
        <v>21</v>
      </c>
      <c r="J6" s="424"/>
      <c r="K6" s="425"/>
      <c r="L6" s="426"/>
    </row>
    <row r="7" spans="1:12" ht="14.25" customHeight="1" x14ac:dyDescent="0.2">
      <c r="A7" s="80"/>
      <c r="B7" s="80"/>
      <c r="C7" s="420" t="s">
        <v>22</v>
      </c>
      <c r="D7" s="420"/>
      <c r="E7" s="420"/>
      <c r="F7" s="420"/>
      <c r="G7" s="420"/>
      <c r="H7" s="420"/>
      <c r="I7" s="79"/>
      <c r="J7" s="421" t="s">
        <v>56</v>
      </c>
      <c r="K7" s="422"/>
      <c r="L7" s="423"/>
    </row>
    <row r="8" spans="1:12" ht="26.25" customHeight="1" x14ac:dyDescent="0.2">
      <c r="A8" s="427" t="s">
        <v>87</v>
      </c>
      <c r="B8" s="427"/>
      <c r="C8" s="428" t="s">
        <v>88</v>
      </c>
      <c r="D8" s="428"/>
      <c r="E8" s="428"/>
      <c r="F8" s="428"/>
      <c r="G8" s="428"/>
      <c r="H8" s="428"/>
      <c r="I8" s="173" t="s">
        <v>21</v>
      </c>
      <c r="J8" s="424"/>
      <c r="K8" s="425"/>
      <c r="L8" s="426"/>
    </row>
    <row r="9" spans="1:12" ht="14.25" customHeight="1" x14ac:dyDescent="0.2">
      <c r="A9" s="79"/>
      <c r="B9" s="79"/>
      <c r="C9" s="420" t="s">
        <v>22</v>
      </c>
      <c r="D9" s="420"/>
      <c r="E9" s="420"/>
      <c r="F9" s="420"/>
      <c r="G9" s="420"/>
      <c r="H9" s="420"/>
      <c r="I9" s="79"/>
      <c r="J9" s="421"/>
      <c r="K9" s="422"/>
      <c r="L9" s="423"/>
    </row>
    <row r="10" spans="1:12" ht="14.25" customHeight="1" x14ac:dyDescent="0.2">
      <c r="A10" s="79" t="s">
        <v>23</v>
      </c>
      <c r="B10" s="79"/>
      <c r="C10" s="429" t="s">
        <v>89</v>
      </c>
      <c r="D10" s="429"/>
      <c r="E10" s="429"/>
      <c r="F10" s="429"/>
      <c r="G10" s="429"/>
      <c r="H10" s="429"/>
      <c r="I10" s="79"/>
      <c r="J10" s="424"/>
      <c r="K10" s="425"/>
      <c r="L10" s="426"/>
    </row>
    <row r="11" spans="1:12" ht="14.25" customHeight="1" x14ac:dyDescent="0.2">
      <c r="A11" s="79"/>
      <c r="B11" s="79"/>
      <c r="C11" s="420" t="s">
        <v>24</v>
      </c>
      <c r="D11" s="420"/>
      <c r="E11" s="420"/>
      <c r="F11" s="420"/>
      <c r="G11" s="420"/>
      <c r="H11" s="420"/>
      <c r="I11" s="79"/>
      <c r="J11" s="450" t="s">
        <v>20</v>
      </c>
      <c r="K11" s="450"/>
      <c r="L11" s="450"/>
    </row>
    <row r="12" spans="1:12" ht="14.25" customHeight="1" x14ac:dyDescent="0.2">
      <c r="A12" s="79" t="s">
        <v>25</v>
      </c>
      <c r="B12" s="79"/>
      <c r="C12" s="451" t="s">
        <v>90</v>
      </c>
      <c r="D12" s="451"/>
      <c r="E12" s="451"/>
      <c r="F12" s="451"/>
      <c r="G12" s="451"/>
      <c r="H12" s="451"/>
      <c r="I12" s="79"/>
      <c r="J12" s="450"/>
      <c r="K12" s="450"/>
      <c r="L12" s="450"/>
    </row>
    <row r="13" spans="1:12" ht="14.25" customHeight="1" x14ac:dyDescent="0.2">
      <c r="A13" s="79"/>
      <c r="B13" s="79"/>
      <c r="C13" s="452" t="s">
        <v>26</v>
      </c>
      <c r="D13" s="452"/>
      <c r="E13" s="452"/>
      <c r="F13" s="452"/>
      <c r="G13" s="452"/>
      <c r="H13" s="452"/>
      <c r="I13" s="79"/>
      <c r="J13" s="79"/>
      <c r="K13" s="79"/>
      <c r="L13" s="79"/>
    </row>
    <row r="14" spans="1:12" ht="14.25" x14ac:dyDescent="0.2">
      <c r="A14" s="79"/>
      <c r="B14" s="79"/>
      <c r="C14" s="79"/>
      <c r="D14" s="79"/>
      <c r="E14" s="79"/>
      <c r="F14" s="79"/>
      <c r="G14" s="433" t="s">
        <v>27</v>
      </c>
      <c r="H14" s="433"/>
      <c r="I14" s="433"/>
      <c r="J14" s="431"/>
      <c r="K14" s="431"/>
      <c r="L14" s="431"/>
    </row>
    <row r="15" spans="1:12" ht="14.25" customHeight="1" x14ac:dyDescent="0.2">
      <c r="A15" s="79"/>
      <c r="B15" s="79"/>
      <c r="C15" s="79"/>
      <c r="D15" s="79"/>
      <c r="E15" s="79"/>
      <c r="F15" s="79"/>
      <c r="G15" s="433" t="s">
        <v>28</v>
      </c>
      <c r="H15" s="434"/>
      <c r="I15" s="81" t="s">
        <v>29</v>
      </c>
      <c r="J15" s="435" t="s">
        <v>91</v>
      </c>
      <c r="K15" s="436"/>
      <c r="L15" s="437"/>
    </row>
    <row r="16" spans="1:12" ht="14.25" x14ac:dyDescent="0.2">
      <c r="A16" s="79"/>
      <c r="B16" s="79"/>
      <c r="C16" s="79"/>
      <c r="D16" s="79"/>
      <c r="E16" s="79"/>
      <c r="F16" s="79"/>
      <c r="G16" s="79"/>
      <c r="H16" s="79"/>
      <c r="I16" s="174" t="s">
        <v>30</v>
      </c>
      <c r="J16" s="438">
        <v>41544</v>
      </c>
      <c r="K16" s="438"/>
      <c r="L16" s="438"/>
    </row>
    <row r="17" spans="1:31" ht="14.25" customHeight="1" x14ac:dyDescent="0.2">
      <c r="A17" s="79"/>
      <c r="B17" s="79"/>
      <c r="C17" s="79"/>
      <c r="D17" s="79"/>
      <c r="E17" s="79"/>
      <c r="F17" s="79"/>
      <c r="G17" s="79"/>
      <c r="H17" s="79"/>
      <c r="I17" s="82"/>
      <c r="J17" s="439">
        <v>25</v>
      </c>
      <c r="K17" s="440"/>
      <c r="L17" s="441"/>
    </row>
    <row r="18" spans="1:31" ht="14.25" x14ac:dyDescent="0.2">
      <c r="A18" s="79"/>
      <c r="B18" s="79"/>
      <c r="C18" s="79"/>
      <c r="D18" s="79"/>
      <c r="E18" s="79"/>
      <c r="F18" s="79"/>
      <c r="G18" s="79"/>
      <c r="H18" s="79"/>
      <c r="I18" s="82"/>
      <c r="J18" s="442">
        <v>44158</v>
      </c>
      <c r="K18" s="443"/>
      <c r="L18" s="444"/>
    </row>
    <row r="19" spans="1:31" ht="14.25" customHeight="1" x14ac:dyDescent="0.2">
      <c r="A19" s="79"/>
      <c r="B19" s="79"/>
      <c r="C19" s="79"/>
      <c r="D19" s="79"/>
      <c r="E19" s="79"/>
      <c r="F19" s="79"/>
      <c r="G19" s="79"/>
      <c r="H19" s="79"/>
      <c r="I19" s="82"/>
      <c r="J19" s="156"/>
      <c r="K19" s="156"/>
      <c r="L19" s="156"/>
    </row>
    <row r="20" spans="1:31" s="141" customFormat="1" ht="18" customHeight="1" x14ac:dyDescent="0.25">
      <c r="A20" s="79"/>
      <c r="B20" s="79"/>
      <c r="C20" s="79"/>
      <c r="D20" s="79"/>
      <c r="E20" s="79"/>
      <c r="F20" s="79"/>
      <c r="G20" s="445" t="s">
        <v>31</v>
      </c>
      <c r="H20" s="447" t="s">
        <v>32</v>
      </c>
      <c r="I20" s="447" t="s">
        <v>33</v>
      </c>
      <c r="J20" s="449"/>
      <c r="K20" s="156"/>
      <c r="L20" s="156"/>
      <c r="M20" s="140"/>
    </row>
    <row r="21" spans="1:31" s="141" customFormat="1" ht="14.25" customHeight="1" x14ac:dyDescent="0.25">
      <c r="A21" s="79"/>
      <c r="B21" s="79"/>
      <c r="C21" s="79"/>
      <c r="D21" s="79"/>
      <c r="E21" s="79"/>
      <c r="F21" s="79"/>
      <c r="G21" s="446"/>
      <c r="H21" s="448"/>
      <c r="I21" s="170" t="s">
        <v>34</v>
      </c>
      <c r="J21" s="169" t="s">
        <v>35</v>
      </c>
      <c r="K21" s="156"/>
      <c r="L21" s="156"/>
      <c r="M21" s="140"/>
    </row>
    <row r="22" spans="1:31" s="141" customFormat="1" ht="14.25" x14ac:dyDescent="0.2">
      <c r="A22" s="79"/>
      <c r="B22" s="79"/>
      <c r="C22" s="79"/>
      <c r="D22" s="79"/>
      <c r="E22" s="79"/>
      <c r="F22" s="79"/>
      <c r="G22" s="157" t="s">
        <v>238</v>
      </c>
      <c r="H22" s="158">
        <v>44255</v>
      </c>
      <c r="I22" s="158">
        <v>44228</v>
      </c>
      <c r="J22" s="159">
        <f>H22</f>
        <v>44255</v>
      </c>
      <c r="K22" s="79"/>
      <c r="L22" s="79"/>
    </row>
    <row r="23" spans="1:31" s="141" customFormat="1" ht="14.25" customHeight="1" x14ac:dyDescent="0.2">
      <c r="A23" s="79"/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1:31" s="141" customFormat="1" ht="14.25" x14ac:dyDescent="0.2">
      <c r="A24" s="79"/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1:31" s="141" customFormat="1" ht="18" x14ac:dyDescent="0.25">
      <c r="A25" s="453" t="s">
        <v>36</v>
      </c>
      <c r="B25" s="453"/>
      <c r="C25" s="453"/>
      <c r="D25" s="453"/>
      <c r="E25" s="453"/>
      <c r="F25" s="453"/>
      <c r="G25" s="453"/>
      <c r="H25" s="453"/>
      <c r="I25" s="453"/>
      <c r="J25" s="453"/>
      <c r="K25" s="453"/>
      <c r="L25" s="453"/>
    </row>
    <row r="26" spans="1:31" s="141" customFormat="1" ht="18" x14ac:dyDescent="0.25">
      <c r="A26" s="453" t="s">
        <v>37</v>
      </c>
      <c r="B26" s="453"/>
      <c r="C26" s="453"/>
      <c r="D26" s="453"/>
      <c r="E26" s="453"/>
      <c r="F26" s="453"/>
      <c r="G26" s="453"/>
      <c r="H26" s="453"/>
      <c r="I26" s="453"/>
      <c r="J26" s="453"/>
      <c r="K26" s="453"/>
      <c r="L26" s="453"/>
    </row>
    <row r="27" spans="1:31" ht="14.25" x14ac:dyDescent="0.2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</row>
    <row r="28" spans="1:31" ht="15" hidden="1" x14ac:dyDescent="0.25">
      <c r="A28" s="44" t="s">
        <v>66</v>
      </c>
      <c r="B28" s="44"/>
      <c r="C28" s="44"/>
      <c r="D28" s="44"/>
      <c r="E28" s="44"/>
      <c r="F28" s="44"/>
      <c r="G28" s="44"/>
      <c r="H28" s="396">
        <f>([79]Source!P1314/1000)</f>
        <v>328.02</v>
      </c>
      <c r="I28" s="396"/>
      <c r="J28" s="44" t="s">
        <v>67</v>
      </c>
      <c r="K28" s="44"/>
      <c r="L28" s="44"/>
    </row>
    <row r="29" spans="1:31" ht="15" x14ac:dyDescent="0.25">
      <c r="A29" s="44" t="s">
        <v>204</v>
      </c>
      <c r="B29" s="44"/>
      <c r="C29" s="44"/>
      <c r="D29" s="44"/>
      <c r="E29" s="44"/>
      <c r="F29" s="44"/>
      <c r="G29" s="44"/>
      <c r="H29" s="182"/>
      <c r="I29" s="182"/>
      <c r="J29" s="44"/>
      <c r="K29" s="44"/>
      <c r="L29" s="44"/>
    </row>
    <row r="30" spans="1:31" ht="14.25" x14ac:dyDescent="0.2">
      <c r="A30" s="397" t="s">
        <v>209</v>
      </c>
      <c r="B30" s="397"/>
      <c r="C30" s="397"/>
      <c r="D30" s="397"/>
      <c r="E30" s="397"/>
      <c r="F30" s="397"/>
      <c r="G30" s="397"/>
      <c r="H30" s="397"/>
      <c r="I30" s="397"/>
      <c r="J30" s="397"/>
      <c r="K30" s="397"/>
      <c r="L30" s="397"/>
      <c r="AE30" s="171" t="s">
        <v>209</v>
      </c>
    </row>
    <row r="31" spans="1:31" x14ac:dyDescent="0.2">
      <c r="A31" s="398" t="s">
        <v>38</v>
      </c>
      <c r="B31" s="399"/>
      <c r="C31" s="392" t="s">
        <v>39</v>
      </c>
      <c r="D31" s="392" t="s">
        <v>40</v>
      </c>
      <c r="E31" s="392" t="s">
        <v>75</v>
      </c>
      <c r="F31" s="392" t="s">
        <v>68</v>
      </c>
      <c r="G31" s="392" t="s">
        <v>69</v>
      </c>
      <c r="H31" s="392" t="s">
        <v>76</v>
      </c>
      <c r="I31" s="392" t="s">
        <v>77</v>
      </c>
      <c r="J31" s="392" t="s">
        <v>78</v>
      </c>
      <c r="K31" s="392" t="s">
        <v>79</v>
      </c>
      <c r="L31" s="392" t="s">
        <v>80</v>
      </c>
    </row>
    <row r="32" spans="1:31" x14ac:dyDescent="0.2">
      <c r="A32" s="400"/>
      <c r="B32" s="401"/>
      <c r="C32" s="393"/>
      <c r="D32" s="393"/>
      <c r="E32" s="393"/>
      <c r="F32" s="393"/>
      <c r="G32" s="393"/>
      <c r="H32" s="393"/>
      <c r="I32" s="393"/>
      <c r="J32" s="393"/>
      <c r="K32" s="393"/>
      <c r="L32" s="393"/>
    </row>
    <row r="33" spans="1:31" x14ac:dyDescent="0.2">
      <c r="A33" s="395" t="s">
        <v>41</v>
      </c>
      <c r="B33" s="395" t="s">
        <v>42</v>
      </c>
      <c r="C33" s="393"/>
      <c r="D33" s="393"/>
      <c r="E33" s="393"/>
      <c r="F33" s="393"/>
      <c r="G33" s="393"/>
      <c r="H33" s="393"/>
      <c r="I33" s="393"/>
      <c r="J33" s="393"/>
      <c r="K33" s="393"/>
      <c r="L33" s="393"/>
    </row>
    <row r="34" spans="1:31" x14ac:dyDescent="0.2">
      <c r="A34" s="395"/>
      <c r="B34" s="395"/>
      <c r="C34" s="393"/>
      <c r="D34" s="393"/>
      <c r="E34" s="393"/>
      <c r="F34" s="393"/>
      <c r="G34" s="393"/>
      <c r="H34" s="393"/>
      <c r="I34" s="393"/>
      <c r="J34" s="393"/>
      <c r="K34" s="393"/>
      <c r="L34" s="393"/>
    </row>
    <row r="35" spans="1:31" x14ac:dyDescent="0.2">
      <c r="A35" s="395"/>
      <c r="B35" s="395"/>
      <c r="C35" s="393"/>
      <c r="D35" s="393"/>
      <c r="E35" s="393"/>
      <c r="F35" s="393"/>
      <c r="G35" s="393"/>
      <c r="H35" s="393"/>
      <c r="I35" s="393"/>
      <c r="J35" s="393"/>
      <c r="K35" s="393"/>
      <c r="L35" s="393"/>
    </row>
    <row r="36" spans="1:31" x14ac:dyDescent="0.2">
      <c r="A36" s="395"/>
      <c r="B36" s="395"/>
      <c r="C36" s="393"/>
      <c r="D36" s="393"/>
      <c r="E36" s="393"/>
      <c r="F36" s="393"/>
      <c r="G36" s="393"/>
      <c r="H36" s="393"/>
      <c r="I36" s="393"/>
      <c r="J36" s="393"/>
      <c r="K36" s="393"/>
      <c r="L36" s="393"/>
    </row>
    <row r="37" spans="1:31" x14ac:dyDescent="0.2">
      <c r="A37" s="395"/>
      <c r="B37" s="395"/>
      <c r="C37" s="393"/>
      <c r="D37" s="393"/>
      <c r="E37" s="393"/>
      <c r="F37" s="393"/>
      <c r="G37" s="393"/>
      <c r="H37" s="393"/>
      <c r="I37" s="393"/>
      <c r="J37" s="393"/>
      <c r="K37" s="393"/>
      <c r="L37" s="393"/>
    </row>
    <row r="38" spans="1:31" x14ac:dyDescent="0.2">
      <c r="A38" s="395"/>
      <c r="B38" s="395"/>
      <c r="C38" s="394"/>
      <c r="D38" s="394"/>
      <c r="E38" s="394"/>
      <c r="F38" s="394"/>
      <c r="G38" s="394"/>
      <c r="H38" s="394"/>
      <c r="I38" s="394"/>
      <c r="J38" s="394"/>
      <c r="K38" s="394"/>
      <c r="L38" s="394"/>
    </row>
    <row r="39" spans="1:31" ht="14.25" x14ac:dyDescent="0.2">
      <c r="A39" s="175">
        <v>1</v>
      </c>
      <c r="B39" s="175">
        <v>2</v>
      </c>
      <c r="C39" s="175">
        <v>3</v>
      </c>
      <c r="D39" s="175">
        <v>4</v>
      </c>
      <c r="E39" s="175">
        <v>5</v>
      </c>
      <c r="F39" s="175">
        <v>6</v>
      </c>
      <c r="G39" s="175">
        <v>7</v>
      </c>
      <c r="H39" s="175">
        <v>8</v>
      </c>
      <c r="I39" s="175">
        <v>9</v>
      </c>
      <c r="J39" s="175">
        <v>10</v>
      </c>
      <c r="K39" s="175">
        <v>11</v>
      </c>
      <c r="L39" s="175">
        <v>12</v>
      </c>
    </row>
    <row r="41" spans="1:31" ht="49.5" customHeight="1" x14ac:dyDescent="0.25">
      <c r="A41" s="402" t="s">
        <v>253</v>
      </c>
      <c r="B41" s="402"/>
      <c r="C41" s="402"/>
      <c r="D41" s="402"/>
      <c r="E41" s="402"/>
      <c r="F41" s="402"/>
      <c r="G41" s="402"/>
      <c r="H41" s="402"/>
      <c r="I41" s="402"/>
      <c r="J41" s="402"/>
      <c r="K41" s="402"/>
      <c r="L41" s="402"/>
      <c r="AE41" s="179" t="str">
        <f>CONCATENATE("Локальная смета: ",IF([79]Source!G20&lt;&gt;"Новая локальная смета", [79]Source!G20, ""))</f>
        <v>Локальная смета: Станционный комплекс "Аминьевское шоссе".Вестибюль №2, камера съездов, ТПП. Архитектурные решения служебных и технических помещений. Уровни кассового зала и машинного зала эскалаторов.</v>
      </c>
    </row>
    <row r="43" spans="1:31" ht="16.5" hidden="1" x14ac:dyDescent="0.25">
      <c r="A43" s="402" t="str">
        <f>CONCATENATE("Раздел: ",IF([79]Source!G24&lt;&gt;"Новый раздел", [79]Source!G24, ""))</f>
        <v>Раздел: 1.ПОЛЫ</v>
      </c>
      <c r="B43" s="402"/>
      <c r="C43" s="402"/>
      <c r="D43" s="402"/>
      <c r="E43" s="402"/>
      <c r="F43" s="402"/>
      <c r="G43" s="402"/>
      <c r="H43" s="402"/>
      <c r="I43" s="402"/>
      <c r="J43" s="402"/>
      <c r="K43" s="402"/>
      <c r="L43" s="402"/>
    </row>
    <row r="44" spans="1:31" hidden="1" x14ac:dyDescent="0.2"/>
    <row r="45" spans="1:31" ht="16.5" hidden="1" x14ac:dyDescent="0.25">
      <c r="A45" s="402" t="str">
        <f>CONCATENATE("Подраздел: ",IF([79]Source!G28&lt;&gt;"Новый подраздел", [79]Source!G28, ""))</f>
        <v>Подраздел: 1.1. Тип В2-1</v>
      </c>
      <c r="B45" s="402"/>
      <c r="C45" s="402"/>
      <c r="D45" s="402"/>
      <c r="E45" s="402"/>
      <c r="F45" s="402"/>
      <c r="G45" s="402"/>
      <c r="H45" s="402"/>
      <c r="I45" s="402"/>
      <c r="J45" s="402"/>
      <c r="K45" s="402"/>
      <c r="L45" s="402"/>
    </row>
    <row r="46" spans="1:31" hidden="1" x14ac:dyDescent="0.2"/>
    <row r="47" spans="1:31" ht="15" hidden="1" x14ac:dyDescent="0.25">
      <c r="A47" s="403" t="str">
        <f>CONCATENATE("Итого по подразделу: ",IF([79]Source!G63&lt;&gt;"Новый подраздел", [79]Source!G63, ""))</f>
        <v>Итого по подразделу: 1.1. Тип В2-1</v>
      </c>
      <c r="B47" s="403"/>
      <c r="C47" s="403"/>
      <c r="D47" s="403"/>
      <c r="E47" s="403"/>
      <c r="F47" s="403"/>
      <c r="G47" s="403"/>
      <c r="H47" s="403"/>
      <c r="I47" s="404">
        <f>SUM(O45:O46)</f>
        <v>0</v>
      </c>
      <c r="J47" s="405"/>
      <c r="K47" s="404">
        <f>SUM(P45:P46)</f>
        <v>0</v>
      </c>
      <c r="L47" s="405"/>
    </row>
    <row r="48" spans="1:31" hidden="1" x14ac:dyDescent="0.2">
      <c r="A48" s="47" t="s">
        <v>54</v>
      </c>
      <c r="J48" s="47">
        <f>SUM(W45:W47)</f>
        <v>0</v>
      </c>
      <c r="K48" s="47">
        <f>SUM(X45:X47)</f>
        <v>0</v>
      </c>
    </row>
    <row r="49" spans="1:12" hidden="1" x14ac:dyDescent="0.2">
      <c r="A49" s="47" t="s">
        <v>55</v>
      </c>
      <c r="J49" s="47">
        <f>SUM(Y45:Y48)</f>
        <v>0</v>
      </c>
      <c r="K49" s="47">
        <f>SUM(Z45:Z48)</f>
        <v>0</v>
      </c>
    </row>
    <row r="50" spans="1:12" hidden="1" x14ac:dyDescent="0.2"/>
    <row r="51" spans="1:12" ht="16.5" hidden="1" x14ac:dyDescent="0.25">
      <c r="A51" s="402" t="str">
        <f>CONCATENATE("Подраздел: ",IF([79]Source!G93&lt;&gt;"Новый подраздел", [79]Source!G93, ""))</f>
        <v>Подраздел: 1.2. Тип В2- 2</v>
      </c>
      <c r="B51" s="402"/>
      <c r="C51" s="402"/>
      <c r="D51" s="402"/>
      <c r="E51" s="402"/>
      <c r="F51" s="402"/>
      <c r="G51" s="402"/>
      <c r="H51" s="402"/>
      <c r="I51" s="402"/>
      <c r="J51" s="402"/>
      <c r="K51" s="402"/>
      <c r="L51" s="402"/>
    </row>
    <row r="52" spans="1:12" hidden="1" x14ac:dyDescent="0.2"/>
    <row r="53" spans="1:12" ht="15" hidden="1" x14ac:dyDescent="0.25">
      <c r="A53" s="403" t="str">
        <f>CONCATENATE("Итого по подразделу: ",IF([79]Source!G134&lt;&gt;"Новый подраздел", [79]Source!G134, ""))</f>
        <v>Итого по подразделу: 1.2. Тип В2- 2</v>
      </c>
      <c r="B53" s="403"/>
      <c r="C53" s="403"/>
      <c r="D53" s="403"/>
      <c r="E53" s="403"/>
      <c r="F53" s="403"/>
      <c r="G53" s="403"/>
      <c r="H53" s="403"/>
      <c r="I53" s="404">
        <f>SUM(O51:O52)</f>
        <v>0</v>
      </c>
      <c r="J53" s="405"/>
      <c r="K53" s="404">
        <f>SUM(P51:P52)</f>
        <v>0</v>
      </c>
      <c r="L53" s="405"/>
    </row>
    <row r="54" spans="1:12" hidden="1" x14ac:dyDescent="0.2">
      <c r="A54" s="47" t="s">
        <v>54</v>
      </c>
      <c r="J54" s="47">
        <f>SUM(W51:W53)</f>
        <v>0</v>
      </c>
      <c r="K54" s="47">
        <f>SUM(X51:X53)</f>
        <v>0</v>
      </c>
    </row>
    <row r="55" spans="1:12" hidden="1" x14ac:dyDescent="0.2">
      <c r="A55" s="47" t="s">
        <v>55</v>
      </c>
      <c r="J55" s="47">
        <f>SUM(Y51:Y54)</f>
        <v>0</v>
      </c>
      <c r="K55" s="47">
        <f>SUM(Z51:Z54)</f>
        <v>0</v>
      </c>
    </row>
    <row r="56" spans="1:12" hidden="1" x14ac:dyDescent="0.2"/>
    <row r="57" spans="1:12" ht="16.5" hidden="1" x14ac:dyDescent="0.25">
      <c r="A57" s="402" t="str">
        <f>CONCATENATE("Подраздел: ",IF([79]Source!G164&lt;&gt;"Новый подраздел", [79]Source!G164, ""))</f>
        <v>Подраздел: 1.3. Тип В2-3</v>
      </c>
      <c r="B57" s="402"/>
      <c r="C57" s="402"/>
      <c r="D57" s="402"/>
      <c r="E57" s="402"/>
      <c r="F57" s="402"/>
      <c r="G57" s="402"/>
      <c r="H57" s="402"/>
      <c r="I57" s="402"/>
      <c r="J57" s="402"/>
      <c r="K57" s="402"/>
      <c r="L57" s="402"/>
    </row>
    <row r="58" spans="1:12" hidden="1" x14ac:dyDescent="0.2"/>
    <row r="59" spans="1:12" ht="15" hidden="1" x14ac:dyDescent="0.25">
      <c r="A59" s="403" t="str">
        <f>CONCATENATE("Итого по подразделу: ",IF([79]Source!G189&lt;&gt;"Новый подраздел", [79]Source!G189, ""))</f>
        <v>Итого по подразделу: 1.3. Тип В2-3</v>
      </c>
      <c r="B59" s="403"/>
      <c r="C59" s="403"/>
      <c r="D59" s="403"/>
      <c r="E59" s="403"/>
      <c r="F59" s="403"/>
      <c r="G59" s="403"/>
      <c r="H59" s="403"/>
      <c r="I59" s="404">
        <f>SUM(O57:O58)</f>
        <v>0</v>
      </c>
      <c r="J59" s="405"/>
      <c r="K59" s="404">
        <f>SUM(P57:P58)</f>
        <v>0</v>
      </c>
      <c r="L59" s="405"/>
    </row>
    <row r="60" spans="1:12" hidden="1" x14ac:dyDescent="0.2">
      <c r="A60" s="47" t="s">
        <v>54</v>
      </c>
      <c r="J60" s="47">
        <f>SUM(W57:W59)</f>
        <v>0</v>
      </c>
      <c r="K60" s="47">
        <f>SUM(X57:X59)</f>
        <v>0</v>
      </c>
    </row>
    <row r="61" spans="1:12" hidden="1" x14ac:dyDescent="0.2">
      <c r="A61" s="47" t="s">
        <v>55</v>
      </c>
      <c r="J61" s="47">
        <f>SUM(Y57:Y60)</f>
        <v>0</v>
      </c>
      <c r="K61" s="47">
        <f>SUM(Z57:Z60)</f>
        <v>0</v>
      </c>
    </row>
    <row r="62" spans="1:12" hidden="1" x14ac:dyDescent="0.2"/>
    <row r="63" spans="1:12" ht="16.5" hidden="1" x14ac:dyDescent="0.25">
      <c r="A63" s="402" t="str">
        <f>CONCATENATE("Подраздел: ",IF([79]Source!G219&lt;&gt;"Новый подраздел", [79]Source!G219, ""))</f>
        <v>Подраздел: 1.4. Тип В2-4</v>
      </c>
      <c r="B63" s="402"/>
      <c r="C63" s="402"/>
      <c r="D63" s="402"/>
      <c r="E63" s="402"/>
      <c r="F63" s="402"/>
      <c r="G63" s="402"/>
      <c r="H63" s="402"/>
      <c r="I63" s="402"/>
      <c r="J63" s="402"/>
      <c r="K63" s="402"/>
      <c r="L63" s="402"/>
    </row>
    <row r="64" spans="1:12" hidden="1" x14ac:dyDescent="0.2"/>
    <row r="65" spans="1:12" ht="15" hidden="1" x14ac:dyDescent="0.25">
      <c r="A65" s="403" t="str">
        <f>CONCATENATE("Итого по подразделу: ",IF([79]Source!G252&lt;&gt;"Новый подраздел", [79]Source!G252, ""))</f>
        <v>Итого по подразделу: 1.4. Тип В2-4</v>
      </c>
      <c r="B65" s="403"/>
      <c r="C65" s="403"/>
      <c r="D65" s="403"/>
      <c r="E65" s="403"/>
      <c r="F65" s="403"/>
      <c r="G65" s="403"/>
      <c r="H65" s="403"/>
      <c r="I65" s="404">
        <f>SUM(O63:O64)</f>
        <v>0</v>
      </c>
      <c r="J65" s="405"/>
      <c r="K65" s="404">
        <f>SUM(P63:P64)</f>
        <v>0</v>
      </c>
      <c r="L65" s="405"/>
    </row>
    <row r="66" spans="1:12" hidden="1" x14ac:dyDescent="0.2">
      <c r="A66" s="47" t="s">
        <v>54</v>
      </c>
      <c r="J66" s="47">
        <f>SUM(W63:W65)</f>
        <v>0</v>
      </c>
      <c r="K66" s="47">
        <f>SUM(X63:X65)</f>
        <v>0</v>
      </c>
    </row>
    <row r="67" spans="1:12" hidden="1" x14ac:dyDescent="0.2">
      <c r="A67" s="47" t="s">
        <v>55</v>
      </c>
      <c r="J67" s="47">
        <f>SUM(Y63:Y66)</f>
        <v>0</v>
      </c>
      <c r="K67" s="47">
        <f>SUM(Z63:Z66)</f>
        <v>0</v>
      </c>
    </row>
    <row r="68" spans="1:12" hidden="1" x14ac:dyDescent="0.2"/>
    <row r="69" spans="1:12" ht="16.5" hidden="1" x14ac:dyDescent="0.25">
      <c r="A69" s="402" t="str">
        <f>CONCATENATE("Подраздел: ",IF([79]Source!G282&lt;&gt;"Новый подраздел", [79]Source!G282, ""))</f>
        <v>Подраздел: 1.5. Тип В2-4а</v>
      </c>
      <c r="B69" s="402"/>
      <c r="C69" s="402"/>
      <c r="D69" s="402"/>
      <c r="E69" s="402"/>
      <c r="F69" s="402"/>
      <c r="G69" s="402"/>
      <c r="H69" s="402"/>
      <c r="I69" s="402"/>
      <c r="J69" s="402"/>
      <c r="K69" s="402"/>
      <c r="L69" s="402"/>
    </row>
    <row r="70" spans="1:12" hidden="1" x14ac:dyDescent="0.2"/>
    <row r="71" spans="1:12" ht="15" hidden="1" x14ac:dyDescent="0.25">
      <c r="A71" s="403" t="str">
        <f>CONCATENATE("Итого по подразделу: ",IF([79]Source!G315&lt;&gt;"Новый подраздел", [79]Source!G315, ""))</f>
        <v>Итого по подразделу: 1.5. Тип В2-4а</v>
      </c>
      <c r="B71" s="403"/>
      <c r="C71" s="403"/>
      <c r="D71" s="403"/>
      <c r="E71" s="403"/>
      <c r="F71" s="403"/>
      <c r="G71" s="403"/>
      <c r="H71" s="403"/>
      <c r="I71" s="404">
        <f>SUM(O69:O70)</f>
        <v>0</v>
      </c>
      <c r="J71" s="405"/>
      <c r="K71" s="404">
        <f>SUM(P69:P70)</f>
        <v>0</v>
      </c>
      <c r="L71" s="405"/>
    </row>
    <row r="72" spans="1:12" hidden="1" x14ac:dyDescent="0.2">
      <c r="A72" s="47" t="s">
        <v>54</v>
      </c>
      <c r="J72" s="47">
        <f>SUM(W69:W71)</f>
        <v>0</v>
      </c>
      <c r="K72" s="47">
        <f>SUM(X69:X71)</f>
        <v>0</v>
      </c>
    </row>
    <row r="73" spans="1:12" hidden="1" x14ac:dyDescent="0.2">
      <c r="A73" s="47" t="s">
        <v>55</v>
      </c>
      <c r="J73" s="47">
        <f>SUM(Y69:Y72)</f>
        <v>0</v>
      </c>
      <c r="K73" s="47">
        <f>SUM(Z69:Z72)</f>
        <v>0</v>
      </c>
    </row>
    <row r="74" spans="1:12" hidden="1" x14ac:dyDescent="0.2"/>
    <row r="75" spans="1:12" ht="16.5" hidden="1" x14ac:dyDescent="0.25">
      <c r="A75" s="402" t="str">
        <f>CONCATENATE("Подраздел: ",IF([79]Source!G345&lt;&gt;"Новый подраздел", [79]Source!G345, ""))</f>
        <v>Подраздел: 1.6.Тип В2-4б</v>
      </c>
      <c r="B75" s="402"/>
      <c r="C75" s="402"/>
      <c r="D75" s="402"/>
      <c r="E75" s="402"/>
      <c r="F75" s="402"/>
      <c r="G75" s="402"/>
      <c r="H75" s="402"/>
      <c r="I75" s="402"/>
      <c r="J75" s="402"/>
      <c r="K75" s="402"/>
      <c r="L75" s="402"/>
    </row>
    <row r="76" spans="1:12" hidden="1" x14ac:dyDescent="0.2"/>
    <row r="77" spans="1:12" ht="15" hidden="1" x14ac:dyDescent="0.25">
      <c r="A77" s="403" t="str">
        <f>CONCATENATE("Итого по подразделу: ",IF([79]Source!G378&lt;&gt;"Новый подраздел", [79]Source!G378, ""))</f>
        <v>Итого по подразделу: 1.6.Тип В2-4б</v>
      </c>
      <c r="B77" s="403"/>
      <c r="C77" s="403"/>
      <c r="D77" s="403"/>
      <c r="E77" s="403"/>
      <c r="F77" s="403"/>
      <c r="G77" s="403"/>
      <c r="H77" s="403"/>
      <c r="I77" s="404">
        <f>SUM(O75:O76)</f>
        <v>0</v>
      </c>
      <c r="J77" s="405"/>
      <c r="K77" s="404">
        <f>SUM(P75:P76)</f>
        <v>0</v>
      </c>
      <c r="L77" s="405"/>
    </row>
    <row r="78" spans="1:12" hidden="1" x14ac:dyDescent="0.2">
      <c r="A78" s="47" t="s">
        <v>54</v>
      </c>
      <c r="J78" s="47">
        <f>SUM(W75:W77)</f>
        <v>0</v>
      </c>
      <c r="K78" s="47">
        <f>SUM(X75:X77)</f>
        <v>0</v>
      </c>
    </row>
    <row r="79" spans="1:12" hidden="1" x14ac:dyDescent="0.2">
      <c r="A79" s="47" t="s">
        <v>55</v>
      </c>
      <c r="J79" s="47">
        <f>SUM(Y75:Y78)</f>
        <v>0</v>
      </c>
      <c r="K79" s="47">
        <f>SUM(Z75:Z78)</f>
        <v>0</v>
      </c>
    </row>
    <row r="80" spans="1:12" hidden="1" x14ac:dyDescent="0.2"/>
    <row r="81" spans="1:12" ht="16.5" hidden="1" x14ac:dyDescent="0.25">
      <c r="A81" s="402" t="str">
        <f>CONCATENATE("Подраздел: ",IF([79]Source!G408&lt;&gt;"Новый подраздел", [79]Source!G408, ""))</f>
        <v>Подраздел: 1.7. Тип В2-4в</v>
      </c>
      <c r="B81" s="402"/>
      <c r="C81" s="402"/>
      <c r="D81" s="402"/>
      <c r="E81" s="402"/>
      <c r="F81" s="402"/>
      <c r="G81" s="402"/>
      <c r="H81" s="402"/>
      <c r="I81" s="402"/>
      <c r="J81" s="402"/>
      <c r="K81" s="402"/>
      <c r="L81" s="402"/>
    </row>
    <row r="82" spans="1:12" hidden="1" x14ac:dyDescent="0.2"/>
    <row r="83" spans="1:12" ht="15" hidden="1" x14ac:dyDescent="0.25">
      <c r="A83" s="403" t="str">
        <f>CONCATENATE("Итого по подразделу: ",IF([79]Source!G441&lt;&gt;"Новый подраздел", [79]Source!G441, ""))</f>
        <v>Итого по подразделу: 1.7. Тип В2-4в</v>
      </c>
      <c r="B83" s="403"/>
      <c r="C83" s="403"/>
      <c r="D83" s="403"/>
      <c r="E83" s="403"/>
      <c r="F83" s="403"/>
      <c r="G83" s="403"/>
      <c r="H83" s="403"/>
      <c r="I83" s="404">
        <f>SUM(O81:O82)</f>
        <v>0</v>
      </c>
      <c r="J83" s="405"/>
      <c r="K83" s="404">
        <f>SUM(P81:P82)</f>
        <v>0</v>
      </c>
      <c r="L83" s="405"/>
    </row>
    <row r="84" spans="1:12" hidden="1" x14ac:dyDescent="0.2">
      <c r="A84" s="47" t="s">
        <v>54</v>
      </c>
      <c r="J84" s="47">
        <f>SUM(W81:W83)</f>
        <v>0</v>
      </c>
      <c r="K84" s="47">
        <f>SUM(X81:X83)</f>
        <v>0</v>
      </c>
    </row>
    <row r="85" spans="1:12" hidden="1" x14ac:dyDescent="0.2">
      <c r="A85" s="47" t="s">
        <v>55</v>
      </c>
      <c r="J85" s="47">
        <f>SUM(Y81:Y84)</f>
        <v>0</v>
      </c>
      <c r="K85" s="47">
        <f>SUM(Z81:Z84)</f>
        <v>0</v>
      </c>
    </row>
    <row r="86" spans="1:12" hidden="1" x14ac:dyDescent="0.2"/>
    <row r="87" spans="1:12" ht="16.5" hidden="1" x14ac:dyDescent="0.25">
      <c r="A87" s="402" t="str">
        <f>CONCATENATE("Подраздел: ",IF([79]Source!G471&lt;&gt;"Новый подраздел", [79]Source!G471, ""))</f>
        <v>Подраздел: 1.8. Тип В2-6</v>
      </c>
      <c r="B87" s="402"/>
      <c r="C87" s="402"/>
      <c r="D87" s="402"/>
      <c r="E87" s="402"/>
      <c r="F87" s="402"/>
      <c r="G87" s="402"/>
      <c r="H87" s="402"/>
      <c r="I87" s="402"/>
      <c r="J87" s="402"/>
      <c r="K87" s="402"/>
      <c r="L87" s="402"/>
    </row>
    <row r="88" spans="1:12" hidden="1" x14ac:dyDescent="0.2"/>
    <row r="89" spans="1:12" ht="15" hidden="1" x14ac:dyDescent="0.25">
      <c r="A89" s="403" t="str">
        <f>CONCATENATE("Итого по подразделу: ",IF([79]Source!G502&lt;&gt;"Новый подраздел", [79]Source!G502, ""))</f>
        <v>Итого по подразделу: 1.8. Тип В2-6</v>
      </c>
      <c r="B89" s="403"/>
      <c r="C89" s="403"/>
      <c r="D89" s="403"/>
      <c r="E89" s="403"/>
      <c r="F89" s="403"/>
      <c r="G89" s="403"/>
      <c r="H89" s="403"/>
      <c r="I89" s="404">
        <f>SUM(O87:O88)</f>
        <v>0</v>
      </c>
      <c r="J89" s="405"/>
      <c r="K89" s="404">
        <f>SUM(P87:P88)</f>
        <v>0</v>
      </c>
      <c r="L89" s="405"/>
    </row>
    <row r="90" spans="1:12" hidden="1" x14ac:dyDescent="0.2">
      <c r="A90" s="47" t="s">
        <v>54</v>
      </c>
      <c r="J90" s="47">
        <f>SUM(W87:W89)</f>
        <v>0</v>
      </c>
      <c r="K90" s="47">
        <f>SUM(X87:X89)</f>
        <v>0</v>
      </c>
    </row>
    <row r="91" spans="1:12" hidden="1" x14ac:dyDescent="0.2">
      <c r="A91" s="47" t="s">
        <v>55</v>
      </c>
      <c r="J91" s="47">
        <f>SUM(Y87:Y90)</f>
        <v>0</v>
      </c>
      <c r="K91" s="47">
        <f>SUM(Z87:Z90)</f>
        <v>0</v>
      </c>
    </row>
    <row r="92" spans="1:12" hidden="1" x14ac:dyDescent="0.2"/>
    <row r="93" spans="1:12" ht="16.5" hidden="1" x14ac:dyDescent="0.25">
      <c r="A93" s="402" t="str">
        <f>CONCATENATE("Подраздел: ",IF([79]Source!G532&lt;&gt;"Новый подраздел", [79]Source!G532, ""))</f>
        <v>Подраздел: 1.9. Тип В2-8</v>
      </c>
      <c r="B93" s="402"/>
      <c r="C93" s="402"/>
      <c r="D93" s="402"/>
      <c r="E93" s="402"/>
      <c r="F93" s="402"/>
      <c r="G93" s="402"/>
      <c r="H93" s="402"/>
      <c r="I93" s="402"/>
      <c r="J93" s="402"/>
      <c r="K93" s="402"/>
      <c r="L93" s="402"/>
    </row>
    <row r="94" spans="1:12" hidden="1" x14ac:dyDescent="0.2"/>
    <row r="95" spans="1:12" ht="15" hidden="1" x14ac:dyDescent="0.25">
      <c r="A95" s="403" t="str">
        <f>CONCATENATE("Итого по подразделу: ",IF([79]Source!G569&lt;&gt;"Новый подраздел", [79]Source!G569, ""))</f>
        <v>Итого по подразделу: 1.9. Тип В2-8</v>
      </c>
      <c r="B95" s="403"/>
      <c r="C95" s="403"/>
      <c r="D95" s="403"/>
      <c r="E95" s="403"/>
      <c r="F95" s="403"/>
      <c r="G95" s="403"/>
      <c r="H95" s="403"/>
      <c r="I95" s="404">
        <f>SUM(O93:O94)</f>
        <v>0</v>
      </c>
      <c r="J95" s="405"/>
      <c r="K95" s="404">
        <f>SUM(P93:P94)</f>
        <v>0</v>
      </c>
      <c r="L95" s="405"/>
    </row>
    <row r="96" spans="1:12" hidden="1" x14ac:dyDescent="0.2">
      <c r="A96" s="47" t="s">
        <v>54</v>
      </c>
      <c r="J96" s="47">
        <f>SUM(W93:W95)</f>
        <v>0</v>
      </c>
      <c r="K96" s="47">
        <f>SUM(X93:X95)</f>
        <v>0</v>
      </c>
    </row>
    <row r="97" spans="1:12" hidden="1" x14ac:dyDescent="0.2">
      <c r="A97" s="47" t="s">
        <v>55</v>
      </c>
      <c r="J97" s="47">
        <f>SUM(Y93:Y96)</f>
        <v>0</v>
      </c>
      <c r="K97" s="47">
        <f>SUM(Z93:Z96)</f>
        <v>0</v>
      </c>
    </row>
    <row r="98" spans="1:12" hidden="1" x14ac:dyDescent="0.2"/>
    <row r="99" spans="1:12" ht="16.5" hidden="1" x14ac:dyDescent="0.25">
      <c r="A99" s="402" t="str">
        <f>CONCATENATE("Подраздел: ",IF([79]Source!G599&lt;&gt;"Новый подраздел", [79]Source!G599, ""))</f>
        <v>Подраздел: 1.10. Тип В2-8а</v>
      </c>
      <c r="B99" s="402"/>
      <c r="C99" s="402"/>
      <c r="D99" s="402"/>
      <c r="E99" s="402"/>
      <c r="F99" s="402"/>
      <c r="G99" s="402"/>
      <c r="H99" s="402"/>
      <c r="I99" s="402"/>
      <c r="J99" s="402"/>
      <c r="K99" s="402"/>
      <c r="L99" s="402"/>
    </row>
    <row r="100" spans="1:12" hidden="1" x14ac:dyDescent="0.2"/>
    <row r="101" spans="1:12" ht="15" hidden="1" x14ac:dyDescent="0.25">
      <c r="A101" s="403" t="str">
        <f>CONCATENATE("Итого по подразделу: ",IF([79]Source!G636&lt;&gt;"Новый подраздел", [79]Source!G636, ""))</f>
        <v>Итого по подразделу: 1.10. Тип В2-8а</v>
      </c>
      <c r="B101" s="403"/>
      <c r="C101" s="403"/>
      <c r="D101" s="403"/>
      <c r="E101" s="403"/>
      <c r="F101" s="403"/>
      <c r="G101" s="403"/>
      <c r="H101" s="403"/>
      <c r="I101" s="404">
        <f>SUM(O99:O100)</f>
        <v>0</v>
      </c>
      <c r="J101" s="405"/>
      <c r="K101" s="404">
        <f>SUM(P99:P100)</f>
        <v>0</v>
      </c>
      <c r="L101" s="405"/>
    </row>
    <row r="102" spans="1:12" hidden="1" x14ac:dyDescent="0.2">
      <c r="A102" s="47" t="s">
        <v>54</v>
      </c>
      <c r="J102" s="47">
        <f>SUM(W99:W101)</f>
        <v>0</v>
      </c>
      <c r="K102" s="47">
        <f>SUM(X99:X101)</f>
        <v>0</v>
      </c>
    </row>
    <row r="103" spans="1:12" hidden="1" x14ac:dyDescent="0.2">
      <c r="A103" s="47" t="s">
        <v>55</v>
      </c>
      <c r="J103" s="47">
        <f>SUM(Y99:Y102)</f>
        <v>0</v>
      </c>
      <c r="K103" s="47">
        <f>SUM(Z99:Z102)</f>
        <v>0</v>
      </c>
    </row>
    <row r="104" spans="1:12" hidden="1" x14ac:dyDescent="0.2"/>
    <row r="105" spans="1:12" ht="16.5" hidden="1" x14ac:dyDescent="0.25">
      <c r="A105" s="402" t="str">
        <f>CONCATENATE("Подраздел: ",IF([79]Source!G666&lt;&gt;"Новый подраздел", [79]Source!G666, ""))</f>
        <v>Подраздел: 1.11. Марши, площадки лестниц</v>
      </c>
      <c r="B105" s="402"/>
      <c r="C105" s="402"/>
      <c r="D105" s="402"/>
      <c r="E105" s="402"/>
      <c r="F105" s="402"/>
      <c r="G105" s="402"/>
      <c r="H105" s="402"/>
      <c r="I105" s="402"/>
      <c r="J105" s="402"/>
      <c r="K105" s="402"/>
      <c r="L105" s="402"/>
    </row>
    <row r="106" spans="1:12" hidden="1" x14ac:dyDescent="0.2"/>
    <row r="107" spans="1:12" ht="15" hidden="1" x14ac:dyDescent="0.25">
      <c r="A107" s="403" t="str">
        <f>CONCATENATE("Итого по подразделу: ",IF([79]Source!G695&lt;&gt;"Новый подраздел", [79]Source!G695, ""))</f>
        <v>Итого по подразделу: 1.11. Марши, площадки лестниц</v>
      </c>
      <c r="B107" s="403"/>
      <c r="C107" s="403"/>
      <c r="D107" s="403"/>
      <c r="E107" s="403"/>
      <c r="F107" s="403"/>
      <c r="G107" s="403"/>
      <c r="H107" s="403"/>
      <c r="I107" s="404">
        <f>SUM(O105:O106)</f>
        <v>0</v>
      </c>
      <c r="J107" s="405"/>
      <c r="K107" s="404">
        <f>SUM(P105:P106)</f>
        <v>0</v>
      </c>
      <c r="L107" s="405"/>
    </row>
    <row r="108" spans="1:12" hidden="1" x14ac:dyDescent="0.2">
      <c r="A108" s="47" t="s">
        <v>54</v>
      </c>
      <c r="J108" s="47">
        <f>SUM(W105:W107)</f>
        <v>0</v>
      </c>
      <c r="K108" s="47">
        <f>SUM(X105:X107)</f>
        <v>0</v>
      </c>
    </row>
    <row r="109" spans="1:12" hidden="1" x14ac:dyDescent="0.2">
      <c r="A109" s="47" t="s">
        <v>55</v>
      </c>
      <c r="J109" s="47">
        <f>SUM(Y105:Y108)</f>
        <v>0</v>
      </c>
      <c r="K109" s="47">
        <f>SUM(Z105:Z108)</f>
        <v>0</v>
      </c>
    </row>
    <row r="110" spans="1:12" hidden="1" x14ac:dyDescent="0.2"/>
    <row r="111" spans="1:12" ht="16.5" hidden="1" x14ac:dyDescent="0.25">
      <c r="A111" s="402" t="str">
        <f>CONCATENATE("Подраздел: ",IF([79]Source!G725&lt;&gt;"Новый подраздел", [79]Source!G725, ""))</f>
        <v>Подраздел: 1.12. Устройство плинтусов</v>
      </c>
      <c r="B111" s="402"/>
      <c r="C111" s="402"/>
      <c r="D111" s="402"/>
      <c r="E111" s="402"/>
      <c r="F111" s="402"/>
      <c r="G111" s="402"/>
      <c r="H111" s="402"/>
      <c r="I111" s="402"/>
      <c r="J111" s="402"/>
      <c r="K111" s="402"/>
      <c r="L111" s="402"/>
    </row>
    <row r="112" spans="1:12" hidden="1" x14ac:dyDescent="0.2"/>
    <row r="113" spans="1:22" ht="15" hidden="1" x14ac:dyDescent="0.25">
      <c r="A113" s="403" t="str">
        <f>CONCATENATE("Итого по подразделу: ",IF([79]Source!G754&lt;&gt;"Новый подраздел", [79]Source!G754, ""))</f>
        <v>Итого по подразделу: 1.12. Устройство плинтусов</v>
      </c>
      <c r="B113" s="403"/>
      <c r="C113" s="403"/>
      <c r="D113" s="403"/>
      <c r="E113" s="403"/>
      <c r="F113" s="403"/>
      <c r="G113" s="403"/>
      <c r="H113" s="403"/>
      <c r="I113" s="404">
        <f>SUM(O111:O112)</f>
        <v>0</v>
      </c>
      <c r="J113" s="405"/>
      <c r="K113" s="404">
        <f>SUM(P111:P112)</f>
        <v>0</v>
      </c>
      <c r="L113" s="405"/>
    </row>
    <row r="114" spans="1:22" hidden="1" x14ac:dyDescent="0.2">
      <c r="A114" s="47" t="s">
        <v>54</v>
      </c>
      <c r="J114" s="47">
        <f>SUM(W111:W113)</f>
        <v>0</v>
      </c>
      <c r="K114" s="47">
        <f>SUM(X111:X113)</f>
        <v>0</v>
      </c>
    </row>
    <row r="115" spans="1:22" hidden="1" x14ac:dyDescent="0.2">
      <c r="A115" s="47" t="s">
        <v>55</v>
      </c>
      <c r="J115" s="47">
        <f>SUM(Y111:Y114)</f>
        <v>0</v>
      </c>
      <c r="K115" s="47">
        <f>SUM(Z111:Z114)</f>
        <v>0</v>
      </c>
    </row>
    <row r="116" spans="1:22" hidden="1" x14ac:dyDescent="0.2"/>
    <row r="117" spans="1:22" ht="15" hidden="1" x14ac:dyDescent="0.25">
      <c r="A117" s="403" t="str">
        <f>CONCATENATE("Итого по разделу: ",IF([79]Source!G784&lt;&gt;"Новый раздел", [79]Source!G784, ""))</f>
        <v>Итого по разделу: 1.ПОЛЫ</v>
      </c>
      <c r="B117" s="403"/>
      <c r="C117" s="403"/>
      <c r="D117" s="403"/>
      <c r="E117" s="403"/>
      <c r="F117" s="403"/>
      <c r="G117" s="403"/>
      <c r="H117" s="403"/>
      <c r="I117" s="404">
        <f>SUM(O43:O116)</f>
        <v>0</v>
      </c>
      <c r="J117" s="405"/>
      <c r="K117" s="404">
        <f>SUM(P43:P116)</f>
        <v>0</v>
      </c>
      <c r="L117" s="405"/>
    </row>
    <row r="118" spans="1:22" hidden="1" x14ac:dyDescent="0.2">
      <c r="A118" s="47" t="s">
        <v>54</v>
      </c>
      <c r="J118" s="47">
        <f>SUM(W43:W117)</f>
        <v>0</v>
      </c>
      <c r="K118" s="47">
        <f>SUM(X43:X117)</f>
        <v>0</v>
      </c>
    </row>
    <row r="119" spans="1:22" hidden="1" x14ac:dyDescent="0.2">
      <c r="A119" s="47" t="s">
        <v>55</v>
      </c>
      <c r="J119" s="47">
        <f>SUM(Y43:Y118)</f>
        <v>0</v>
      </c>
      <c r="K119" s="47">
        <f>SUM(Z43:Z118)</f>
        <v>0</v>
      </c>
    </row>
    <row r="120" spans="1:22" hidden="1" x14ac:dyDescent="0.2"/>
    <row r="121" spans="1:22" ht="16.5" hidden="1" x14ac:dyDescent="0.25">
      <c r="A121" s="402" t="str">
        <f>CONCATENATE("Раздел: ",IF([79]Source!G814&lt;&gt;"Новый раздел", [79]Source!G814, ""))</f>
        <v>Раздел: 2.ПОТОЛКИ</v>
      </c>
      <c r="B121" s="402"/>
      <c r="C121" s="402"/>
      <c r="D121" s="402"/>
      <c r="E121" s="402"/>
      <c r="F121" s="402"/>
      <c r="G121" s="402"/>
      <c r="H121" s="402"/>
      <c r="I121" s="402"/>
      <c r="J121" s="402"/>
      <c r="K121" s="402"/>
      <c r="L121" s="402"/>
    </row>
    <row r="122" spans="1:22" hidden="1" x14ac:dyDescent="0.2"/>
    <row r="123" spans="1:22" ht="15" hidden="1" x14ac:dyDescent="0.25">
      <c r="A123" s="403" t="str">
        <f>CONCATENATE("Итого по разделу: ",IF([79]Source!G879&lt;&gt;"Новый раздел", [79]Source!G879, ""))</f>
        <v>Итого по разделу: 2.ПОТОЛКИ</v>
      </c>
      <c r="B123" s="403"/>
      <c r="C123" s="403"/>
      <c r="D123" s="403"/>
      <c r="E123" s="403"/>
      <c r="F123" s="403"/>
      <c r="G123" s="403"/>
      <c r="H123" s="403"/>
      <c r="I123" s="404">
        <f>SUM(O121:O122)</f>
        <v>0</v>
      </c>
      <c r="J123" s="405"/>
      <c r="K123" s="404">
        <f>SUM(P121:P122)</f>
        <v>0</v>
      </c>
      <c r="L123" s="405"/>
    </row>
    <row r="124" spans="1:22" hidden="1" x14ac:dyDescent="0.2">
      <c r="A124" s="47" t="s">
        <v>54</v>
      </c>
      <c r="J124" s="47">
        <f>SUM(W121:W123)</f>
        <v>0</v>
      </c>
      <c r="K124" s="47">
        <f>SUM(X121:X123)</f>
        <v>0</v>
      </c>
    </row>
    <row r="125" spans="1:22" hidden="1" x14ac:dyDescent="0.2">
      <c r="A125" s="47" t="s">
        <v>55</v>
      </c>
      <c r="J125" s="47">
        <f>SUM(Y121:Y124)</f>
        <v>0</v>
      </c>
      <c r="K125" s="47">
        <f>SUM(Z121:Z124)</f>
        <v>0</v>
      </c>
    </row>
    <row r="126" spans="1:22" hidden="1" x14ac:dyDescent="0.2"/>
    <row r="127" spans="1:22" ht="16.5" x14ac:dyDescent="0.25">
      <c r="A127" s="402" t="str">
        <f>CONCATENATE("Раздел: ",IF([79]Source!G909&lt;&gt;"Новый раздел", [79]Source!G909, ""))</f>
        <v>Раздел: 3.СТЕНЫ</v>
      </c>
      <c r="B127" s="402"/>
      <c r="C127" s="402"/>
      <c r="D127" s="402"/>
      <c r="E127" s="402"/>
      <c r="F127" s="402"/>
      <c r="G127" s="402"/>
      <c r="H127" s="402"/>
      <c r="I127" s="402"/>
      <c r="J127" s="402"/>
      <c r="K127" s="402"/>
      <c r="L127" s="402"/>
    </row>
    <row r="128" spans="1:22" ht="42.75" x14ac:dyDescent="0.2">
      <c r="A128" s="84">
        <v>1</v>
      </c>
      <c r="B128" s="84" t="str">
        <f>[79]Source!E913</f>
        <v>83</v>
      </c>
      <c r="C128" s="85" t="str">
        <f>[79]Source!F913</f>
        <v>3.29-1684-1</v>
      </c>
      <c r="D128" s="85" t="s">
        <v>239</v>
      </c>
      <c r="E128" s="86" t="str">
        <f>[79]Source!H913</f>
        <v>100 м2</v>
      </c>
      <c r="F128" s="87">
        <f>[79]Source!I913</f>
        <v>0.88839999999999997</v>
      </c>
      <c r="G128" s="88"/>
      <c r="H128" s="89"/>
      <c r="I128" s="87"/>
      <c r="J128" s="176"/>
      <c r="K128" s="87"/>
      <c r="L128" s="176"/>
      <c r="Q128" s="47">
        <f>[79]Source!X913</f>
        <v>0</v>
      </c>
      <c r="R128" s="47">
        <f>[79]Source!X914</f>
        <v>94996</v>
      </c>
      <c r="S128" s="47">
        <f>[79]Source!Y913</f>
        <v>0</v>
      </c>
      <c r="T128" s="47">
        <f>[79]Source!Y914</f>
        <v>39711.440000000002</v>
      </c>
      <c r="U128" s="47">
        <f>ROUND((175/100)*ROUND([79]Source!R913, 2), 2)</f>
        <v>1.58</v>
      </c>
      <c r="V128" s="47">
        <f>ROUND((157/100)*ROUND([79]Source!R914, 2), 2)</f>
        <v>34.21</v>
      </c>
    </row>
    <row r="129" spans="1:22" ht="12.75" x14ac:dyDescent="0.2">
      <c r="D129" s="203" t="str">
        <f>"Объем: "&amp;[79]Source!I913&amp;"=4,442*"&amp;"0,2"</f>
        <v>Объем: 0,8884=4,442*0,2</v>
      </c>
    </row>
    <row r="130" spans="1:22" ht="14.25" x14ac:dyDescent="0.2">
      <c r="A130" s="84"/>
      <c r="B130" s="84"/>
      <c r="C130" s="85"/>
      <c r="D130" s="85" t="s">
        <v>43</v>
      </c>
      <c r="E130" s="86"/>
      <c r="F130" s="87"/>
      <c r="G130" s="88">
        <f>[79]Source!AO913</f>
        <v>3624.86</v>
      </c>
      <c r="H130" s="89" t="str">
        <f>[79]Source!DG913</f>
        <v/>
      </c>
      <c r="I130" s="87">
        <f>[79]Source!AV914</f>
        <v>1.01</v>
      </c>
      <c r="J130" s="176">
        <f>[79]Source!S913</f>
        <v>3220.33</v>
      </c>
      <c r="K130" s="87">
        <f>IF([79]Source!BA914&lt;&gt; 0, [79]Source!BA914, 1)</f>
        <v>23.94</v>
      </c>
      <c r="L130" s="176">
        <f>[79]Source!S914</f>
        <v>77865.570000000007</v>
      </c>
    </row>
    <row r="131" spans="1:22" ht="14.25" x14ac:dyDescent="0.2">
      <c r="A131" s="84"/>
      <c r="B131" s="84"/>
      <c r="C131" s="85"/>
      <c r="D131" s="85" t="s">
        <v>44</v>
      </c>
      <c r="E131" s="86"/>
      <c r="F131" s="87"/>
      <c r="G131" s="88">
        <f>[79]Source!AM913</f>
        <v>105.7</v>
      </c>
      <c r="H131" s="89" t="str">
        <f>[79]Source!DE913</f>
        <v/>
      </c>
      <c r="I131" s="87">
        <f>[79]Source!AV914</f>
        <v>1.01</v>
      </c>
      <c r="J131" s="176">
        <f>[79]Source!Q913</f>
        <v>93.9</v>
      </c>
      <c r="K131" s="87">
        <f>IF([79]Source!BB914&lt;&gt; 0, [79]Source!BB914, 1)</f>
        <v>2.19</v>
      </c>
      <c r="L131" s="176">
        <f>[79]Source!Q914</f>
        <v>207.7</v>
      </c>
    </row>
    <row r="132" spans="1:22" ht="14.25" x14ac:dyDescent="0.2">
      <c r="A132" s="84"/>
      <c r="B132" s="84"/>
      <c r="C132" s="85"/>
      <c r="D132" s="85" t="s">
        <v>45</v>
      </c>
      <c r="E132" s="86"/>
      <c r="F132" s="87"/>
      <c r="G132" s="88">
        <f>[79]Source!AN913</f>
        <v>1.01</v>
      </c>
      <c r="H132" s="89" t="str">
        <f>[79]Source!DF913</f>
        <v/>
      </c>
      <c r="I132" s="87">
        <f>[79]Source!AV914</f>
        <v>1.01</v>
      </c>
      <c r="J132" s="90">
        <f>[79]Source!R913</f>
        <v>0.9</v>
      </c>
      <c r="K132" s="87">
        <f>IF([79]Source!BS914&lt;&gt; 0, [79]Source!BS914, 1)</f>
        <v>23.94</v>
      </c>
      <c r="L132" s="90">
        <f>[79]Source!R914</f>
        <v>21.79</v>
      </c>
    </row>
    <row r="133" spans="1:22" ht="14.25" x14ac:dyDescent="0.2">
      <c r="A133" s="84"/>
      <c r="B133" s="84"/>
      <c r="C133" s="85"/>
      <c r="D133" s="85" t="s">
        <v>46</v>
      </c>
      <c r="E133" s="86"/>
      <c r="F133" s="87"/>
      <c r="G133" s="88">
        <f>[79]Source!AL913</f>
        <v>9087.1299999999992</v>
      </c>
      <c r="H133" s="89" t="str">
        <f>[79]Source!DD913</f>
        <v/>
      </c>
      <c r="I133" s="87">
        <f>[79]Source!AW914</f>
        <v>1.01</v>
      </c>
      <c r="J133" s="176">
        <f>[79]Source!P913</f>
        <v>8073.01</v>
      </c>
      <c r="K133" s="87">
        <f>IF([79]Source!BC914&lt;&gt; 0, [79]Source!BC914, 1)</f>
        <v>7.01</v>
      </c>
      <c r="L133" s="176">
        <f>[79]Source!P914</f>
        <v>57157.72</v>
      </c>
    </row>
    <row r="134" spans="1:22" ht="14.25" x14ac:dyDescent="0.2">
      <c r="A134" s="84"/>
      <c r="B134" s="84"/>
      <c r="C134" s="85"/>
      <c r="D134" s="85" t="s">
        <v>47</v>
      </c>
      <c r="E134" s="86" t="s">
        <v>48</v>
      </c>
      <c r="F134" s="87">
        <f>[79]Source!DN914</f>
        <v>131</v>
      </c>
      <c r="G134" s="88"/>
      <c r="H134" s="89"/>
      <c r="I134" s="87"/>
      <c r="J134" s="176">
        <f>SUM(Q128:Q133)</f>
        <v>0</v>
      </c>
      <c r="K134" s="87">
        <f>[79]Source!BZ914</f>
        <v>122</v>
      </c>
      <c r="L134" s="176">
        <f>SUM(R128:R133)</f>
        <v>94996</v>
      </c>
    </row>
    <row r="135" spans="1:22" ht="14.25" x14ac:dyDescent="0.2">
      <c r="A135" s="84"/>
      <c r="B135" s="84"/>
      <c r="C135" s="85"/>
      <c r="D135" s="85" t="s">
        <v>49</v>
      </c>
      <c r="E135" s="86" t="s">
        <v>48</v>
      </c>
      <c r="F135" s="87">
        <f>[79]Source!DO914</f>
        <v>134</v>
      </c>
      <c r="G135" s="88"/>
      <c r="H135" s="89"/>
      <c r="I135" s="87"/>
      <c r="J135" s="176">
        <f>SUM(S128:S134)</f>
        <v>0</v>
      </c>
      <c r="K135" s="87">
        <f>[79]Source!CA914</f>
        <v>51</v>
      </c>
      <c r="L135" s="176">
        <f>SUM(T128:T134)</f>
        <v>39711.440000000002</v>
      </c>
    </row>
    <row r="136" spans="1:22" ht="14.25" x14ac:dyDescent="0.2">
      <c r="A136" s="84"/>
      <c r="B136" s="84"/>
      <c r="C136" s="85"/>
      <c r="D136" s="85" t="s">
        <v>50</v>
      </c>
      <c r="E136" s="86" t="s">
        <v>48</v>
      </c>
      <c r="F136" s="87">
        <f>175</f>
        <v>175</v>
      </c>
      <c r="G136" s="88"/>
      <c r="H136" s="89"/>
      <c r="I136" s="87"/>
      <c r="J136" s="176">
        <f>SUM(U128:U135)</f>
        <v>1.58</v>
      </c>
      <c r="K136" s="87">
        <f>157</f>
        <v>157</v>
      </c>
      <c r="L136" s="176">
        <f>SUM(V128:V135)</f>
        <v>34.21</v>
      </c>
    </row>
    <row r="137" spans="1:22" ht="14.25" x14ac:dyDescent="0.2">
      <c r="A137" s="183"/>
      <c r="B137" s="183"/>
      <c r="C137" s="184"/>
      <c r="D137" s="184" t="s">
        <v>51</v>
      </c>
      <c r="E137" s="185" t="s">
        <v>52</v>
      </c>
      <c r="F137" s="186">
        <f>[79]Source!AQ913</f>
        <v>190.27</v>
      </c>
      <c r="G137" s="187"/>
      <c r="H137" s="188" t="str">
        <f>[79]Source!DI913</f>
        <v/>
      </c>
      <c r="I137" s="186">
        <f>[79]Source!AV914</f>
        <v>1.01</v>
      </c>
      <c r="J137" s="189">
        <f>[79]Source!U913</f>
        <v>169.04</v>
      </c>
      <c r="K137" s="186"/>
      <c r="L137" s="189"/>
    </row>
    <row r="138" spans="1:22" ht="15" x14ac:dyDescent="0.25">
      <c r="A138" s="190"/>
      <c r="B138" s="190"/>
      <c r="C138" s="190"/>
      <c r="D138" s="191" t="s">
        <v>81</v>
      </c>
      <c r="E138" s="190"/>
      <c r="F138" s="190"/>
      <c r="G138" s="190"/>
      <c r="H138" s="190"/>
      <c r="I138" s="409">
        <f>J130+J131+J133+J134+J135+J136</f>
        <v>11388.82</v>
      </c>
      <c r="J138" s="409"/>
      <c r="K138" s="409">
        <f>L130+L131+L133+L134+L135+L136</f>
        <v>269972.64</v>
      </c>
      <c r="L138" s="409"/>
      <c r="O138" s="92">
        <f>J130+J131+J133+J134+J135+J136</f>
        <v>11388.82</v>
      </c>
      <c r="P138" s="92">
        <f>L130+L131+L133+L134+L135+L136</f>
        <v>269972.64</v>
      </c>
    </row>
    <row r="140" spans="1:22" ht="65.25" x14ac:dyDescent="0.2">
      <c r="A140" s="84">
        <v>2</v>
      </c>
      <c r="B140" s="84" t="str">
        <f>[79]Source!E915</f>
        <v>84</v>
      </c>
      <c r="C140" s="85" t="s">
        <v>240</v>
      </c>
      <c r="D140" s="85" t="s">
        <v>241</v>
      </c>
      <c r="E140" s="86" t="str">
        <f>[79]Source!H915</f>
        <v>1 м3 кладки</v>
      </c>
      <c r="F140" s="87">
        <f>[79]Source!I915</f>
        <v>2.78</v>
      </c>
      <c r="G140" s="88"/>
      <c r="H140" s="89"/>
      <c r="I140" s="87"/>
      <c r="J140" s="176"/>
      <c r="K140" s="87"/>
      <c r="L140" s="176"/>
      <c r="Q140" s="47">
        <f>[79]Source!X915</f>
        <v>279.2</v>
      </c>
      <c r="R140" s="47">
        <f>[79]Source!X916</f>
        <v>5394.1</v>
      </c>
      <c r="S140" s="47">
        <f>[79]Source!Y915</f>
        <v>220.42</v>
      </c>
      <c r="T140" s="47">
        <f>[79]Source!Y916</f>
        <v>2403.89</v>
      </c>
      <c r="U140" s="47">
        <f>ROUND((175/100)*ROUND([79]Source!R915, 2), 2)</f>
        <v>0</v>
      </c>
      <c r="V140" s="47">
        <f>ROUND((157/100)*ROUND([79]Source!R916, 2), 2)</f>
        <v>0</v>
      </c>
    </row>
    <row r="141" spans="1:22" ht="12.75" x14ac:dyDescent="0.2">
      <c r="D141" s="203" t="str">
        <f>"Объем: "&amp;[79]Source!I915&amp;"=13,9*"&amp;"0,2"</f>
        <v>Объем: 2,78=13,9*0,2</v>
      </c>
    </row>
    <row r="142" spans="1:22" ht="14.25" x14ac:dyDescent="0.2">
      <c r="A142" s="84"/>
      <c r="B142" s="84"/>
      <c r="C142" s="85"/>
      <c r="D142" s="85" t="s">
        <v>43</v>
      </c>
      <c r="E142" s="86"/>
      <c r="F142" s="87"/>
      <c r="G142" s="88">
        <f>[79]Source!AO915</f>
        <v>49.44</v>
      </c>
      <c r="H142" s="89" t="str">
        <f>[79]Source!DG915</f>
        <v>)*1,67</v>
      </c>
      <c r="I142" s="87">
        <f>[79]Source!AV916</f>
        <v>1.0669999999999999</v>
      </c>
      <c r="J142" s="176">
        <f>[79]Source!S915</f>
        <v>244.91</v>
      </c>
      <c r="K142" s="87">
        <f>IF([79]Source!BA916&lt;&gt; 0, [79]Source!BA916, 1)</f>
        <v>23.94</v>
      </c>
      <c r="L142" s="176">
        <f>[79]Source!S916</f>
        <v>5863.15</v>
      </c>
    </row>
    <row r="143" spans="1:22" ht="14.25" x14ac:dyDescent="0.2">
      <c r="A143" s="84"/>
      <c r="B143" s="84"/>
      <c r="C143" s="85"/>
      <c r="D143" s="85" t="s">
        <v>46</v>
      </c>
      <c r="E143" s="86"/>
      <c r="F143" s="87"/>
      <c r="G143" s="88">
        <f>[79]Source!AL915</f>
        <v>4.3499999999999996</v>
      </c>
      <c r="H143" s="89" t="str">
        <f>[79]Source!DD915</f>
        <v/>
      </c>
      <c r="I143" s="87">
        <f>[79]Source!AW916</f>
        <v>1.0249999999999999</v>
      </c>
      <c r="J143" s="176">
        <f>[79]Source!P915</f>
        <v>12.4</v>
      </c>
      <c r="K143" s="87">
        <f>IF([79]Source!BC916&lt;&gt; 0, [79]Source!BC916, 1)</f>
        <v>4.3</v>
      </c>
      <c r="L143" s="176">
        <f>[79]Source!P916</f>
        <v>53.32</v>
      </c>
    </row>
    <row r="144" spans="1:22" ht="28.5" x14ac:dyDescent="0.2">
      <c r="A144" s="84">
        <v>3</v>
      </c>
      <c r="B144" s="84" t="str">
        <f>[79]Source!E917</f>
        <v>84,1</v>
      </c>
      <c r="C144" s="85" t="str">
        <f>[79]Source!F917</f>
        <v>1.1-1-353</v>
      </c>
      <c r="D144" s="85" t="s">
        <v>242</v>
      </c>
      <c r="E144" s="86" t="str">
        <f>[79]Source!H917</f>
        <v>1000 шт.</v>
      </c>
      <c r="F144" s="87">
        <f>[79]Source!I917</f>
        <v>1.0564</v>
      </c>
      <c r="G144" s="88">
        <f>[79]Source!AK917</f>
        <v>1067.1400000000001</v>
      </c>
      <c r="H144" s="123" t="s">
        <v>20</v>
      </c>
      <c r="I144" s="87">
        <f>[79]Source!AW918</f>
        <v>1.0249999999999999</v>
      </c>
      <c r="J144" s="176">
        <f>[79]Source!O917</f>
        <v>1155.51</v>
      </c>
      <c r="K144" s="87">
        <f>IF([79]Source!BC918&lt;&gt; 0, [79]Source!BC918, 1)</f>
        <v>8.69</v>
      </c>
      <c r="L144" s="176">
        <f>[79]Source!O918</f>
        <v>10041.379999999999</v>
      </c>
      <c r="Q144" s="47">
        <f>[79]Source!X917</f>
        <v>0</v>
      </c>
      <c r="R144" s="47">
        <f>[79]Source!X918</f>
        <v>0</v>
      </c>
      <c r="S144" s="47">
        <f>[79]Source!Y917</f>
        <v>0</v>
      </c>
      <c r="T144" s="47">
        <f>[79]Source!Y918</f>
        <v>0</v>
      </c>
      <c r="U144" s="47">
        <f>ROUND((175/100)*ROUND([79]Source!R917, 2), 2)</f>
        <v>0</v>
      </c>
      <c r="V144" s="47">
        <f>ROUND((157/100)*ROUND([79]Source!R918, 2), 2)</f>
        <v>0</v>
      </c>
    </row>
    <row r="145" spans="1:22" ht="28.5" x14ac:dyDescent="0.2">
      <c r="A145" s="84">
        <v>4</v>
      </c>
      <c r="B145" s="84" t="str">
        <f>[79]Source!E919</f>
        <v>84,2</v>
      </c>
      <c r="C145" s="85" t="str">
        <f>[79]Source!F919</f>
        <v>1.3-2-14</v>
      </c>
      <c r="D145" s="85" t="s">
        <v>243</v>
      </c>
      <c r="E145" s="86" t="str">
        <f>[79]Source!H919</f>
        <v>м3</v>
      </c>
      <c r="F145" s="87">
        <f>[79]Source!I919</f>
        <v>0.66720000000000002</v>
      </c>
      <c r="G145" s="88">
        <f>[79]Source!AK919</f>
        <v>477.64</v>
      </c>
      <c r="H145" s="123" t="s">
        <v>20</v>
      </c>
      <c r="I145" s="87">
        <f>[79]Source!AW920</f>
        <v>1.0249999999999999</v>
      </c>
      <c r="J145" s="176">
        <f>[79]Source!O919</f>
        <v>326.64999999999998</v>
      </c>
      <c r="K145" s="87">
        <f>IF([79]Source!BC920&lt;&gt; 0, [79]Source!BC920, 1)</f>
        <v>7.11</v>
      </c>
      <c r="L145" s="176">
        <f>[79]Source!O920</f>
        <v>2322.48</v>
      </c>
      <c r="Q145" s="47">
        <f>[79]Source!X919</f>
        <v>0</v>
      </c>
      <c r="R145" s="47">
        <f>[79]Source!X920</f>
        <v>0</v>
      </c>
      <c r="S145" s="47">
        <f>[79]Source!Y919</f>
        <v>0</v>
      </c>
      <c r="T145" s="47">
        <f>[79]Source!Y920</f>
        <v>0</v>
      </c>
      <c r="U145" s="47">
        <f>ROUND((175/100)*ROUND([79]Source!R919, 2), 2)</f>
        <v>0</v>
      </c>
      <c r="V145" s="47">
        <f>ROUND((157/100)*ROUND([79]Source!R920, 2), 2)</f>
        <v>0</v>
      </c>
    </row>
    <row r="146" spans="1:22" ht="14.25" x14ac:dyDescent="0.2">
      <c r="A146" s="84"/>
      <c r="B146" s="84"/>
      <c r="C146" s="85"/>
      <c r="D146" s="85" t="s">
        <v>47</v>
      </c>
      <c r="E146" s="86" t="s">
        <v>48</v>
      </c>
      <c r="F146" s="87">
        <f>[79]Source!DN916</f>
        <v>114</v>
      </c>
      <c r="G146" s="88"/>
      <c r="H146" s="89"/>
      <c r="I146" s="87"/>
      <c r="J146" s="176">
        <f>SUM(Q140:Q145)</f>
        <v>279.2</v>
      </c>
      <c r="K146" s="87">
        <f>[79]Source!BZ916</f>
        <v>92</v>
      </c>
      <c r="L146" s="176">
        <f>SUM(R140:R145)</f>
        <v>5394.1</v>
      </c>
    </row>
    <row r="147" spans="1:22" ht="14.25" x14ac:dyDescent="0.2">
      <c r="A147" s="84"/>
      <c r="B147" s="84"/>
      <c r="C147" s="85"/>
      <c r="D147" s="85" t="s">
        <v>49</v>
      </c>
      <c r="E147" s="86" t="s">
        <v>48</v>
      </c>
      <c r="F147" s="87">
        <f>[79]Source!DO916</f>
        <v>90</v>
      </c>
      <c r="G147" s="88"/>
      <c r="H147" s="89"/>
      <c r="I147" s="87"/>
      <c r="J147" s="176">
        <f>SUM(S140:S146)</f>
        <v>220.42</v>
      </c>
      <c r="K147" s="87">
        <f>[79]Source!CA916</f>
        <v>41</v>
      </c>
      <c r="L147" s="176">
        <f>SUM(T140:T146)</f>
        <v>2403.89</v>
      </c>
    </row>
    <row r="148" spans="1:22" ht="14.25" x14ac:dyDescent="0.2">
      <c r="A148" s="183"/>
      <c r="B148" s="183"/>
      <c r="C148" s="184"/>
      <c r="D148" s="184" t="s">
        <v>51</v>
      </c>
      <c r="E148" s="185" t="s">
        <v>52</v>
      </c>
      <c r="F148" s="186">
        <f>[79]Source!AQ915</f>
        <v>4.54</v>
      </c>
      <c r="G148" s="187"/>
      <c r="H148" s="188" t="str">
        <f>[79]Source!DI915</f>
        <v/>
      </c>
      <c r="I148" s="186">
        <f>[79]Source!AV916</f>
        <v>1.0669999999999999</v>
      </c>
      <c r="J148" s="189">
        <f>[79]Source!U915</f>
        <v>13.47</v>
      </c>
      <c r="K148" s="186"/>
      <c r="L148" s="189"/>
    </row>
    <row r="149" spans="1:22" ht="15" x14ac:dyDescent="0.25">
      <c r="A149" s="190"/>
      <c r="B149" s="190"/>
      <c r="C149" s="190"/>
      <c r="D149" s="191" t="s">
        <v>81</v>
      </c>
      <c r="E149" s="190"/>
      <c r="F149" s="190"/>
      <c r="G149" s="190"/>
      <c r="H149" s="190"/>
      <c r="I149" s="409">
        <f>J142+J143+J146+J147+SUM(J144:J145)</f>
        <v>2239.09</v>
      </c>
      <c r="J149" s="409"/>
      <c r="K149" s="409">
        <f>L142+L143+L146+L147+SUM(L144:L145)</f>
        <v>26078.32</v>
      </c>
      <c r="L149" s="409"/>
      <c r="O149" s="92">
        <f>J142+J143+J146+J147+SUM(J144:J145)</f>
        <v>2239.09</v>
      </c>
      <c r="P149" s="92">
        <f>L142+L143+L146+L147+SUM(L144:L145)</f>
        <v>26078.32</v>
      </c>
    </row>
    <row r="151" spans="1:22" ht="71.25" x14ac:dyDescent="0.2">
      <c r="A151" s="84">
        <v>5</v>
      </c>
      <c r="B151" s="84" t="str">
        <f>[79]Source!E921</f>
        <v>85</v>
      </c>
      <c r="C151" s="85" t="s">
        <v>244</v>
      </c>
      <c r="D151" s="85" t="s">
        <v>245</v>
      </c>
      <c r="E151" s="86" t="str">
        <f>[79]Source!H921</f>
        <v>1 т металлических изделий</v>
      </c>
      <c r="F151" s="87">
        <f>[79]Source!I921</f>
        <v>7.1623999999999993E-2</v>
      </c>
      <c r="G151" s="88"/>
      <c r="H151" s="89"/>
      <c r="I151" s="87"/>
      <c r="J151" s="176"/>
      <c r="K151" s="87"/>
      <c r="L151" s="176"/>
      <c r="Q151" s="47">
        <f>[79]Source!X921</f>
        <v>85.42</v>
      </c>
      <c r="R151" s="47">
        <f>[79]Source!X922</f>
        <v>1650.31</v>
      </c>
      <c r="S151" s="47">
        <f>[79]Source!Y921</f>
        <v>67.44</v>
      </c>
      <c r="T151" s="47">
        <f>[79]Source!Y922</f>
        <v>735.47</v>
      </c>
      <c r="U151" s="47">
        <f>ROUND((175/100)*ROUND([79]Source!R921, 2), 2)</f>
        <v>0.89</v>
      </c>
      <c r="V151" s="47">
        <f>ROUND((157/100)*ROUND([79]Source!R922, 2), 2)</f>
        <v>19.170000000000002</v>
      </c>
    </row>
    <row r="152" spans="1:22" ht="12.75" x14ac:dyDescent="0.2">
      <c r="D152" s="203" t="str">
        <f>"Объем: "&amp;[79]Source!I921&amp;"=0,35812*"&amp;"0,2"</f>
        <v>Объем: 0,071624=0,35812*0,2</v>
      </c>
    </row>
    <row r="153" spans="1:22" ht="14.25" x14ac:dyDescent="0.2">
      <c r="A153" s="84"/>
      <c r="B153" s="84"/>
      <c r="C153" s="85"/>
      <c r="D153" s="85" t="s">
        <v>43</v>
      </c>
      <c r="E153" s="86"/>
      <c r="F153" s="87"/>
      <c r="G153" s="88">
        <f>[79]Source!AO921</f>
        <v>587.12</v>
      </c>
      <c r="H153" s="89" t="str">
        <f>[79]Source!DG921</f>
        <v>)*1,67</v>
      </c>
      <c r="I153" s="87">
        <f>[79]Source!AV922</f>
        <v>1.0669999999999999</v>
      </c>
      <c r="J153" s="176">
        <f>[79]Source!S921</f>
        <v>74.930000000000007</v>
      </c>
      <c r="K153" s="87">
        <f>IF([79]Source!BA922&lt;&gt; 0, [79]Source!BA922, 1)</f>
        <v>23.94</v>
      </c>
      <c r="L153" s="176">
        <f>[79]Source!S922</f>
        <v>1793.82</v>
      </c>
    </row>
    <row r="154" spans="1:22" ht="14.25" x14ac:dyDescent="0.2">
      <c r="A154" s="84"/>
      <c r="B154" s="84"/>
      <c r="C154" s="85"/>
      <c r="D154" s="85" t="s">
        <v>44</v>
      </c>
      <c r="E154" s="86"/>
      <c r="F154" s="87"/>
      <c r="G154" s="88">
        <f>[79]Source!AM921</f>
        <v>21.51</v>
      </c>
      <c r="H154" s="89" t="str">
        <f>[79]Source!DE921</f>
        <v/>
      </c>
      <c r="I154" s="87">
        <f>[79]Source!AV922</f>
        <v>1.0669999999999999</v>
      </c>
      <c r="J154" s="176">
        <f>[79]Source!Q921-J164</f>
        <v>1.64</v>
      </c>
      <c r="K154" s="87">
        <f>IF([79]Source!BB922&lt;&gt; 0, [79]Source!BB922, 1)</f>
        <v>9</v>
      </c>
      <c r="L154" s="176">
        <f>[79]Source!Q922-L164</f>
        <v>14.76</v>
      </c>
    </row>
    <row r="155" spans="1:22" ht="14.25" x14ac:dyDescent="0.2">
      <c r="A155" s="84"/>
      <c r="B155" s="84"/>
      <c r="C155" s="85"/>
      <c r="D155" s="85" t="s">
        <v>45</v>
      </c>
      <c r="E155" s="86"/>
      <c r="F155" s="87"/>
      <c r="G155" s="88">
        <f>[79]Source!AN921</f>
        <v>4.0199999999999996</v>
      </c>
      <c r="H155" s="89" t="str">
        <f>[79]Source!DE921</f>
        <v/>
      </c>
      <c r="I155" s="87">
        <f>[79]Source!AV922</f>
        <v>1.0669999999999999</v>
      </c>
      <c r="J155" s="90">
        <f>[79]Source!R921-J165</f>
        <v>0.3</v>
      </c>
      <c r="K155" s="87">
        <f>IF([79]Source!BS922&lt;&gt; 0, [79]Source!BS922, 1)</f>
        <v>23.94</v>
      </c>
      <c r="L155" s="90">
        <f>[79]Source!R922-L165</f>
        <v>7.18</v>
      </c>
    </row>
    <row r="156" spans="1:22" ht="57" x14ac:dyDescent="0.2">
      <c r="A156" s="84">
        <v>6</v>
      </c>
      <c r="B156" s="84" t="str">
        <f>[79]Source!E923</f>
        <v>85,1</v>
      </c>
      <c r="C156" s="85" t="str">
        <f>[79]Source!F923</f>
        <v>1.3-4-75</v>
      </c>
      <c r="D156" s="85" t="s">
        <v>200</v>
      </c>
      <c r="E156" s="86" t="str">
        <f>[79]Source!H923</f>
        <v>т</v>
      </c>
      <c r="F156" s="87">
        <f>[79]Source!I923</f>
        <v>7.1623999999999993E-2</v>
      </c>
      <c r="G156" s="88">
        <f>[79]Source!AK923</f>
        <v>9733.52</v>
      </c>
      <c r="H156" s="123" t="s">
        <v>20</v>
      </c>
      <c r="I156" s="87">
        <f>[79]Source!AW924</f>
        <v>1.0249999999999999</v>
      </c>
      <c r="J156" s="176">
        <f>[79]Source!O923</f>
        <v>714.58</v>
      </c>
      <c r="K156" s="87">
        <f>IF([79]Source!BC924&lt;&gt; 0, [79]Source!BC924, 1)</f>
        <v>3.19</v>
      </c>
      <c r="L156" s="176">
        <f>[79]Source!O924</f>
        <v>2279.5100000000002</v>
      </c>
      <c r="Q156" s="47">
        <f>[79]Source!X923</f>
        <v>0</v>
      </c>
      <c r="R156" s="47">
        <f>[79]Source!X924</f>
        <v>0</v>
      </c>
      <c r="S156" s="47">
        <f>[79]Source!Y923</f>
        <v>0</v>
      </c>
      <c r="T156" s="47">
        <f>[79]Source!Y924</f>
        <v>0</v>
      </c>
      <c r="U156" s="47">
        <f>ROUND((175/100)*ROUND([79]Source!R923, 2), 2)</f>
        <v>0</v>
      </c>
      <c r="V156" s="47">
        <f>ROUND((157/100)*ROUND([79]Source!R924, 2), 2)</f>
        <v>0</v>
      </c>
    </row>
    <row r="157" spans="1:22" ht="14.25" x14ac:dyDescent="0.2">
      <c r="A157" s="84"/>
      <c r="B157" s="84"/>
      <c r="C157" s="85"/>
      <c r="D157" s="85" t="s">
        <v>47</v>
      </c>
      <c r="E157" s="86" t="s">
        <v>48</v>
      </c>
      <c r="F157" s="87">
        <f>[79]Source!DN922</f>
        <v>114</v>
      </c>
      <c r="G157" s="88"/>
      <c r="H157" s="89"/>
      <c r="I157" s="87"/>
      <c r="J157" s="176">
        <f>SUM(Q151:Q156)</f>
        <v>85.42</v>
      </c>
      <c r="K157" s="87">
        <f>[79]Source!BZ922</f>
        <v>92</v>
      </c>
      <c r="L157" s="176">
        <f>SUM(R151:R156)</f>
        <v>1650.31</v>
      </c>
    </row>
    <row r="158" spans="1:22" ht="14.25" x14ac:dyDescent="0.2">
      <c r="A158" s="84"/>
      <c r="B158" s="84"/>
      <c r="C158" s="85"/>
      <c r="D158" s="85" t="s">
        <v>49</v>
      </c>
      <c r="E158" s="86" t="s">
        <v>48</v>
      </c>
      <c r="F158" s="87">
        <f>[79]Source!DO922</f>
        <v>90</v>
      </c>
      <c r="G158" s="88"/>
      <c r="H158" s="89"/>
      <c r="I158" s="87"/>
      <c r="J158" s="176">
        <f>SUM(S151:S157)</f>
        <v>67.44</v>
      </c>
      <c r="K158" s="87">
        <f>[79]Source!CA922</f>
        <v>41</v>
      </c>
      <c r="L158" s="176">
        <f>SUM(T151:T157)</f>
        <v>735.47</v>
      </c>
    </row>
    <row r="159" spans="1:22" ht="14.25" x14ac:dyDescent="0.2">
      <c r="A159" s="84"/>
      <c r="B159" s="84"/>
      <c r="C159" s="85"/>
      <c r="D159" s="85" t="s">
        <v>50</v>
      </c>
      <c r="E159" s="86" t="s">
        <v>48</v>
      </c>
      <c r="F159" s="87">
        <f>175</f>
        <v>175</v>
      </c>
      <c r="G159" s="88"/>
      <c r="H159" s="89"/>
      <c r="I159" s="87"/>
      <c r="J159" s="176">
        <f>SUM(U151:U158)-J166</f>
        <v>0.52</v>
      </c>
      <c r="K159" s="87">
        <f>157</f>
        <v>157</v>
      </c>
      <c r="L159" s="176">
        <f>SUM(V151:V158)-L166</f>
        <v>11.27</v>
      </c>
    </row>
    <row r="160" spans="1:22" ht="14.25" x14ac:dyDescent="0.2">
      <c r="A160" s="183"/>
      <c r="B160" s="183"/>
      <c r="C160" s="184"/>
      <c r="D160" s="184" t="s">
        <v>51</v>
      </c>
      <c r="E160" s="185" t="s">
        <v>52</v>
      </c>
      <c r="F160" s="186">
        <f>[79]Source!AQ921</f>
        <v>56.4</v>
      </c>
      <c r="G160" s="187"/>
      <c r="H160" s="188" t="str">
        <f>[79]Source!DI921</f>
        <v/>
      </c>
      <c r="I160" s="186">
        <f>[79]Source!AV922</f>
        <v>1.0669999999999999</v>
      </c>
      <c r="J160" s="189">
        <f>[79]Source!U921</f>
        <v>4.3099999999999996</v>
      </c>
      <c r="K160" s="186"/>
      <c r="L160" s="189"/>
    </row>
    <row r="161" spans="1:22" ht="15" x14ac:dyDescent="0.25">
      <c r="D161" s="194" t="s">
        <v>81</v>
      </c>
      <c r="I161" s="408">
        <f>J153+J154+J157+J158+J159+SUM(J156:J156)</f>
        <v>944.53</v>
      </c>
      <c r="J161" s="408"/>
      <c r="K161" s="408">
        <f>L153+L154+L157+L158+L159+SUM(L156:L156)</f>
        <v>6485.14</v>
      </c>
      <c r="L161" s="408"/>
      <c r="O161" s="92">
        <f>J153+J154+J157+J158+J159+SUM(J156:J156)</f>
        <v>944.53</v>
      </c>
      <c r="P161" s="92">
        <f>L153+L154+L157+L158+L159+SUM(L156:L156)</f>
        <v>6485.14</v>
      </c>
    </row>
    <row r="163" spans="1:22" ht="65.25" x14ac:dyDescent="0.2">
      <c r="A163" s="84">
        <v>7</v>
      </c>
      <c r="B163" s="84" t="str">
        <f>CONCATENATE([79]Source!E921, "/1")</f>
        <v>85/1</v>
      </c>
      <c r="C163" s="85" t="s">
        <v>246</v>
      </c>
      <c r="D163" s="85" t="s">
        <v>82</v>
      </c>
      <c r="E163" s="86" t="str">
        <f>[79]Source!H921</f>
        <v>1 т металлических изделий</v>
      </c>
      <c r="F163" s="87">
        <f>[79]Source!I921</f>
        <v>7.1623999999999993E-2</v>
      </c>
      <c r="G163" s="88"/>
      <c r="H163" s="89"/>
      <c r="I163" s="87"/>
      <c r="J163" s="176"/>
      <c r="K163" s="87"/>
      <c r="L163" s="176"/>
    </row>
    <row r="164" spans="1:22" ht="14.25" x14ac:dyDescent="0.2">
      <c r="A164" s="84"/>
      <c r="B164" s="84"/>
      <c r="C164" s="85"/>
      <c r="D164" s="85" t="s">
        <v>44</v>
      </c>
      <c r="E164" s="86"/>
      <c r="F164" s="87"/>
      <c r="G164" s="88">
        <f t="shared" ref="G164:L164" si="0">G165</f>
        <v>4.0199999999999996</v>
      </c>
      <c r="H164" s="195" t="str">
        <f t="shared" si="0"/>
        <v>)*(1.67-1)</v>
      </c>
      <c r="I164" s="87">
        <f t="shared" si="0"/>
        <v>1.0669999999999999</v>
      </c>
      <c r="J164" s="176">
        <f t="shared" si="0"/>
        <v>0.21</v>
      </c>
      <c r="K164" s="87">
        <f t="shared" si="0"/>
        <v>23.94</v>
      </c>
      <c r="L164" s="176">
        <f t="shared" si="0"/>
        <v>5.03</v>
      </c>
    </row>
    <row r="165" spans="1:22" ht="14.25" x14ac:dyDescent="0.2">
      <c r="A165" s="84"/>
      <c r="B165" s="84"/>
      <c r="C165" s="85"/>
      <c r="D165" s="85" t="s">
        <v>45</v>
      </c>
      <c r="E165" s="86"/>
      <c r="F165" s="87"/>
      <c r="G165" s="88">
        <f>[79]Source!AN921</f>
        <v>4.0199999999999996</v>
      </c>
      <c r="H165" s="195" t="s">
        <v>53</v>
      </c>
      <c r="I165" s="87">
        <f>[79]Source!AV922</f>
        <v>1.0669999999999999</v>
      </c>
      <c r="J165" s="90">
        <f>ROUND(F151*G165*I165*(1.67-1), 2)</f>
        <v>0.21</v>
      </c>
      <c r="K165" s="87">
        <f>IF([79]Source!BS922&lt;&gt; 0, [79]Source!BS922, 1)</f>
        <v>23.94</v>
      </c>
      <c r="L165" s="90">
        <f>ROUND(ROUND(F151*G165*I165*(1.67-1), 2)*K165, 2)</f>
        <v>5.03</v>
      </c>
    </row>
    <row r="166" spans="1:22" ht="14.25" x14ac:dyDescent="0.2">
      <c r="A166" s="84"/>
      <c r="B166" s="84"/>
      <c r="C166" s="85"/>
      <c r="D166" s="85" t="s">
        <v>50</v>
      </c>
      <c r="E166" s="86" t="s">
        <v>48</v>
      </c>
      <c r="F166" s="87">
        <f>175</f>
        <v>175</v>
      </c>
      <c r="G166" s="88"/>
      <c r="H166" s="89"/>
      <c r="I166" s="87"/>
      <c r="J166" s="176">
        <f>ROUND(J165*(F166/100), 2)</f>
        <v>0.37</v>
      </c>
      <c r="K166" s="87">
        <f>157</f>
        <v>157</v>
      </c>
      <c r="L166" s="176">
        <f>ROUND(L165*(K166/100), 2)</f>
        <v>7.9</v>
      </c>
    </row>
    <row r="167" spans="1:22" ht="15" x14ac:dyDescent="0.25">
      <c r="A167" s="190"/>
      <c r="B167" s="190"/>
      <c r="C167" s="190"/>
      <c r="D167" s="191" t="s">
        <v>81</v>
      </c>
      <c r="E167" s="190"/>
      <c r="F167" s="190"/>
      <c r="G167" s="190"/>
      <c r="H167" s="190"/>
      <c r="I167" s="409">
        <f>J166+J165</f>
        <v>0.57999999999999996</v>
      </c>
      <c r="J167" s="409"/>
      <c r="K167" s="409">
        <f>L166+L165</f>
        <v>12.93</v>
      </c>
      <c r="L167" s="409"/>
      <c r="O167" s="92">
        <f>I167</f>
        <v>0.57999999999999996</v>
      </c>
      <c r="P167" s="92">
        <f>K167</f>
        <v>12.93</v>
      </c>
    </row>
    <row r="169" spans="1:22" ht="65.25" x14ac:dyDescent="0.2">
      <c r="A169" s="84">
        <v>8</v>
      </c>
      <c r="B169" s="84" t="str">
        <f>[79]Source!E931</f>
        <v>87</v>
      </c>
      <c r="C169" s="85" t="s">
        <v>214</v>
      </c>
      <c r="D169" s="85" t="s">
        <v>215</v>
      </c>
      <c r="E169" s="86" t="str">
        <f>[79]Source!H931</f>
        <v>100 м шва</v>
      </c>
      <c r="F169" s="87">
        <f>[79]Source!I931</f>
        <v>0.26719999999999999</v>
      </c>
      <c r="G169" s="88"/>
      <c r="H169" s="89"/>
      <c r="I169" s="87"/>
      <c r="J169" s="176"/>
      <c r="K169" s="87"/>
      <c r="L169" s="176"/>
      <c r="Q169" s="47">
        <f>[79]Source!X931</f>
        <v>20.55</v>
      </c>
      <c r="R169" s="47">
        <f>[79]Source!X932</f>
        <v>398.23</v>
      </c>
      <c r="S169" s="47">
        <f>[79]Source!Y931</f>
        <v>15.07</v>
      </c>
      <c r="T169" s="47">
        <f>[79]Source!Y932</f>
        <v>192.09</v>
      </c>
      <c r="U169" s="47">
        <f>ROUND((175/100)*ROUND([79]Source!R931, 2), 2)</f>
        <v>3.29</v>
      </c>
      <c r="V169" s="47">
        <f>ROUND((157/100)*ROUND([79]Source!R932, 2), 2)</f>
        <v>70.67</v>
      </c>
    </row>
    <row r="170" spans="1:22" ht="12.75" x14ac:dyDescent="0.2">
      <c r="D170" s="203" t="str">
        <f>"Объем: "&amp;[79]Source!I931&amp;"=1,336*"&amp;"0,2"</f>
        <v>Объем: 0,2672=1,336*0,2</v>
      </c>
    </row>
    <row r="171" spans="1:22" ht="14.25" x14ac:dyDescent="0.2">
      <c r="A171" s="84"/>
      <c r="B171" s="84"/>
      <c r="C171" s="85"/>
      <c r="D171" s="85" t="s">
        <v>43</v>
      </c>
      <c r="E171" s="86"/>
      <c r="F171" s="87"/>
      <c r="G171" s="88">
        <f>[79]Source!AO931</f>
        <v>41.88</v>
      </c>
      <c r="H171" s="89" t="str">
        <f>[79]Source!DG931</f>
        <v>)*1,67</v>
      </c>
      <c r="I171" s="87">
        <f>[79]Source!AV932</f>
        <v>1.0469999999999999</v>
      </c>
      <c r="J171" s="176">
        <f>[79]Source!S931</f>
        <v>19.57</v>
      </c>
      <c r="K171" s="87">
        <f>IF([79]Source!BA932&lt;&gt; 0, [79]Source!BA932, 1)</f>
        <v>23.94</v>
      </c>
      <c r="L171" s="176">
        <f>[79]Source!S932</f>
        <v>468.51</v>
      </c>
    </row>
    <row r="172" spans="1:22" ht="14.25" x14ac:dyDescent="0.2">
      <c r="A172" s="84"/>
      <c r="B172" s="84"/>
      <c r="C172" s="85"/>
      <c r="D172" s="85" t="s">
        <v>44</v>
      </c>
      <c r="E172" s="86"/>
      <c r="F172" s="87"/>
      <c r="G172" s="88">
        <f>[79]Source!AM931</f>
        <v>21.51</v>
      </c>
      <c r="H172" s="89" t="str">
        <f>[79]Source!DE931</f>
        <v/>
      </c>
      <c r="I172" s="87">
        <f>[79]Source!AV932</f>
        <v>1.0469999999999999</v>
      </c>
      <c r="J172" s="176">
        <f>[79]Source!Q931-J183</f>
        <v>6.02</v>
      </c>
      <c r="K172" s="87">
        <f>IF([79]Source!BB932&lt;&gt; 0, [79]Source!BB932, 1)</f>
        <v>9</v>
      </c>
      <c r="L172" s="176">
        <f>[79]Source!Q932-L183</f>
        <v>54.18</v>
      </c>
    </row>
    <row r="173" spans="1:22" ht="14.25" x14ac:dyDescent="0.2">
      <c r="A173" s="84"/>
      <c r="B173" s="84"/>
      <c r="C173" s="85"/>
      <c r="D173" s="85" t="s">
        <v>45</v>
      </c>
      <c r="E173" s="86"/>
      <c r="F173" s="87"/>
      <c r="G173" s="88">
        <f>[79]Source!AN931</f>
        <v>4.0199999999999996</v>
      </c>
      <c r="H173" s="89" t="str">
        <f>[79]Source!DE931</f>
        <v/>
      </c>
      <c r="I173" s="87">
        <f>[79]Source!AV932</f>
        <v>1.0469999999999999</v>
      </c>
      <c r="J173" s="90">
        <f>[79]Source!R931-J184</f>
        <v>1.1299999999999999</v>
      </c>
      <c r="K173" s="87">
        <f>IF([79]Source!BS932&lt;&gt; 0, [79]Source!BS932, 1)</f>
        <v>23.94</v>
      </c>
      <c r="L173" s="90">
        <f>[79]Source!R932-L184</f>
        <v>27.05</v>
      </c>
    </row>
    <row r="174" spans="1:22" ht="14.25" x14ac:dyDescent="0.2">
      <c r="A174" s="84">
        <v>9</v>
      </c>
      <c r="B174" s="84" t="str">
        <f>[79]Source!E933</f>
        <v>87,1</v>
      </c>
      <c r="C174" s="85" t="str">
        <f>[79]Source!F933</f>
        <v>1.1-1-394</v>
      </c>
      <c r="D174" s="85" t="s">
        <v>216</v>
      </c>
      <c r="E174" s="86" t="str">
        <f>[79]Source!H933</f>
        <v>кг</v>
      </c>
      <c r="F174" s="87">
        <f>[79]Source!I933</f>
        <v>8.016</v>
      </c>
      <c r="G174" s="88">
        <f>[79]Source!AK933</f>
        <v>9.99</v>
      </c>
      <c r="H174" s="123" t="s">
        <v>20</v>
      </c>
      <c r="I174" s="87">
        <f>[79]Source!AW934</f>
        <v>1</v>
      </c>
      <c r="J174" s="176">
        <f>[79]Source!O933</f>
        <v>80.08</v>
      </c>
      <c r="K174" s="87">
        <f>IF([79]Source!BC934&lt;&gt; 0, [79]Source!BC934, 1)</f>
        <v>3.63</v>
      </c>
      <c r="L174" s="176">
        <f>[79]Source!O934</f>
        <v>290.69</v>
      </c>
      <c r="Q174" s="47">
        <f>[79]Source!X933</f>
        <v>0</v>
      </c>
      <c r="R174" s="47">
        <f>[79]Source!X934</f>
        <v>0</v>
      </c>
      <c r="S174" s="47">
        <f>[79]Source!Y933</f>
        <v>0</v>
      </c>
      <c r="T174" s="47">
        <f>[79]Source!Y934</f>
        <v>0</v>
      </c>
      <c r="U174" s="47">
        <f>ROUND((175/100)*ROUND([79]Source!R933, 2), 2)</f>
        <v>0</v>
      </c>
      <c r="V174" s="47">
        <f>ROUND((157/100)*ROUND([79]Source!R934, 2), 2)</f>
        <v>0</v>
      </c>
    </row>
    <row r="175" spans="1:22" ht="42.75" x14ac:dyDescent="0.2">
      <c r="A175" s="84">
        <v>10</v>
      </c>
      <c r="B175" s="84" t="str">
        <f>[79]Source!E935</f>
        <v>87,2</v>
      </c>
      <c r="C175" s="85" t="str">
        <f>[79]Source!F935</f>
        <v>1.1-1-884</v>
      </c>
      <c r="D175" s="85" t="s">
        <v>217</v>
      </c>
      <c r="E175" s="86" t="str">
        <f>[79]Source!H935</f>
        <v>м3</v>
      </c>
      <c r="F175" s="87">
        <f>[79]Source!I935</f>
        <v>0.21376000000000001</v>
      </c>
      <c r="G175" s="88">
        <f>[79]Source!AK935</f>
        <v>609.28</v>
      </c>
      <c r="H175" s="123" t="s">
        <v>20</v>
      </c>
      <c r="I175" s="87">
        <f>[79]Source!AW936</f>
        <v>1</v>
      </c>
      <c r="J175" s="176">
        <f>[79]Source!O935</f>
        <v>130.24</v>
      </c>
      <c r="K175" s="87">
        <f>IF([79]Source!BC936&lt;&gt; 0, [79]Source!BC936, 1)</f>
        <v>3.62</v>
      </c>
      <c r="L175" s="176">
        <f>[79]Source!O936</f>
        <v>471.47</v>
      </c>
      <c r="Q175" s="47">
        <f>[79]Source!X935</f>
        <v>0</v>
      </c>
      <c r="R175" s="47">
        <f>[79]Source!X936</f>
        <v>0</v>
      </c>
      <c r="S175" s="47">
        <f>[79]Source!Y935</f>
        <v>0</v>
      </c>
      <c r="T175" s="47">
        <f>[79]Source!Y936</f>
        <v>0</v>
      </c>
      <c r="U175" s="47">
        <f>ROUND((175/100)*ROUND([79]Source!R935, 2), 2)</f>
        <v>0</v>
      </c>
      <c r="V175" s="47">
        <f>ROUND((157/100)*ROUND([79]Source!R936, 2), 2)</f>
        <v>0</v>
      </c>
    </row>
    <row r="176" spans="1:22" ht="14.25" x14ac:dyDescent="0.2">
      <c r="A176" s="84"/>
      <c r="B176" s="84"/>
      <c r="C176" s="85"/>
      <c r="D176" s="85" t="s">
        <v>47</v>
      </c>
      <c r="E176" s="86" t="s">
        <v>48</v>
      </c>
      <c r="F176" s="87">
        <f>[79]Source!DN932</f>
        <v>105</v>
      </c>
      <c r="G176" s="88"/>
      <c r="H176" s="89"/>
      <c r="I176" s="87"/>
      <c r="J176" s="176">
        <f>SUM(Q169:Q175)</f>
        <v>20.55</v>
      </c>
      <c r="K176" s="87">
        <f>[79]Source!BZ932</f>
        <v>85</v>
      </c>
      <c r="L176" s="176">
        <f>SUM(R169:R175)</f>
        <v>398.23</v>
      </c>
    </row>
    <row r="177" spans="1:22" ht="14.25" x14ac:dyDescent="0.2">
      <c r="A177" s="84"/>
      <c r="B177" s="84"/>
      <c r="C177" s="85"/>
      <c r="D177" s="85" t="s">
        <v>49</v>
      </c>
      <c r="E177" s="86" t="s">
        <v>48</v>
      </c>
      <c r="F177" s="87">
        <f>[79]Source!DO932</f>
        <v>77</v>
      </c>
      <c r="G177" s="88"/>
      <c r="H177" s="89"/>
      <c r="I177" s="87"/>
      <c r="J177" s="176">
        <f>SUM(S169:S176)</f>
        <v>15.07</v>
      </c>
      <c r="K177" s="87">
        <f>[79]Source!CA932</f>
        <v>41</v>
      </c>
      <c r="L177" s="176">
        <f>SUM(T169:T176)</f>
        <v>192.09</v>
      </c>
    </row>
    <row r="178" spans="1:22" ht="14.25" x14ac:dyDescent="0.2">
      <c r="A178" s="84"/>
      <c r="B178" s="84"/>
      <c r="C178" s="85"/>
      <c r="D178" s="85" t="s">
        <v>50</v>
      </c>
      <c r="E178" s="86" t="s">
        <v>48</v>
      </c>
      <c r="F178" s="87">
        <f>175</f>
        <v>175</v>
      </c>
      <c r="G178" s="88"/>
      <c r="H178" s="89"/>
      <c r="I178" s="87"/>
      <c r="J178" s="176">
        <f>SUM(U169:U177)-J185</f>
        <v>1.98</v>
      </c>
      <c r="K178" s="87">
        <f>157</f>
        <v>157</v>
      </c>
      <c r="L178" s="176">
        <f>SUM(V169:V177)-L185</f>
        <v>42.47</v>
      </c>
    </row>
    <row r="179" spans="1:22" ht="14.25" x14ac:dyDescent="0.2">
      <c r="A179" s="183"/>
      <c r="B179" s="183"/>
      <c r="C179" s="184"/>
      <c r="D179" s="184" t="s">
        <v>51</v>
      </c>
      <c r="E179" s="185" t="s">
        <v>52</v>
      </c>
      <c r="F179" s="186">
        <f>[79]Source!AQ931</f>
        <v>3.7</v>
      </c>
      <c r="G179" s="187"/>
      <c r="H179" s="188" t="str">
        <f>[79]Source!DI931</f>
        <v/>
      </c>
      <c r="I179" s="186">
        <f>[79]Source!AV932</f>
        <v>1.0469999999999999</v>
      </c>
      <c r="J179" s="189">
        <f>[79]Source!U931</f>
        <v>1.04</v>
      </c>
      <c r="K179" s="186"/>
      <c r="L179" s="189"/>
    </row>
    <row r="180" spans="1:22" ht="15" x14ac:dyDescent="0.25">
      <c r="D180" s="194" t="s">
        <v>81</v>
      </c>
      <c r="I180" s="408">
        <f>J171+J172+J176+J177+J178+SUM(J174:J175)</f>
        <v>273.51</v>
      </c>
      <c r="J180" s="408"/>
      <c r="K180" s="408">
        <f>L171+L172+L176+L177+L178+SUM(L174:L175)</f>
        <v>1917.64</v>
      </c>
      <c r="L180" s="408"/>
      <c r="O180" s="92">
        <f>J171+J172+J176+J177+J178+SUM(J174:J175)</f>
        <v>273.51</v>
      </c>
      <c r="P180" s="92">
        <f>L171+L172+L176+L177+L178+SUM(L174:L175)</f>
        <v>1917.64</v>
      </c>
    </row>
    <row r="182" spans="1:22" ht="65.25" x14ac:dyDescent="0.2">
      <c r="A182" s="84">
        <v>11</v>
      </c>
      <c r="B182" s="84" t="str">
        <f>CONCATENATE([79]Source!E931, "/1")</f>
        <v>87/1</v>
      </c>
      <c r="C182" s="85" t="s">
        <v>218</v>
      </c>
      <c r="D182" s="85" t="s">
        <v>82</v>
      </c>
      <c r="E182" s="86" t="str">
        <f>[79]Source!H931</f>
        <v>100 м шва</v>
      </c>
      <c r="F182" s="87">
        <f>[79]Source!I931</f>
        <v>0.26719999999999999</v>
      </c>
      <c r="G182" s="88"/>
      <c r="H182" s="89"/>
      <c r="I182" s="87"/>
      <c r="J182" s="176"/>
      <c r="K182" s="87"/>
      <c r="L182" s="176"/>
    </row>
    <row r="183" spans="1:22" ht="14.25" x14ac:dyDescent="0.2">
      <c r="A183" s="84"/>
      <c r="B183" s="84"/>
      <c r="C183" s="85"/>
      <c r="D183" s="85" t="s">
        <v>44</v>
      </c>
      <c r="E183" s="86"/>
      <c r="F183" s="87"/>
      <c r="G183" s="88">
        <f t="shared" ref="G183:L183" si="1">G184</f>
        <v>4.0199999999999996</v>
      </c>
      <c r="H183" s="195" t="str">
        <f t="shared" si="1"/>
        <v>)*(1.67-1)</v>
      </c>
      <c r="I183" s="87">
        <f t="shared" si="1"/>
        <v>1.0469999999999999</v>
      </c>
      <c r="J183" s="176">
        <f t="shared" si="1"/>
        <v>0.75</v>
      </c>
      <c r="K183" s="87">
        <f t="shared" si="1"/>
        <v>23.94</v>
      </c>
      <c r="L183" s="176">
        <f t="shared" si="1"/>
        <v>17.96</v>
      </c>
    </row>
    <row r="184" spans="1:22" ht="14.25" x14ac:dyDescent="0.2">
      <c r="A184" s="84"/>
      <c r="B184" s="84"/>
      <c r="C184" s="85"/>
      <c r="D184" s="85" t="s">
        <v>45</v>
      </c>
      <c r="E184" s="86"/>
      <c r="F184" s="87"/>
      <c r="G184" s="88">
        <f>[79]Source!AN931</f>
        <v>4.0199999999999996</v>
      </c>
      <c r="H184" s="195" t="s">
        <v>53</v>
      </c>
      <c r="I184" s="87">
        <f>[79]Source!AV932</f>
        <v>1.0469999999999999</v>
      </c>
      <c r="J184" s="90">
        <f>ROUND(F169*G184*I184*(1.67-1), 2)</f>
        <v>0.75</v>
      </c>
      <c r="K184" s="87">
        <f>IF([79]Source!BS932&lt;&gt; 0, [79]Source!BS932, 1)</f>
        <v>23.94</v>
      </c>
      <c r="L184" s="90">
        <f>ROUND(ROUND(F169*G184*I184*(1.67-1), 2)*K184, 2)</f>
        <v>17.96</v>
      </c>
    </row>
    <row r="185" spans="1:22" ht="14.25" x14ac:dyDescent="0.2">
      <c r="A185" s="84"/>
      <c r="B185" s="84"/>
      <c r="C185" s="85"/>
      <c r="D185" s="85" t="s">
        <v>50</v>
      </c>
      <c r="E185" s="86" t="s">
        <v>48</v>
      </c>
      <c r="F185" s="87">
        <f>175</f>
        <v>175</v>
      </c>
      <c r="G185" s="88"/>
      <c r="H185" s="89"/>
      <c r="I185" s="87"/>
      <c r="J185" s="176">
        <f>ROUND(J184*(F185/100), 2)</f>
        <v>1.31</v>
      </c>
      <c r="K185" s="87">
        <f>157</f>
        <v>157</v>
      </c>
      <c r="L185" s="176">
        <f>ROUND(L184*(K185/100), 2)</f>
        <v>28.2</v>
      </c>
    </row>
    <row r="186" spans="1:22" ht="15" x14ac:dyDescent="0.25">
      <c r="A186" s="190"/>
      <c r="B186" s="190"/>
      <c r="C186" s="190"/>
      <c r="D186" s="191" t="s">
        <v>81</v>
      </c>
      <c r="E186" s="190"/>
      <c r="F186" s="190"/>
      <c r="G186" s="190"/>
      <c r="H186" s="190"/>
      <c r="I186" s="409">
        <f>J185+J184</f>
        <v>2.06</v>
      </c>
      <c r="J186" s="409"/>
      <c r="K186" s="409">
        <f>L185+L184</f>
        <v>46.16</v>
      </c>
      <c r="L186" s="409"/>
      <c r="O186" s="92">
        <f>I186</f>
        <v>2.06</v>
      </c>
      <c r="P186" s="92">
        <f>K186</f>
        <v>46.16</v>
      </c>
    </row>
    <row r="189" spans="1:22" ht="15" x14ac:dyDescent="0.25">
      <c r="C189" s="454" t="str">
        <f>[79]Source!G939</f>
        <v>Простая отделка стен</v>
      </c>
      <c r="D189" s="454"/>
      <c r="E189" s="454"/>
      <c r="F189" s="454"/>
      <c r="G189" s="454"/>
      <c r="H189" s="454"/>
      <c r="I189" s="454"/>
      <c r="J189" s="454"/>
      <c r="K189" s="454"/>
    </row>
    <row r="190" spans="1:22" ht="65.25" x14ac:dyDescent="0.2">
      <c r="A190" s="84">
        <v>12</v>
      </c>
      <c r="B190" s="84" t="str">
        <f>[79]Source!E948</f>
        <v>89</v>
      </c>
      <c r="C190" s="85" t="s">
        <v>146</v>
      </c>
      <c r="D190" s="85" t="s">
        <v>147</v>
      </c>
      <c r="E190" s="86" t="str">
        <f>[79]Source!H948</f>
        <v>100 м2</v>
      </c>
      <c r="F190" s="87">
        <f>[79]Source!I948</f>
        <v>1.4356</v>
      </c>
      <c r="G190" s="88"/>
      <c r="H190" s="89"/>
      <c r="I190" s="87"/>
      <c r="J190" s="176"/>
      <c r="K190" s="87"/>
      <c r="L190" s="176"/>
      <c r="Q190" s="47">
        <f>[79]Source!X948</f>
        <v>153.29</v>
      </c>
      <c r="R190" s="47">
        <f>[79]Source!X949</f>
        <v>2691.13</v>
      </c>
      <c r="S190" s="47">
        <f>[79]Source!Y948</f>
        <v>107.3</v>
      </c>
      <c r="T190" s="47">
        <f>[79]Source!Y949</f>
        <v>1284.4000000000001</v>
      </c>
      <c r="U190" s="47">
        <f>ROUND((175/100)*ROUND([79]Source!R948, 2), 2)</f>
        <v>0.6</v>
      </c>
      <c r="V190" s="47">
        <f>ROUND((157/100)*ROUND([79]Source!R949, 2), 2)</f>
        <v>12.78</v>
      </c>
    </row>
    <row r="191" spans="1:22" ht="12.75" x14ac:dyDescent="0.2">
      <c r="D191" s="203" t="str">
        <f>"Объем: "&amp;[79]Source!I948&amp;"=7,178*"&amp;"0,2"</f>
        <v>Объем: 1,4356=7,178*0,2</v>
      </c>
    </row>
    <row r="192" spans="1:22" ht="14.25" x14ac:dyDescent="0.2">
      <c r="A192" s="84"/>
      <c r="B192" s="84"/>
      <c r="C192" s="85"/>
      <c r="D192" s="85" t="s">
        <v>43</v>
      </c>
      <c r="E192" s="86"/>
      <c r="F192" s="87"/>
      <c r="G192" s="88">
        <f>[79]Source!AO948</f>
        <v>51.98</v>
      </c>
      <c r="H192" s="89" t="str">
        <f>[79]Source!DG948</f>
        <v>)*1,67</v>
      </c>
      <c r="I192" s="87">
        <f>[79]Source!AV949</f>
        <v>1.0249999999999999</v>
      </c>
      <c r="J192" s="176">
        <f>[79]Source!S948</f>
        <v>127.74</v>
      </c>
      <c r="K192" s="87">
        <f>IF([79]Source!BA949&lt;&gt; 0, [79]Source!BA949, 1)</f>
        <v>23.94</v>
      </c>
      <c r="L192" s="176">
        <f>[79]Source!S949</f>
        <v>3058.1</v>
      </c>
    </row>
    <row r="193" spans="1:22" ht="14.25" x14ac:dyDescent="0.2">
      <c r="A193" s="84"/>
      <c r="B193" s="84"/>
      <c r="C193" s="85"/>
      <c r="D193" s="85" t="s">
        <v>44</v>
      </c>
      <c r="E193" s="86"/>
      <c r="F193" s="87"/>
      <c r="G193" s="88">
        <f>[79]Source!AM948</f>
        <v>0.82</v>
      </c>
      <c r="H193" s="89" t="str">
        <f>[79]Source!DE948</f>
        <v/>
      </c>
      <c r="I193" s="87">
        <f>[79]Source!AV949</f>
        <v>1.0249999999999999</v>
      </c>
      <c r="J193" s="176">
        <f>[79]Source!Q948-J203</f>
        <v>1.21</v>
      </c>
      <c r="K193" s="87">
        <f>IF([79]Source!BB949&lt;&gt; 0, [79]Source!BB949, 1)</f>
        <v>8.7899999999999991</v>
      </c>
      <c r="L193" s="176">
        <f>[79]Source!Q949-L203</f>
        <v>10.64</v>
      </c>
    </row>
    <row r="194" spans="1:22" ht="14.25" x14ac:dyDescent="0.2">
      <c r="A194" s="84"/>
      <c r="B194" s="84"/>
      <c r="C194" s="85"/>
      <c r="D194" s="85" t="s">
        <v>45</v>
      </c>
      <c r="E194" s="86"/>
      <c r="F194" s="87"/>
      <c r="G194" s="88">
        <f>[79]Source!AN948</f>
        <v>0.14000000000000001</v>
      </c>
      <c r="H194" s="89" t="str">
        <f>[79]Source!DE948</f>
        <v/>
      </c>
      <c r="I194" s="87">
        <f>[79]Source!AV949</f>
        <v>1.0249999999999999</v>
      </c>
      <c r="J194" s="90">
        <f>[79]Source!R948-J204</f>
        <v>0.2</v>
      </c>
      <c r="K194" s="87">
        <f>IF([79]Source!BS949&lt;&gt; 0, [79]Source!BS949, 1)</f>
        <v>23.94</v>
      </c>
      <c r="L194" s="90">
        <f>[79]Source!R949-L204</f>
        <v>4.79</v>
      </c>
    </row>
    <row r="195" spans="1:22" ht="57" x14ac:dyDescent="0.2">
      <c r="A195" s="84">
        <v>13</v>
      </c>
      <c r="B195" s="84" t="str">
        <f>[79]Source!E950</f>
        <v>89,1</v>
      </c>
      <c r="C195" s="85" t="str">
        <f>[79]Source!F950</f>
        <v>1.1-1-3552</v>
      </c>
      <c r="D195" s="85" t="s">
        <v>148</v>
      </c>
      <c r="E195" s="86" t="str">
        <f>[79]Source!H950</f>
        <v>л</v>
      </c>
      <c r="F195" s="87">
        <f>[79]Source!I950</f>
        <v>14.78668</v>
      </c>
      <c r="G195" s="88">
        <f>[79]Source!AK950</f>
        <v>40.17</v>
      </c>
      <c r="H195" s="123" t="s">
        <v>20</v>
      </c>
      <c r="I195" s="87">
        <f>[79]Source!AW951</f>
        <v>1</v>
      </c>
      <c r="J195" s="176">
        <f>[79]Source!O950</f>
        <v>593.98</v>
      </c>
      <c r="K195" s="87">
        <f>IF([79]Source!BC951&lt;&gt; 0, [79]Source!BC951, 1)</f>
        <v>1.46</v>
      </c>
      <c r="L195" s="176">
        <f>[79]Source!O951</f>
        <v>867.21</v>
      </c>
      <c r="Q195" s="47">
        <f>[79]Source!X950</f>
        <v>0</v>
      </c>
      <c r="R195" s="47">
        <f>[79]Source!X951</f>
        <v>0</v>
      </c>
      <c r="S195" s="47">
        <f>[79]Source!Y950</f>
        <v>0</v>
      </c>
      <c r="T195" s="47">
        <f>[79]Source!Y951</f>
        <v>0</v>
      </c>
      <c r="U195" s="47">
        <f>ROUND((175/100)*ROUND([79]Source!R950, 2), 2)</f>
        <v>0</v>
      </c>
      <c r="V195" s="47">
        <f>ROUND((157/100)*ROUND([79]Source!R951, 2), 2)</f>
        <v>0</v>
      </c>
    </row>
    <row r="196" spans="1:22" ht="14.25" x14ac:dyDescent="0.2">
      <c r="A196" s="84"/>
      <c r="B196" s="84"/>
      <c r="C196" s="85"/>
      <c r="D196" s="85" t="s">
        <v>47</v>
      </c>
      <c r="E196" s="86" t="s">
        <v>48</v>
      </c>
      <c r="F196" s="87">
        <f>[79]Source!DN949</f>
        <v>120</v>
      </c>
      <c r="G196" s="88"/>
      <c r="H196" s="89"/>
      <c r="I196" s="87"/>
      <c r="J196" s="176">
        <f>SUM(Q190:Q195)</f>
        <v>153.29</v>
      </c>
      <c r="K196" s="87">
        <f>[79]Source!BZ949</f>
        <v>88</v>
      </c>
      <c r="L196" s="176">
        <f>SUM(R190:R195)</f>
        <v>2691.13</v>
      </c>
    </row>
    <row r="197" spans="1:22" ht="14.25" x14ac:dyDescent="0.2">
      <c r="A197" s="84"/>
      <c r="B197" s="84"/>
      <c r="C197" s="85"/>
      <c r="D197" s="85" t="s">
        <v>49</v>
      </c>
      <c r="E197" s="86" t="s">
        <v>48</v>
      </c>
      <c r="F197" s="87">
        <f>[79]Source!DO949</f>
        <v>84</v>
      </c>
      <c r="G197" s="88"/>
      <c r="H197" s="89"/>
      <c r="I197" s="87"/>
      <c r="J197" s="176">
        <f>SUM(S190:S196)</f>
        <v>107.3</v>
      </c>
      <c r="K197" s="87">
        <f>[79]Source!CA949</f>
        <v>42</v>
      </c>
      <c r="L197" s="176">
        <f>SUM(T190:T196)</f>
        <v>1284.4000000000001</v>
      </c>
    </row>
    <row r="198" spans="1:22" ht="14.25" x14ac:dyDescent="0.2">
      <c r="A198" s="84"/>
      <c r="B198" s="84"/>
      <c r="C198" s="85"/>
      <c r="D198" s="85" t="s">
        <v>50</v>
      </c>
      <c r="E198" s="86" t="s">
        <v>48</v>
      </c>
      <c r="F198" s="87">
        <f>175</f>
        <v>175</v>
      </c>
      <c r="G198" s="88"/>
      <c r="H198" s="89"/>
      <c r="I198" s="87"/>
      <c r="J198" s="176">
        <f>SUM(U190:U197)-J205</f>
        <v>0.35</v>
      </c>
      <c r="K198" s="87">
        <f>157</f>
        <v>157</v>
      </c>
      <c r="L198" s="176">
        <f>SUM(V190:V197)-L205</f>
        <v>7.52</v>
      </c>
    </row>
    <row r="199" spans="1:22" ht="14.25" x14ac:dyDescent="0.2">
      <c r="A199" s="183"/>
      <c r="B199" s="183"/>
      <c r="C199" s="184"/>
      <c r="D199" s="184" t="s">
        <v>51</v>
      </c>
      <c r="E199" s="185" t="s">
        <v>52</v>
      </c>
      <c r="F199" s="186">
        <f>[79]Source!AQ948</f>
        <v>4.6500000000000004</v>
      </c>
      <c r="G199" s="187"/>
      <c r="H199" s="188" t="str">
        <f>[79]Source!DI948</f>
        <v/>
      </c>
      <c r="I199" s="186">
        <f>[79]Source!AV949</f>
        <v>1.0249999999999999</v>
      </c>
      <c r="J199" s="189">
        <f>[79]Source!U948</f>
        <v>6.84</v>
      </c>
      <c r="K199" s="186"/>
      <c r="L199" s="189"/>
    </row>
    <row r="200" spans="1:22" ht="15" x14ac:dyDescent="0.25">
      <c r="D200" s="194" t="s">
        <v>81</v>
      </c>
      <c r="I200" s="408">
        <f>J192+J193+J196+J197+J198+SUM(J195:J195)</f>
        <v>983.87</v>
      </c>
      <c r="J200" s="408"/>
      <c r="K200" s="408">
        <f>L192+L193+L196+L197+L198+SUM(L195:L195)</f>
        <v>7919</v>
      </c>
      <c r="L200" s="408"/>
      <c r="O200" s="92">
        <f>J192+J193+J196+J197+J198+SUM(J195:J195)</f>
        <v>983.87</v>
      </c>
      <c r="P200" s="92">
        <f>L192+L193+L196+L197+L198+SUM(L195:L195)</f>
        <v>7919</v>
      </c>
    </row>
    <row r="202" spans="1:22" ht="65.25" x14ac:dyDescent="0.2">
      <c r="A202" s="84">
        <v>14</v>
      </c>
      <c r="B202" s="84" t="str">
        <f>CONCATENATE([79]Source!E948, "/1")</f>
        <v>89/1</v>
      </c>
      <c r="C202" s="85" t="s">
        <v>203</v>
      </c>
      <c r="D202" s="85" t="s">
        <v>82</v>
      </c>
      <c r="E202" s="86" t="str">
        <f>[79]Source!H948</f>
        <v>100 м2</v>
      </c>
      <c r="F202" s="87">
        <f>[79]Source!I948</f>
        <v>1.4356</v>
      </c>
      <c r="G202" s="88"/>
      <c r="H202" s="89"/>
      <c r="I202" s="87"/>
      <c r="J202" s="176"/>
      <c r="K202" s="87"/>
      <c r="L202" s="176"/>
    </row>
    <row r="203" spans="1:22" ht="14.25" x14ac:dyDescent="0.2">
      <c r="A203" s="84"/>
      <c r="B203" s="84"/>
      <c r="C203" s="85"/>
      <c r="D203" s="85" t="s">
        <v>44</v>
      </c>
      <c r="E203" s="86"/>
      <c r="F203" s="87"/>
      <c r="G203" s="88">
        <f t="shared" ref="G203:L203" si="2">G204</f>
        <v>0.14000000000000001</v>
      </c>
      <c r="H203" s="195" t="str">
        <f t="shared" si="2"/>
        <v>)*(1.67-1)</v>
      </c>
      <c r="I203" s="87">
        <f t="shared" si="2"/>
        <v>1.0249999999999999</v>
      </c>
      <c r="J203" s="176">
        <f t="shared" si="2"/>
        <v>0.14000000000000001</v>
      </c>
      <c r="K203" s="87">
        <f t="shared" si="2"/>
        <v>23.94</v>
      </c>
      <c r="L203" s="176">
        <f t="shared" si="2"/>
        <v>3.35</v>
      </c>
    </row>
    <row r="204" spans="1:22" ht="14.25" x14ac:dyDescent="0.2">
      <c r="A204" s="84"/>
      <c r="B204" s="84"/>
      <c r="C204" s="85"/>
      <c r="D204" s="85" t="s">
        <v>45</v>
      </c>
      <c r="E204" s="86"/>
      <c r="F204" s="87"/>
      <c r="G204" s="88">
        <f>[79]Source!AN948</f>
        <v>0.14000000000000001</v>
      </c>
      <c r="H204" s="195" t="s">
        <v>53</v>
      </c>
      <c r="I204" s="87">
        <f>[79]Source!AV949</f>
        <v>1.0249999999999999</v>
      </c>
      <c r="J204" s="90">
        <f>ROUND(F190*G204*I204*(1.67-1), 2)</f>
        <v>0.14000000000000001</v>
      </c>
      <c r="K204" s="87">
        <f>IF([79]Source!BS949&lt;&gt; 0, [79]Source!BS949, 1)</f>
        <v>23.94</v>
      </c>
      <c r="L204" s="90">
        <f>ROUND(ROUND(F190*G204*I204*(1.67-1), 2)*K204, 2)</f>
        <v>3.35</v>
      </c>
    </row>
    <row r="205" spans="1:22" ht="14.25" x14ac:dyDescent="0.2">
      <c r="A205" s="84"/>
      <c r="B205" s="84"/>
      <c r="C205" s="85"/>
      <c r="D205" s="85" t="s">
        <v>50</v>
      </c>
      <c r="E205" s="86" t="s">
        <v>48</v>
      </c>
      <c r="F205" s="87">
        <f>175</f>
        <v>175</v>
      </c>
      <c r="G205" s="88"/>
      <c r="H205" s="89"/>
      <c r="I205" s="87"/>
      <c r="J205" s="176">
        <f>ROUND(J204*(F205/100), 2)</f>
        <v>0.25</v>
      </c>
      <c r="K205" s="87">
        <f>157</f>
        <v>157</v>
      </c>
      <c r="L205" s="176">
        <f>ROUND(L204*(K205/100), 2)</f>
        <v>5.26</v>
      </c>
    </row>
    <row r="206" spans="1:22" ht="15" x14ac:dyDescent="0.25">
      <c r="A206" s="190"/>
      <c r="B206" s="190"/>
      <c r="C206" s="190"/>
      <c r="D206" s="191" t="s">
        <v>81</v>
      </c>
      <c r="E206" s="190"/>
      <c r="F206" s="190"/>
      <c r="G206" s="190"/>
      <c r="H206" s="190"/>
      <c r="I206" s="409">
        <f>J205+J204</f>
        <v>0.39</v>
      </c>
      <c r="J206" s="409"/>
      <c r="K206" s="409">
        <f>L205+L204</f>
        <v>8.61</v>
      </c>
      <c r="L206" s="409"/>
      <c r="O206" s="92">
        <f>I206</f>
        <v>0.39</v>
      </c>
      <c r="P206" s="92">
        <f>K206</f>
        <v>8.61</v>
      </c>
    </row>
    <row r="208" spans="1:22" ht="65.25" x14ac:dyDescent="0.2">
      <c r="A208" s="84">
        <v>15</v>
      </c>
      <c r="B208" s="84" t="str">
        <f>[79]Source!E958</f>
        <v>91</v>
      </c>
      <c r="C208" s="85" t="s">
        <v>146</v>
      </c>
      <c r="D208" s="85" t="s">
        <v>147</v>
      </c>
      <c r="E208" s="86" t="str">
        <f>[79]Source!H958</f>
        <v>100 м2</v>
      </c>
      <c r="F208" s="87">
        <f>[79]Source!I958</f>
        <v>0.48020000000000002</v>
      </c>
      <c r="G208" s="88"/>
      <c r="H208" s="89"/>
      <c r="I208" s="87"/>
      <c r="J208" s="176"/>
      <c r="K208" s="87"/>
      <c r="L208" s="176"/>
      <c r="Q208" s="47">
        <f>[79]Source!X958</f>
        <v>51.28</v>
      </c>
      <c r="R208" s="47">
        <f>[79]Source!X959</f>
        <v>900.2</v>
      </c>
      <c r="S208" s="47">
        <f>[79]Source!Y958</f>
        <v>35.89</v>
      </c>
      <c r="T208" s="47">
        <f>[79]Source!Y959</f>
        <v>429.64</v>
      </c>
      <c r="U208" s="47">
        <f>ROUND((175/100)*ROUND([79]Source!R958, 2), 2)</f>
        <v>0.21</v>
      </c>
      <c r="V208" s="47">
        <f>ROUND((157/100)*ROUND([79]Source!R959, 2), 2)</f>
        <v>4.51</v>
      </c>
    </row>
    <row r="209" spans="1:22" ht="12.75" x14ac:dyDescent="0.2">
      <c r="D209" s="203" t="str">
        <f>"Объем: "&amp;[79]Source!I958&amp;"=2,401*"&amp;"0,2"</f>
        <v>Объем: 0,4802=2,401*0,2</v>
      </c>
    </row>
    <row r="210" spans="1:22" ht="14.25" x14ac:dyDescent="0.2">
      <c r="A210" s="84"/>
      <c r="B210" s="84"/>
      <c r="C210" s="85"/>
      <c r="D210" s="85" t="s">
        <v>43</v>
      </c>
      <c r="E210" s="86"/>
      <c r="F210" s="87"/>
      <c r="G210" s="88">
        <f>[79]Source!AO958</f>
        <v>51.98</v>
      </c>
      <c r="H210" s="89" t="str">
        <f>[79]Source!DG958</f>
        <v>)*1,67</v>
      </c>
      <c r="I210" s="87">
        <f>[79]Source!AV959</f>
        <v>1.0249999999999999</v>
      </c>
      <c r="J210" s="176">
        <f>[79]Source!S958</f>
        <v>42.73</v>
      </c>
      <c r="K210" s="87">
        <f>IF([79]Source!BA959&lt;&gt; 0, [79]Source!BA959, 1)</f>
        <v>23.94</v>
      </c>
      <c r="L210" s="176">
        <f>[79]Source!S959</f>
        <v>1022.96</v>
      </c>
    </row>
    <row r="211" spans="1:22" ht="14.25" x14ac:dyDescent="0.2">
      <c r="A211" s="84"/>
      <c r="B211" s="84"/>
      <c r="C211" s="85"/>
      <c r="D211" s="85" t="s">
        <v>44</v>
      </c>
      <c r="E211" s="86"/>
      <c r="F211" s="87"/>
      <c r="G211" s="88">
        <f>[79]Source!AM958</f>
        <v>0.82</v>
      </c>
      <c r="H211" s="89" t="str">
        <f>[79]Source!DE958</f>
        <v/>
      </c>
      <c r="I211" s="87">
        <f>[79]Source!AV959</f>
        <v>1.0249999999999999</v>
      </c>
      <c r="J211" s="176">
        <f>[79]Source!Q958-J221</f>
        <v>0.4</v>
      </c>
      <c r="K211" s="87">
        <f>IF([79]Source!BB959&lt;&gt; 0, [79]Source!BB959, 1)</f>
        <v>8.7899999999999991</v>
      </c>
      <c r="L211" s="176">
        <f>[79]Source!Q959-L221</f>
        <v>3.52</v>
      </c>
    </row>
    <row r="212" spans="1:22" ht="14.25" x14ac:dyDescent="0.2">
      <c r="A212" s="84"/>
      <c r="B212" s="84"/>
      <c r="C212" s="85"/>
      <c r="D212" s="85" t="s">
        <v>45</v>
      </c>
      <c r="E212" s="86"/>
      <c r="F212" s="87"/>
      <c r="G212" s="88">
        <f>[79]Source!AN958</f>
        <v>0.14000000000000001</v>
      </c>
      <c r="H212" s="89" t="str">
        <f>[79]Source!DE958</f>
        <v/>
      </c>
      <c r="I212" s="87">
        <f>[79]Source!AV959</f>
        <v>1.0249999999999999</v>
      </c>
      <c r="J212" s="90">
        <f>[79]Source!R958-J222</f>
        <v>7.0000000000000007E-2</v>
      </c>
      <c r="K212" s="87">
        <f>IF([79]Source!BS959&lt;&gt; 0, [79]Source!BS959, 1)</f>
        <v>23.94</v>
      </c>
      <c r="L212" s="90">
        <f>[79]Source!R959-L222</f>
        <v>1.67</v>
      </c>
    </row>
    <row r="213" spans="1:22" ht="57" x14ac:dyDescent="0.2">
      <c r="A213" s="84">
        <v>16</v>
      </c>
      <c r="B213" s="84" t="str">
        <f>[79]Source!E960</f>
        <v>91,1</v>
      </c>
      <c r="C213" s="85" t="str">
        <f>[79]Source!F960</f>
        <v>1.1-1-3552</v>
      </c>
      <c r="D213" s="85" t="s">
        <v>148</v>
      </c>
      <c r="E213" s="86" t="str">
        <f>[79]Source!H960</f>
        <v>л</v>
      </c>
      <c r="F213" s="87">
        <f>[79]Source!I960</f>
        <v>4.9460600000000001</v>
      </c>
      <c r="G213" s="88">
        <f>[79]Source!AK960</f>
        <v>40.17</v>
      </c>
      <c r="H213" s="123" t="s">
        <v>20</v>
      </c>
      <c r="I213" s="87">
        <f>[79]Source!AW961</f>
        <v>1</v>
      </c>
      <c r="J213" s="176">
        <f>[79]Source!O960</f>
        <v>198.68</v>
      </c>
      <c r="K213" s="87">
        <f>IF([79]Source!BC961&lt;&gt; 0, [79]Source!BC961, 1)</f>
        <v>1.46</v>
      </c>
      <c r="L213" s="176">
        <f>[79]Source!O961</f>
        <v>290.07</v>
      </c>
      <c r="Q213" s="47">
        <f>[79]Source!X960</f>
        <v>0</v>
      </c>
      <c r="R213" s="47">
        <f>[79]Source!X961</f>
        <v>0</v>
      </c>
      <c r="S213" s="47">
        <f>[79]Source!Y960</f>
        <v>0</v>
      </c>
      <c r="T213" s="47">
        <f>[79]Source!Y961</f>
        <v>0</v>
      </c>
      <c r="U213" s="47">
        <f>ROUND((175/100)*ROUND([79]Source!R960, 2), 2)</f>
        <v>0</v>
      </c>
      <c r="V213" s="47">
        <f>ROUND((157/100)*ROUND([79]Source!R961, 2), 2)</f>
        <v>0</v>
      </c>
    </row>
    <row r="214" spans="1:22" ht="14.25" x14ac:dyDescent="0.2">
      <c r="A214" s="84"/>
      <c r="B214" s="84"/>
      <c r="C214" s="85"/>
      <c r="D214" s="85" t="s">
        <v>47</v>
      </c>
      <c r="E214" s="86" t="s">
        <v>48</v>
      </c>
      <c r="F214" s="87">
        <f>[79]Source!DN959</f>
        <v>120</v>
      </c>
      <c r="G214" s="88"/>
      <c r="H214" s="89"/>
      <c r="I214" s="87"/>
      <c r="J214" s="176">
        <f>SUM(Q208:Q213)</f>
        <v>51.28</v>
      </c>
      <c r="K214" s="87">
        <f>[79]Source!BZ959</f>
        <v>88</v>
      </c>
      <c r="L214" s="176">
        <f>SUM(R208:R213)</f>
        <v>900.2</v>
      </c>
    </row>
    <row r="215" spans="1:22" ht="14.25" x14ac:dyDescent="0.2">
      <c r="A215" s="84"/>
      <c r="B215" s="84"/>
      <c r="C215" s="85"/>
      <c r="D215" s="85" t="s">
        <v>49</v>
      </c>
      <c r="E215" s="86" t="s">
        <v>48</v>
      </c>
      <c r="F215" s="87">
        <f>[79]Source!DO959</f>
        <v>84</v>
      </c>
      <c r="G215" s="88"/>
      <c r="H215" s="89"/>
      <c r="I215" s="87"/>
      <c r="J215" s="176">
        <f>SUM(S208:S214)</f>
        <v>35.89</v>
      </c>
      <c r="K215" s="87">
        <f>[79]Source!CA959</f>
        <v>42</v>
      </c>
      <c r="L215" s="176">
        <f>SUM(T208:T214)</f>
        <v>429.64</v>
      </c>
    </row>
    <row r="216" spans="1:22" ht="14.25" x14ac:dyDescent="0.2">
      <c r="A216" s="84"/>
      <c r="B216" s="84"/>
      <c r="C216" s="85"/>
      <c r="D216" s="85" t="s">
        <v>50</v>
      </c>
      <c r="E216" s="86" t="s">
        <v>48</v>
      </c>
      <c r="F216" s="87">
        <f>175</f>
        <v>175</v>
      </c>
      <c r="G216" s="88"/>
      <c r="H216" s="89"/>
      <c r="I216" s="87"/>
      <c r="J216" s="176">
        <f>SUM(U208:U215)-J223</f>
        <v>0.12</v>
      </c>
      <c r="K216" s="87">
        <f>157</f>
        <v>157</v>
      </c>
      <c r="L216" s="176">
        <f>SUM(V208:V215)-L223</f>
        <v>2.63</v>
      </c>
    </row>
    <row r="217" spans="1:22" ht="14.25" x14ac:dyDescent="0.2">
      <c r="A217" s="183"/>
      <c r="B217" s="183"/>
      <c r="C217" s="184"/>
      <c r="D217" s="184" t="s">
        <v>51</v>
      </c>
      <c r="E217" s="185" t="s">
        <v>52</v>
      </c>
      <c r="F217" s="186">
        <f>[79]Source!AQ958</f>
        <v>4.6500000000000004</v>
      </c>
      <c r="G217" s="187"/>
      <c r="H217" s="188" t="str">
        <f>[79]Source!DI958</f>
        <v/>
      </c>
      <c r="I217" s="186">
        <f>[79]Source!AV959</f>
        <v>1.0249999999999999</v>
      </c>
      <c r="J217" s="189">
        <f>[79]Source!U958</f>
        <v>2.29</v>
      </c>
      <c r="K217" s="186"/>
      <c r="L217" s="189"/>
    </row>
    <row r="218" spans="1:22" ht="15" x14ac:dyDescent="0.25">
      <c r="D218" s="194" t="s">
        <v>81</v>
      </c>
      <c r="I218" s="408">
        <f>J210+J211+J214+J215+J216+SUM(J213:J213)</f>
        <v>329.1</v>
      </c>
      <c r="J218" s="408"/>
      <c r="K218" s="408">
        <f>L210+L211+L214+L215+L216+SUM(L213:L213)</f>
        <v>2649.02</v>
      </c>
      <c r="L218" s="408"/>
      <c r="O218" s="92">
        <f>J210+J211+J214+J215+J216+SUM(J213:J213)</f>
        <v>329.1</v>
      </c>
      <c r="P218" s="92">
        <f>L210+L211+L214+L215+L216+SUM(L213:L213)</f>
        <v>2649.02</v>
      </c>
    </row>
    <row r="220" spans="1:22" ht="65.25" x14ac:dyDescent="0.2">
      <c r="A220" s="84">
        <v>17</v>
      </c>
      <c r="B220" s="84" t="str">
        <f>CONCATENATE([79]Source!E958, "/1")</f>
        <v>91/1</v>
      </c>
      <c r="C220" s="85" t="s">
        <v>203</v>
      </c>
      <c r="D220" s="85" t="s">
        <v>82</v>
      </c>
      <c r="E220" s="86" t="str">
        <f>[79]Source!H958</f>
        <v>100 м2</v>
      </c>
      <c r="F220" s="87">
        <f>[79]Source!I958</f>
        <v>0.48020000000000002</v>
      </c>
      <c r="G220" s="88"/>
      <c r="H220" s="89"/>
      <c r="I220" s="87"/>
      <c r="J220" s="176"/>
      <c r="K220" s="87"/>
      <c r="L220" s="176"/>
    </row>
    <row r="221" spans="1:22" ht="14.25" x14ac:dyDescent="0.2">
      <c r="A221" s="84"/>
      <c r="B221" s="84"/>
      <c r="C221" s="85"/>
      <c r="D221" s="85" t="s">
        <v>44</v>
      </c>
      <c r="E221" s="86"/>
      <c r="F221" s="87"/>
      <c r="G221" s="88">
        <f t="shared" ref="G221:L221" si="3">G222</f>
        <v>0.14000000000000001</v>
      </c>
      <c r="H221" s="195" t="str">
        <f t="shared" si="3"/>
        <v>)*(1.67-1)</v>
      </c>
      <c r="I221" s="87">
        <f t="shared" si="3"/>
        <v>1.0249999999999999</v>
      </c>
      <c r="J221" s="176">
        <f t="shared" si="3"/>
        <v>0.05</v>
      </c>
      <c r="K221" s="87">
        <f t="shared" si="3"/>
        <v>23.94</v>
      </c>
      <c r="L221" s="176">
        <f t="shared" si="3"/>
        <v>1.2</v>
      </c>
    </row>
    <row r="222" spans="1:22" ht="14.25" x14ac:dyDescent="0.2">
      <c r="A222" s="84"/>
      <c r="B222" s="84"/>
      <c r="C222" s="85"/>
      <c r="D222" s="85" t="s">
        <v>45</v>
      </c>
      <c r="E222" s="86"/>
      <c r="F222" s="87"/>
      <c r="G222" s="88">
        <f>[79]Source!AN958</f>
        <v>0.14000000000000001</v>
      </c>
      <c r="H222" s="195" t="s">
        <v>53</v>
      </c>
      <c r="I222" s="87">
        <f>[79]Source!AV959</f>
        <v>1.0249999999999999</v>
      </c>
      <c r="J222" s="90">
        <f>ROUND(F208*G222*I222*(1.67-1), 2)</f>
        <v>0.05</v>
      </c>
      <c r="K222" s="87">
        <f>IF([79]Source!BS959&lt;&gt; 0, [79]Source!BS959, 1)</f>
        <v>23.94</v>
      </c>
      <c r="L222" s="90">
        <f>ROUND(ROUND(F208*G222*I222*(1.67-1), 2)*K222, 2)</f>
        <v>1.2</v>
      </c>
    </row>
    <row r="223" spans="1:22" ht="14.25" x14ac:dyDescent="0.2">
      <c r="A223" s="84"/>
      <c r="B223" s="84"/>
      <c r="C223" s="85"/>
      <c r="D223" s="85" t="s">
        <v>50</v>
      </c>
      <c r="E223" s="86" t="s">
        <v>48</v>
      </c>
      <c r="F223" s="87">
        <f>175</f>
        <v>175</v>
      </c>
      <c r="G223" s="88"/>
      <c r="H223" s="89"/>
      <c r="I223" s="87"/>
      <c r="J223" s="176">
        <f>ROUND(J222*(F223/100), 2)</f>
        <v>0.09</v>
      </c>
      <c r="K223" s="87">
        <f>157</f>
        <v>157</v>
      </c>
      <c r="L223" s="176">
        <f>ROUND(L222*(K223/100), 2)</f>
        <v>1.88</v>
      </c>
    </row>
    <row r="224" spans="1:22" ht="15" x14ac:dyDescent="0.25">
      <c r="A224" s="190"/>
      <c r="B224" s="190"/>
      <c r="C224" s="190"/>
      <c r="D224" s="191" t="s">
        <v>81</v>
      </c>
      <c r="E224" s="190"/>
      <c r="F224" s="190"/>
      <c r="G224" s="190"/>
      <c r="H224" s="190"/>
      <c r="I224" s="409">
        <f>J223+J222</f>
        <v>0.14000000000000001</v>
      </c>
      <c r="J224" s="409"/>
      <c r="K224" s="409">
        <f>L223+L222</f>
        <v>3.08</v>
      </c>
      <c r="L224" s="409"/>
      <c r="O224" s="92">
        <f>I224</f>
        <v>0.14000000000000001</v>
      </c>
      <c r="P224" s="92">
        <f>K224</f>
        <v>3.08</v>
      </c>
    </row>
    <row r="227" spans="1:22" ht="15" x14ac:dyDescent="0.25">
      <c r="C227" s="454" t="str">
        <f>[79]Source!G968</f>
        <v>Улучшенная отделка стен</v>
      </c>
      <c r="D227" s="454"/>
      <c r="E227" s="454"/>
      <c r="F227" s="454"/>
      <c r="G227" s="454"/>
      <c r="H227" s="454"/>
      <c r="I227" s="454"/>
      <c r="J227" s="454"/>
      <c r="K227" s="454"/>
    </row>
    <row r="228" spans="1:22" ht="65.25" x14ac:dyDescent="0.2">
      <c r="A228" s="84">
        <v>18</v>
      </c>
      <c r="B228" s="84" t="str">
        <f>[79]Source!E977</f>
        <v>94</v>
      </c>
      <c r="C228" s="85" t="s">
        <v>146</v>
      </c>
      <c r="D228" s="85" t="s">
        <v>147</v>
      </c>
      <c r="E228" s="86" t="str">
        <f>[79]Source!H977</f>
        <v>100 м2</v>
      </c>
      <c r="F228" s="87">
        <f>[79]Source!I977</f>
        <v>1.5666</v>
      </c>
      <c r="G228" s="88"/>
      <c r="H228" s="89"/>
      <c r="I228" s="87"/>
      <c r="J228" s="176"/>
      <c r="K228" s="87"/>
      <c r="L228" s="176"/>
      <c r="Q228" s="47">
        <f>[79]Source!X977</f>
        <v>167.27</v>
      </c>
      <c r="R228" s="47">
        <f>[79]Source!X978</f>
        <v>2936.56</v>
      </c>
      <c r="S228" s="47">
        <f>[79]Source!Y977</f>
        <v>117.09</v>
      </c>
      <c r="T228" s="47">
        <f>[79]Source!Y978</f>
        <v>1401.54</v>
      </c>
      <c r="U228" s="47">
        <f>ROUND((175/100)*ROUND([79]Source!R977, 2), 2)</f>
        <v>0.67</v>
      </c>
      <c r="V228" s="47">
        <f>ROUND((157/100)*ROUND([79]Source!R978, 2), 2)</f>
        <v>14.29</v>
      </c>
    </row>
    <row r="229" spans="1:22" ht="12.75" x14ac:dyDescent="0.2">
      <c r="D229" s="203" t="str">
        <f>"Объем: "&amp;[79]Source!I977&amp;"=7,833*"&amp;"0,2"</f>
        <v>Объем: 1,5666=7,833*0,2</v>
      </c>
    </row>
    <row r="230" spans="1:22" ht="14.25" x14ac:dyDescent="0.2">
      <c r="A230" s="84"/>
      <c r="B230" s="84"/>
      <c r="C230" s="85"/>
      <c r="D230" s="85" t="s">
        <v>43</v>
      </c>
      <c r="E230" s="86"/>
      <c r="F230" s="87"/>
      <c r="G230" s="88">
        <f>[79]Source!AO977</f>
        <v>51.98</v>
      </c>
      <c r="H230" s="89" t="str">
        <f>[79]Source!DG977</f>
        <v>)*1,67</v>
      </c>
      <c r="I230" s="87">
        <f>[79]Source!AV978</f>
        <v>1.0249999999999999</v>
      </c>
      <c r="J230" s="176">
        <f>[79]Source!S977</f>
        <v>139.38999999999999</v>
      </c>
      <c r="K230" s="87">
        <f>IF([79]Source!BA978&lt;&gt; 0, [79]Source!BA978, 1)</f>
        <v>23.94</v>
      </c>
      <c r="L230" s="176">
        <f>[79]Source!S978</f>
        <v>3337</v>
      </c>
    </row>
    <row r="231" spans="1:22" ht="14.25" x14ac:dyDescent="0.2">
      <c r="A231" s="84"/>
      <c r="B231" s="84"/>
      <c r="C231" s="85"/>
      <c r="D231" s="85" t="s">
        <v>44</v>
      </c>
      <c r="E231" s="86"/>
      <c r="F231" s="87"/>
      <c r="G231" s="88">
        <f>[79]Source!AM977</f>
        <v>0.82</v>
      </c>
      <c r="H231" s="89" t="str">
        <f>[79]Source!DE977</f>
        <v/>
      </c>
      <c r="I231" s="87">
        <f>[79]Source!AV978</f>
        <v>1.0249999999999999</v>
      </c>
      <c r="J231" s="176">
        <f>[79]Source!Q977-J241</f>
        <v>1.32</v>
      </c>
      <c r="K231" s="87">
        <f>IF([79]Source!BB978&lt;&gt; 0, [79]Source!BB978, 1)</f>
        <v>8.7899999999999991</v>
      </c>
      <c r="L231" s="176">
        <f>[79]Source!Q978-L241</f>
        <v>11.6</v>
      </c>
    </row>
    <row r="232" spans="1:22" ht="14.25" x14ac:dyDescent="0.2">
      <c r="A232" s="84"/>
      <c r="B232" s="84"/>
      <c r="C232" s="85"/>
      <c r="D232" s="85" t="s">
        <v>45</v>
      </c>
      <c r="E232" s="86"/>
      <c r="F232" s="87"/>
      <c r="G232" s="88">
        <f>[79]Source!AN977</f>
        <v>0.14000000000000001</v>
      </c>
      <c r="H232" s="89" t="str">
        <f>[79]Source!DE977</f>
        <v/>
      </c>
      <c r="I232" s="87">
        <f>[79]Source!AV978</f>
        <v>1.0249999999999999</v>
      </c>
      <c r="J232" s="90">
        <f>[79]Source!R977-J242</f>
        <v>0.23</v>
      </c>
      <c r="K232" s="87">
        <f>IF([79]Source!BS978&lt;&gt; 0, [79]Source!BS978, 1)</f>
        <v>23.94</v>
      </c>
      <c r="L232" s="90">
        <f>[79]Source!R978-L242</f>
        <v>5.51</v>
      </c>
    </row>
    <row r="233" spans="1:22" ht="57" x14ac:dyDescent="0.2">
      <c r="A233" s="84">
        <v>19</v>
      </c>
      <c r="B233" s="84" t="str">
        <f>[79]Source!E979</f>
        <v>94,1</v>
      </c>
      <c r="C233" s="85" t="str">
        <f>[79]Source!F979</f>
        <v>1.1-1-3552</v>
      </c>
      <c r="D233" s="85" t="s">
        <v>148</v>
      </c>
      <c r="E233" s="86" t="str">
        <f>[79]Source!H979</f>
        <v>л</v>
      </c>
      <c r="F233" s="87">
        <f>[79]Source!I979</f>
        <v>16.13598</v>
      </c>
      <c r="G233" s="88">
        <f>[79]Source!AK979</f>
        <v>40.17</v>
      </c>
      <c r="H233" s="123" t="s">
        <v>20</v>
      </c>
      <c r="I233" s="87">
        <f>[79]Source!AW980</f>
        <v>1</v>
      </c>
      <c r="J233" s="176">
        <f>[79]Source!O979</f>
        <v>648.17999999999995</v>
      </c>
      <c r="K233" s="87">
        <f>IF([79]Source!BC980&lt;&gt; 0, [79]Source!BC980, 1)</f>
        <v>1.46</v>
      </c>
      <c r="L233" s="176">
        <f>[79]Source!O980</f>
        <v>946.34</v>
      </c>
      <c r="Q233" s="47">
        <f>[79]Source!X979</f>
        <v>0</v>
      </c>
      <c r="R233" s="47">
        <f>[79]Source!X980</f>
        <v>0</v>
      </c>
      <c r="S233" s="47">
        <f>[79]Source!Y979</f>
        <v>0</v>
      </c>
      <c r="T233" s="47">
        <f>[79]Source!Y980</f>
        <v>0</v>
      </c>
      <c r="U233" s="47">
        <f>ROUND((175/100)*ROUND([79]Source!R979, 2), 2)</f>
        <v>0</v>
      </c>
      <c r="V233" s="47">
        <f>ROUND((157/100)*ROUND([79]Source!R980, 2), 2)</f>
        <v>0</v>
      </c>
    </row>
    <row r="234" spans="1:22" ht="14.25" x14ac:dyDescent="0.2">
      <c r="A234" s="84"/>
      <c r="B234" s="84"/>
      <c r="C234" s="85"/>
      <c r="D234" s="85" t="s">
        <v>47</v>
      </c>
      <c r="E234" s="86" t="s">
        <v>48</v>
      </c>
      <c r="F234" s="87">
        <f>[79]Source!DN978</f>
        <v>120</v>
      </c>
      <c r="G234" s="88"/>
      <c r="H234" s="89"/>
      <c r="I234" s="87"/>
      <c r="J234" s="176">
        <f>SUM(Q228:Q233)</f>
        <v>167.27</v>
      </c>
      <c r="K234" s="87">
        <f>[79]Source!BZ978</f>
        <v>88</v>
      </c>
      <c r="L234" s="176">
        <f>SUM(R228:R233)</f>
        <v>2936.56</v>
      </c>
    </row>
    <row r="235" spans="1:22" ht="14.25" x14ac:dyDescent="0.2">
      <c r="A235" s="84"/>
      <c r="B235" s="84"/>
      <c r="C235" s="85"/>
      <c r="D235" s="85" t="s">
        <v>49</v>
      </c>
      <c r="E235" s="86" t="s">
        <v>48</v>
      </c>
      <c r="F235" s="87">
        <f>[79]Source!DO978</f>
        <v>84</v>
      </c>
      <c r="G235" s="88"/>
      <c r="H235" s="89"/>
      <c r="I235" s="87"/>
      <c r="J235" s="176">
        <f>SUM(S228:S234)</f>
        <v>117.09</v>
      </c>
      <c r="K235" s="87">
        <f>[79]Source!CA978</f>
        <v>42</v>
      </c>
      <c r="L235" s="176">
        <f>SUM(T228:T234)</f>
        <v>1401.54</v>
      </c>
    </row>
    <row r="236" spans="1:22" ht="14.25" x14ac:dyDescent="0.2">
      <c r="A236" s="84"/>
      <c r="B236" s="84"/>
      <c r="C236" s="85"/>
      <c r="D236" s="85" t="s">
        <v>50</v>
      </c>
      <c r="E236" s="86" t="s">
        <v>48</v>
      </c>
      <c r="F236" s="87">
        <f>175</f>
        <v>175</v>
      </c>
      <c r="G236" s="88"/>
      <c r="H236" s="89"/>
      <c r="I236" s="87"/>
      <c r="J236" s="176">
        <f>SUM(U228:U235)-J243</f>
        <v>0.41</v>
      </c>
      <c r="K236" s="87">
        <f>157</f>
        <v>157</v>
      </c>
      <c r="L236" s="176">
        <f>SUM(V228:V235)-L243</f>
        <v>8.65</v>
      </c>
    </row>
    <row r="237" spans="1:22" ht="14.25" x14ac:dyDescent="0.2">
      <c r="A237" s="183"/>
      <c r="B237" s="183"/>
      <c r="C237" s="184"/>
      <c r="D237" s="184" t="s">
        <v>51</v>
      </c>
      <c r="E237" s="185" t="s">
        <v>52</v>
      </c>
      <c r="F237" s="186">
        <f>[79]Source!AQ977</f>
        <v>4.6500000000000004</v>
      </c>
      <c r="G237" s="187"/>
      <c r="H237" s="188" t="str">
        <f>[79]Source!DI977</f>
        <v/>
      </c>
      <c r="I237" s="186">
        <f>[79]Source!AV978</f>
        <v>1.0249999999999999</v>
      </c>
      <c r="J237" s="189">
        <f>[79]Source!U977</f>
        <v>7.47</v>
      </c>
      <c r="K237" s="186"/>
      <c r="L237" s="189"/>
    </row>
    <row r="238" spans="1:22" ht="15" x14ac:dyDescent="0.25">
      <c r="D238" s="194" t="s">
        <v>81</v>
      </c>
      <c r="I238" s="408">
        <f>J230+J231+J234+J235+J236+SUM(J233:J233)</f>
        <v>1073.6600000000001</v>
      </c>
      <c r="J238" s="408"/>
      <c r="K238" s="408">
        <f>L230+L231+L234+L235+L236+SUM(L233:L233)</f>
        <v>8641.69</v>
      </c>
      <c r="L238" s="408"/>
      <c r="O238" s="92">
        <f>J230+J231+J234+J235+J236+SUM(J233:J233)</f>
        <v>1073.6600000000001</v>
      </c>
      <c r="P238" s="92">
        <f>L230+L231+L234+L235+L236+SUM(L233:L233)</f>
        <v>8641.69</v>
      </c>
    </row>
    <row r="240" spans="1:22" ht="65.25" x14ac:dyDescent="0.2">
      <c r="A240" s="84">
        <v>20</v>
      </c>
      <c r="B240" s="84" t="str">
        <f>CONCATENATE([79]Source!E977, "/1")</f>
        <v>94/1</v>
      </c>
      <c r="C240" s="85" t="s">
        <v>203</v>
      </c>
      <c r="D240" s="85" t="s">
        <v>82</v>
      </c>
      <c r="E240" s="86" t="str">
        <f>[79]Source!H977</f>
        <v>100 м2</v>
      </c>
      <c r="F240" s="87">
        <f>[79]Source!I977</f>
        <v>1.5666</v>
      </c>
      <c r="G240" s="88"/>
      <c r="H240" s="89"/>
      <c r="I240" s="87"/>
      <c r="J240" s="176"/>
      <c r="K240" s="87"/>
      <c r="L240" s="176"/>
    </row>
    <row r="241" spans="1:22" ht="14.25" x14ac:dyDescent="0.2">
      <c r="A241" s="84"/>
      <c r="B241" s="84"/>
      <c r="C241" s="85"/>
      <c r="D241" s="85" t="s">
        <v>44</v>
      </c>
      <c r="E241" s="86"/>
      <c r="F241" s="87"/>
      <c r="G241" s="88">
        <f t="shared" ref="G241:L241" si="4">G242</f>
        <v>0.14000000000000001</v>
      </c>
      <c r="H241" s="195" t="str">
        <f t="shared" si="4"/>
        <v>)*(1.67-1)</v>
      </c>
      <c r="I241" s="87">
        <f t="shared" si="4"/>
        <v>1.0249999999999999</v>
      </c>
      <c r="J241" s="176">
        <f t="shared" si="4"/>
        <v>0.15</v>
      </c>
      <c r="K241" s="87">
        <f t="shared" si="4"/>
        <v>23.94</v>
      </c>
      <c r="L241" s="176">
        <f t="shared" si="4"/>
        <v>3.59</v>
      </c>
    </row>
    <row r="242" spans="1:22" ht="14.25" x14ac:dyDescent="0.2">
      <c r="A242" s="84"/>
      <c r="B242" s="84"/>
      <c r="C242" s="85"/>
      <c r="D242" s="85" t="s">
        <v>45</v>
      </c>
      <c r="E242" s="86"/>
      <c r="F242" s="87"/>
      <c r="G242" s="88">
        <f>[79]Source!AN977</f>
        <v>0.14000000000000001</v>
      </c>
      <c r="H242" s="195" t="s">
        <v>53</v>
      </c>
      <c r="I242" s="87">
        <f>[79]Source!AV978</f>
        <v>1.0249999999999999</v>
      </c>
      <c r="J242" s="90">
        <f>ROUND(F228*G242*I242*(1.67-1), 2)</f>
        <v>0.15</v>
      </c>
      <c r="K242" s="87">
        <f>IF([79]Source!BS978&lt;&gt; 0, [79]Source!BS978, 1)</f>
        <v>23.94</v>
      </c>
      <c r="L242" s="90">
        <f>ROUND(ROUND(F228*G242*I242*(1.67-1), 2)*K242, 2)</f>
        <v>3.59</v>
      </c>
    </row>
    <row r="243" spans="1:22" ht="14.25" x14ac:dyDescent="0.2">
      <c r="A243" s="84"/>
      <c r="B243" s="84"/>
      <c r="C243" s="85"/>
      <c r="D243" s="85" t="s">
        <v>50</v>
      </c>
      <c r="E243" s="86" t="s">
        <v>48</v>
      </c>
      <c r="F243" s="87">
        <f>175</f>
        <v>175</v>
      </c>
      <c r="G243" s="88"/>
      <c r="H243" s="89"/>
      <c r="I243" s="87"/>
      <c r="J243" s="176">
        <f>ROUND(J242*(F243/100), 2)</f>
        <v>0.26</v>
      </c>
      <c r="K243" s="87">
        <f>157</f>
        <v>157</v>
      </c>
      <c r="L243" s="176">
        <f>ROUND(L242*(K243/100), 2)</f>
        <v>5.64</v>
      </c>
    </row>
    <row r="244" spans="1:22" ht="15" x14ac:dyDescent="0.25">
      <c r="A244" s="190"/>
      <c r="B244" s="190"/>
      <c r="C244" s="190"/>
      <c r="D244" s="191" t="s">
        <v>81</v>
      </c>
      <c r="E244" s="190"/>
      <c r="F244" s="190"/>
      <c r="G244" s="190"/>
      <c r="H244" s="190"/>
      <c r="I244" s="409">
        <f>J243+J242</f>
        <v>0.41</v>
      </c>
      <c r="J244" s="409"/>
      <c r="K244" s="409">
        <f>L243+L242</f>
        <v>9.23</v>
      </c>
      <c r="L244" s="409"/>
      <c r="O244" s="92">
        <f>I244</f>
        <v>0.41</v>
      </c>
      <c r="P244" s="92">
        <f>K244</f>
        <v>9.23</v>
      </c>
    </row>
    <row r="246" spans="1:22" ht="65.25" x14ac:dyDescent="0.2">
      <c r="A246" s="84">
        <v>21</v>
      </c>
      <c r="B246" s="84" t="str">
        <f>[79]Source!E987</f>
        <v>96</v>
      </c>
      <c r="C246" s="85" t="s">
        <v>146</v>
      </c>
      <c r="D246" s="85" t="s">
        <v>147</v>
      </c>
      <c r="E246" s="86" t="str">
        <f>[79]Source!H987</f>
        <v>100 м2</v>
      </c>
      <c r="F246" s="87">
        <f>[79]Source!I987</f>
        <v>0.38419999999999999</v>
      </c>
      <c r="G246" s="88"/>
      <c r="H246" s="89"/>
      <c r="I246" s="87"/>
      <c r="J246" s="176"/>
      <c r="K246" s="87"/>
      <c r="L246" s="176"/>
      <c r="Q246" s="47">
        <f>[79]Source!X987</f>
        <v>41.02</v>
      </c>
      <c r="R246" s="47">
        <f>[79]Source!X988</f>
        <v>720.08</v>
      </c>
      <c r="S246" s="47">
        <f>[79]Source!Y987</f>
        <v>28.71</v>
      </c>
      <c r="T246" s="47">
        <f>[79]Source!Y988</f>
        <v>343.67</v>
      </c>
      <c r="U246" s="47">
        <f>ROUND((175/100)*ROUND([79]Source!R987, 2), 2)</f>
        <v>0.16</v>
      </c>
      <c r="V246" s="47">
        <f>ROUND((157/100)*ROUND([79]Source!R988, 2), 2)</f>
        <v>3.38</v>
      </c>
    </row>
    <row r="247" spans="1:22" ht="12.75" x14ac:dyDescent="0.2">
      <c r="D247" s="203" t="str">
        <f>"Объем: "&amp;[79]Source!I987&amp;"=1,921*"&amp;"0,2"</f>
        <v>Объем: 0,3842=1,921*0,2</v>
      </c>
    </row>
    <row r="248" spans="1:22" ht="14.25" x14ac:dyDescent="0.2">
      <c r="A248" s="84"/>
      <c r="B248" s="84"/>
      <c r="C248" s="85"/>
      <c r="D248" s="85" t="s">
        <v>43</v>
      </c>
      <c r="E248" s="86"/>
      <c r="F248" s="87"/>
      <c r="G248" s="88">
        <f>[79]Source!AO987</f>
        <v>51.98</v>
      </c>
      <c r="H248" s="89" t="str">
        <f>[79]Source!DG987</f>
        <v>)*1,67</v>
      </c>
      <c r="I248" s="87">
        <f>[79]Source!AV988</f>
        <v>1.0249999999999999</v>
      </c>
      <c r="J248" s="176">
        <f>[79]Source!S987</f>
        <v>34.18</v>
      </c>
      <c r="K248" s="87">
        <f>IF([79]Source!BA988&lt;&gt; 0, [79]Source!BA988, 1)</f>
        <v>23.94</v>
      </c>
      <c r="L248" s="176">
        <f>[79]Source!S988</f>
        <v>818.27</v>
      </c>
    </row>
    <row r="249" spans="1:22" ht="14.25" x14ac:dyDescent="0.2">
      <c r="A249" s="84"/>
      <c r="B249" s="84"/>
      <c r="C249" s="85"/>
      <c r="D249" s="85" t="s">
        <v>44</v>
      </c>
      <c r="E249" s="86"/>
      <c r="F249" s="87"/>
      <c r="G249" s="88">
        <f>[79]Source!AM987</f>
        <v>0.82</v>
      </c>
      <c r="H249" s="89" t="str">
        <f>[79]Source!DE987</f>
        <v/>
      </c>
      <c r="I249" s="87">
        <f>[79]Source!AV988</f>
        <v>1.0249999999999999</v>
      </c>
      <c r="J249" s="176">
        <f>[79]Source!Q987-J259</f>
        <v>0.32</v>
      </c>
      <c r="K249" s="87">
        <f>IF([79]Source!BB988&lt;&gt; 0, [79]Source!BB988, 1)</f>
        <v>8.7899999999999991</v>
      </c>
      <c r="L249" s="176">
        <f>[79]Source!Q988-L259</f>
        <v>2.81</v>
      </c>
    </row>
    <row r="250" spans="1:22" ht="14.25" x14ac:dyDescent="0.2">
      <c r="A250" s="84"/>
      <c r="B250" s="84"/>
      <c r="C250" s="85"/>
      <c r="D250" s="85" t="s">
        <v>45</v>
      </c>
      <c r="E250" s="86"/>
      <c r="F250" s="87"/>
      <c r="G250" s="88">
        <f>[79]Source!AN987</f>
        <v>0.14000000000000001</v>
      </c>
      <c r="H250" s="89" t="str">
        <f>[79]Source!DE987</f>
        <v/>
      </c>
      <c r="I250" s="87">
        <f>[79]Source!AV988</f>
        <v>1.0249999999999999</v>
      </c>
      <c r="J250" s="90">
        <f>[79]Source!R987-J260</f>
        <v>0.05</v>
      </c>
      <c r="K250" s="87">
        <f>IF([79]Source!BS988&lt;&gt; 0, [79]Source!BS988, 1)</f>
        <v>23.94</v>
      </c>
      <c r="L250" s="90">
        <f>[79]Source!R988-L260</f>
        <v>1.19</v>
      </c>
    </row>
    <row r="251" spans="1:22" ht="57" x14ac:dyDescent="0.2">
      <c r="A251" s="84">
        <v>22</v>
      </c>
      <c r="B251" s="84" t="str">
        <f>[79]Source!E989</f>
        <v>96,1</v>
      </c>
      <c r="C251" s="85" t="str">
        <f>[79]Source!F989</f>
        <v>1.1-1-3552</v>
      </c>
      <c r="D251" s="85" t="s">
        <v>148</v>
      </c>
      <c r="E251" s="86" t="str">
        <f>[79]Source!H989</f>
        <v>л</v>
      </c>
      <c r="F251" s="87">
        <f>[79]Source!I989</f>
        <v>3.9572600000000002</v>
      </c>
      <c r="G251" s="88">
        <f>[79]Source!AK989</f>
        <v>40.17</v>
      </c>
      <c r="H251" s="123" t="s">
        <v>20</v>
      </c>
      <c r="I251" s="87">
        <f>[79]Source!AW990</f>
        <v>1</v>
      </c>
      <c r="J251" s="176">
        <f>[79]Source!O989</f>
        <v>158.96</v>
      </c>
      <c r="K251" s="87">
        <f>IF([79]Source!BC990&lt;&gt; 0, [79]Source!BC990, 1)</f>
        <v>1.46</v>
      </c>
      <c r="L251" s="176">
        <f>[79]Source!O990</f>
        <v>232.08</v>
      </c>
      <c r="Q251" s="47">
        <f>[79]Source!X989</f>
        <v>0</v>
      </c>
      <c r="R251" s="47">
        <f>[79]Source!X990</f>
        <v>0</v>
      </c>
      <c r="S251" s="47">
        <f>[79]Source!Y989</f>
        <v>0</v>
      </c>
      <c r="T251" s="47">
        <f>[79]Source!Y990</f>
        <v>0</v>
      </c>
      <c r="U251" s="47">
        <f>ROUND((175/100)*ROUND([79]Source!R989, 2), 2)</f>
        <v>0</v>
      </c>
      <c r="V251" s="47">
        <f>ROUND((157/100)*ROUND([79]Source!R990, 2), 2)</f>
        <v>0</v>
      </c>
    </row>
    <row r="252" spans="1:22" ht="14.25" x14ac:dyDescent="0.2">
      <c r="A252" s="84"/>
      <c r="B252" s="84"/>
      <c r="C252" s="85"/>
      <c r="D252" s="85" t="s">
        <v>47</v>
      </c>
      <c r="E252" s="86" t="s">
        <v>48</v>
      </c>
      <c r="F252" s="87">
        <f>[79]Source!DN988</f>
        <v>120</v>
      </c>
      <c r="G252" s="88"/>
      <c r="H252" s="89"/>
      <c r="I252" s="87"/>
      <c r="J252" s="176">
        <f>SUM(Q246:Q251)</f>
        <v>41.02</v>
      </c>
      <c r="K252" s="87">
        <f>[79]Source!BZ988</f>
        <v>88</v>
      </c>
      <c r="L252" s="176">
        <f>SUM(R246:R251)</f>
        <v>720.08</v>
      </c>
    </row>
    <row r="253" spans="1:22" ht="14.25" x14ac:dyDescent="0.2">
      <c r="A253" s="84"/>
      <c r="B253" s="84"/>
      <c r="C253" s="85"/>
      <c r="D253" s="85" t="s">
        <v>49</v>
      </c>
      <c r="E253" s="86" t="s">
        <v>48</v>
      </c>
      <c r="F253" s="87">
        <f>[79]Source!DO988</f>
        <v>84</v>
      </c>
      <c r="G253" s="88"/>
      <c r="H253" s="89"/>
      <c r="I253" s="87"/>
      <c r="J253" s="176">
        <f>SUM(S246:S252)</f>
        <v>28.71</v>
      </c>
      <c r="K253" s="87">
        <f>[79]Source!CA988</f>
        <v>42</v>
      </c>
      <c r="L253" s="176">
        <f>SUM(T246:T252)</f>
        <v>343.67</v>
      </c>
    </row>
    <row r="254" spans="1:22" ht="14.25" x14ac:dyDescent="0.2">
      <c r="A254" s="84"/>
      <c r="B254" s="84"/>
      <c r="C254" s="85"/>
      <c r="D254" s="85" t="s">
        <v>50</v>
      </c>
      <c r="E254" s="86" t="s">
        <v>48</v>
      </c>
      <c r="F254" s="87">
        <f>175</f>
        <v>175</v>
      </c>
      <c r="G254" s="88"/>
      <c r="H254" s="89"/>
      <c r="I254" s="87"/>
      <c r="J254" s="176">
        <f>SUM(U246:U253)-J261</f>
        <v>0.09</v>
      </c>
      <c r="K254" s="87">
        <f>157</f>
        <v>157</v>
      </c>
      <c r="L254" s="176">
        <f>SUM(V246:V253)-L261</f>
        <v>1.87</v>
      </c>
    </row>
    <row r="255" spans="1:22" ht="14.25" x14ac:dyDescent="0.2">
      <c r="A255" s="183"/>
      <c r="B255" s="183"/>
      <c r="C255" s="184"/>
      <c r="D255" s="184" t="s">
        <v>51</v>
      </c>
      <c r="E255" s="185" t="s">
        <v>52</v>
      </c>
      <c r="F255" s="186">
        <f>[79]Source!AQ987</f>
        <v>4.6500000000000004</v>
      </c>
      <c r="G255" s="187"/>
      <c r="H255" s="188" t="str">
        <f>[79]Source!DI987</f>
        <v/>
      </c>
      <c r="I255" s="186">
        <f>[79]Source!AV988</f>
        <v>1.0249999999999999</v>
      </c>
      <c r="J255" s="189">
        <f>[79]Source!U987</f>
        <v>1.83</v>
      </c>
      <c r="K255" s="186"/>
      <c r="L255" s="189"/>
    </row>
    <row r="256" spans="1:22" ht="15" x14ac:dyDescent="0.25">
      <c r="D256" s="194" t="s">
        <v>81</v>
      </c>
      <c r="I256" s="408">
        <f>J248+J249+J252+J253+J254+SUM(J251:J251)</f>
        <v>263.27999999999997</v>
      </c>
      <c r="J256" s="408"/>
      <c r="K256" s="408">
        <f>L248+L249+L252+L253+L254+SUM(L251:L251)</f>
        <v>2118.7800000000002</v>
      </c>
      <c r="L256" s="408"/>
      <c r="O256" s="92">
        <f>J248+J249+J252+J253+J254+SUM(J251:J251)</f>
        <v>263.27999999999997</v>
      </c>
      <c r="P256" s="92">
        <f>L248+L249+L252+L253+L254+SUM(L251:L251)</f>
        <v>2118.7800000000002</v>
      </c>
    </row>
    <row r="258" spans="1:22" ht="65.25" x14ac:dyDescent="0.2">
      <c r="A258" s="84">
        <v>23</v>
      </c>
      <c r="B258" s="84" t="str">
        <f>CONCATENATE([79]Source!E987, "/1")</f>
        <v>96/1</v>
      </c>
      <c r="C258" s="85" t="s">
        <v>203</v>
      </c>
      <c r="D258" s="85" t="s">
        <v>82</v>
      </c>
      <c r="E258" s="86" t="str">
        <f>[79]Source!H987</f>
        <v>100 м2</v>
      </c>
      <c r="F258" s="87">
        <f>[79]Source!I987</f>
        <v>0.38419999999999999</v>
      </c>
      <c r="G258" s="88"/>
      <c r="H258" s="89"/>
      <c r="I258" s="87"/>
      <c r="J258" s="176"/>
      <c r="K258" s="87"/>
      <c r="L258" s="176"/>
    </row>
    <row r="259" spans="1:22" ht="14.25" x14ac:dyDescent="0.2">
      <c r="A259" s="84"/>
      <c r="B259" s="84"/>
      <c r="C259" s="85"/>
      <c r="D259" s="85" t="s">
        <v>44</v>
      </c>
      <c r="E259" s="86"/>
      <c r="F259" s="87"/>
      <c r="G259" s="88">
        <f t="shared" ref="G259:L259" si="5">G260</f>
        <v>0.14000000000000001</v>
      </c>
      <c r="H259" s="195" t="str">
        <f t="shared" si="5"/>
        <v>)*(1.67-1)</v>
      </c>
      <c r="I259" s="87">
        <f t="shared" si="5"/>
        <v>1.0249999999999999</v>
      </c>
      <c r="J259" s="176">
        <f t="shared" si="5"/>
        <v>0.04</v>
      </c>
      <c r="K259" s="87">
        <f t="shared" si="5"/>
        <v>23.94</v>
      </c>
      <c r="L259" s="176">
        <f t="shared" si="5"/>
        <v>0.96</v>
      </c>
    </row>
    <row r="260" spans="1:22" ht="14.25" x14ac:dyDescent="0.2">
      <c r="A260" s="84"/>
      <c r="B260" s="84"/>
      <c r="C260" s="85"/>
      <c r="D260" s="85" t="s">
        <v>45</v>
      </c>
      <c r="E260" s="86"/>
      <c r="F260" s="87"/>
      <c r="G260" s="88">
        <f>[79]Source!AN987</f>
        <v>0.14000000000000001</v>
      </c>
      <c r="H260" s="195" t="s">
        <v>53</v>
      </c>
      <c r="I260" s="87">
        <f>[79]Source!AV988</f>
        <v>1.0249999999999999</v>
      </c>
      <c r="J260" s="90">
        <f>ROUND(F246*G260*I260*(1.67-1), 2)</f>
        <v>0.04</v>
      </c>
      <c r="K260" s="87">
        <f>IF([79]Source!BS988&lt;&gt; 0, [79]Source!BS988, 1)</f>
        <v>23.94</v>
      </c>
      <c r="L260" s="90">
        <f>ROUND(ROUND(F246*G260*I260*(1.67-1), 2)*K260, 2)</f>
        <v>0.96</v>
      </c>
    </row>
    <row r="261" spans="1:22" ht="14.25" x14ac:dyDescent="0.2">
      <c r="A261" s="84"/>
      <c r="B261" s="84"/>
      <c r="C261" s="85"/>
      <c r="D261" s="85" t="s">
        <v>50</v>
      </c>
      <c r="E261" s="86" t="s">
        <v>48</v>
      </c>
      <c r="F261" s="87">
        <f>175</f>
        <v>175</v>
      </c>
      <c r="G261" s="88"/>
      <c r="H261" s="89"/>
      <c r="I261" s="87"/>
      <c r="J261" s="176">
        <f>ROUND(J260*(F261/100), 2)</f>
        <v>7.0000000000000007E-2</v>
      </c>
      <c r="K261" s="87">
        <f>157</f>
        <v>157</v>
      </c>
      <c r="L261" s="176">
        <f>ROUND(L260*(K261/100), 2)</f>
        <v>1.51</v>
      </c>
    </row>
    <row r="262" spans="1:22" ht="15" x14ac:dyDescent="0.25">
      <c r="A262" s="190"/>
      <c r="B262" s="190"/>
      <c r="C262" s="190"/>
      <c r="D262" s="191" t="s">
        <v>81</v>
      </c>
      <c r="E262" s="190"/>
      <c r="F262" s="190"/>
      <c r="G262" s="190"/>
      <c r="H262" s="190"/>
      <c r="I262" s="409">
        <f>J261+J260</f>
        <v>0.11</v>
      </c>
      <c r="J262" s="409"/>
      <c r="K262" s="409">
        <f>L261+L260</f>
        <v>2.4700000000000002</v>
      </c>
      <c r="L262" s="409"/>
      <c r="O262" s="92">
        <f>I262</f>
        <v>0.11</v>
      </c>
      <c r="P262" s="92">
        <f>K262</f>
        <v>2.4700000000000002</v>
      </c>
    </row>
    <row r="265" spans="1:22" ht="15" x14ac:dyDescent="0.25">
      <c r="C265" s="454" t="str">
        <f>[79]Source!G997</f>
        <v>Облицовка стен керамической плиткой</v>
      </c>
      <c r="D265" s="454"/>
      <c r="E265" s="454"/>
      <c r="F265" s="454"/>
      <c r="G265" s="454"/>
      <c r="H265" s="454"/>
      <c r="I265" s="454"/>
      <c r="J265" s="454"/>
      <c r="K265" s="454"/>
    </row>
    <row r="266" spans="1:22" ht="65.25" x14ac:dyDescent="0.2">
      <c r="A266" s="84">
        <v>24</v>
      </c>
      <c r="B266" s="84" t="str">
        <f>[79]Source!E1016</f>
        <v>100</v>
      </c>
      <c r="C266" s="85" t="s">
        <v>146</v>
      </c>
      <c r="D266" s="85" t="s">
        <v>247</v>
      </c>
      <c r="E266" s="86" t="str">
        <f>[79]Source!H1016</f>
        <v>100 м2</v>
      </c>
      <c r="F266" s="87">
        <f>[79]Source!I1016</f>
        <v>5.4600000000000003E-2</v>
      </c>
      <c r="G266" s="88"/>
      <c r="H266" s="89"/>
      <c r="I266" s="87"/>
      <c r="J266" s="176"/>
      <c r="K266" s="87"/>
      <c r="L266" s="176"/>
      <c r="Q266" s="47">
        <f>[79]Source!X1016</f>
        <v>5.83</v>
      </c>
      <c r="R266" s="47">
        <f>[79]Source!X1017</f>
        <v>102.39</v>
      </c>
      <c r="S266" s="47">
        <f>[79]Source!Y1016</f>
        <v>4.08</v>
      </c>
      <c r="T266" s="47">
        <f>[79]Source!Y1017</f>
        <v>48.87</v>
      </c>
      <c r="U266" s="47">
        <f>ROUND((175/100)*ROUND([79]Source!R1016, 2), 2)</f>
        <v>0.02</v>
      </c>
      <c r="V266" s="47">
        <f>ROUND((157/100)*ROUND([79]Source!R1017, 2), 2)</f>
        <v>0.38</v>
      </c>
    </row>
    <row r="267" spans="1:22" ht="12.75" x14ac:dyDescent="0.2">
      <c r="D267" s="203" t="str">
        <f>"Объем: "&amp;[79]Source!I1016&amp;"=0,273*"&amp;"0,2"</f>
        <v>Объем: 0,0546=0,273*0,2</v>
      </c>
    </row>
    <row r="268" spans="1:22" ht="14.25" x14ac:dyDescent="0.2">
      <c r="A268" s="84"/>
      <c r="B268" s="84"/>
      <c r="C268" s="85"/>
      <c r="D268" s="85" t="s">
        <v>43</v>
      </c>
      <c r="E268" s="86"/>
      <c r="F268" s="87"/>
      <c r="G268" s="88">
        <f>[79]Source!AO1016</f>
        <v>51.98</v>
      </c>
      <c r="H268" s="89" t="str">
        <f>[79]Source!DG1016</f>
        <v>)*1,67</v>
      </c>
      <c r="I268" s="87">
        <f>[79]Source!AV1017</f>
        <v>1.0249999999999999</v>
      </c>
      <c r="J268" s="176">
        <f>[79]Source!S1016</f>
        <v>4.8600000000000003</v>
      </c>
      <c r="K268" s="87">
        <f>IF([79]Source!BA1017&lt;&gt; 0, [79]Source!BA1017, 1)</f>
        <v>23.94</v>
      </c>
      <c r="L268" s="176">
        <f>[79]Source!S1017</f>
        <v>116.35</v>
      </c>
    </row>
    <row r="269" spans="1:22" ht="14.25" x14ac:dyDescent="0.2">
      <c r="A269" s="84"/>
      <c r="B269" s="84"/>
      <c r="C269" s="85"/>
      <c r="D269" s="85" t="s">
        <v>44</v>
      </c>
      <c r="E269" s="86"/>
      <c r="F269" s="87"/>
      <c r="G269" s="88">
        <f>[79]Source!AM1016</f>
        <v>0.82</v>
      </c>
      <c r="H269" s="89" t="str">
        <f>[79]Source!DE1016</f>
        <v/>
      </c>
      <c r="I269" s="87">
        <f>[79]Source!AV1017</f>
        <v>1.0249999999999999</v>
      </c>
      <c r="J269" s="176">
        <f>[79]Source!Q1016-J279</f>
        <v>0.05</v>
      </c>
      <c r="K269" s="87">
        <f>IF([79]Source!BB1017&lt;&gt; 0, [79]Source!BB1017, 1)</f>
        <v>8.7899999999999991</v>
      </c>
      <c r="L269" s="176">
        <f>[79]Source!Q1017-L279</f>
        <v>0.44</v>
      </c>
    </row>
    <row r="270" spans="1:22" ht="14.25" x14ac:dyDescent="0.2">
      <c r="A270" s="84"/>
      <c r="B270" s="84"/>
      <c r="C270" s="85"/>
      <c r="D270" s="85" t="s">
        <v>45</v>
      </c>
      <c r="E270" s="86"/>
      <c r="F270" s="87"/>
      <c r="G270" s="88">
        <f>[79]Source!AN1016</f>
        <v>0.14000000000000001</v>
      </c>
      <c r="H270" s="89" t="str">
        <f>[79]Source!DE1016</f>
        <v/>
      </c>
      <c r="I270" s="87">
        <f>[79]Source!AV1017</f>
        <v>1.0249999999999999</v>
      </c>
      <c r="J270" s="90">
        <f>[79]Source!R1016-J280</f>
        <v>0</v>
      </c>
      <c r="K270" s="87">
        <f>IF([79]Source!BS1017&lt;&gt; 0, [79]Source!BS1017, 1)</f>
        <v>23.94</v>
      </c>
      <c r="L270" s="90">
        <f>[79]Source!R1017-L280</f>
        <v>0</v>
      </c>
    </row>
    <row r="271" spans="1:22" ht="57" x14ac:dyDescent="0.2">
      <c r="A271" s="84">
        <v>25</v>
      </c>
      <c r="B271" s="84" t="str">
        <f>[79]Source!E1018</f>
        <v>100,1</v>
      </c>
      <c r="C271" s="85" t="str">
        <f>[79]Source!F1018</f>
        <v>1.1-1-3715</v>
      </c>
      <c r="D271" s="85" t="s">
        <v>248</v>
      </c>
      <c r="E271" s="86" t="str">
        <f>[79]Source!H1018</f>
        <v>кг</v>
      </c>
      <c r="F271" s="87">
        <f>[79]Source!I1018</f>
        <v>0.56237999999999999</v>
      </c>
      <c r="G271" s="88">
        <f>[79]Source!AK1018</f>
        <v>36.21</v>
      </c>
      <c r="H271" s="123" t="s">
        <v>20</v>
      </c>
      <c r="I271" s="87">
        <f>[79]Source!AW1019</f>
        <v>1</v>
      </c>
      <c r="J271" s="176">
        <f>[79]Source!O1018</f>
        <v>20.36</v>
      </c>
      <c r="K271" s="87">
        <f>IF([79]Source!BC1019&lt;&gt; 0, [79]Source!BC1019, 1)</f>
        <v>5.07</v>
      </c>
      <c r="L271" s="176">
        <f>[79]Source!O1019</f>
        <v>103.23</v>
      </c>
      <c r="Q271" s="47">
        <f>[79]Source!X1018</f>
        <v>0</v>
      </c>
      <c r="R271" s="47">
        <f>[79]Source!X1019</f>
        <v>0</v>
      </c>
      <c r="S271" s="47">
        <f>[79]Source!Y1018</f>
        <v>0</v>
      </c>
      <c r="T271" s="47">
        <f>[79]Source!Y1019</f>
        <v>0</v>
      </c>
      <c r="U271" s="47">
        <f>ROUND((175/100)*ROUND([79]Source!R1018, 2), 2)</f>
        <v>0</v>
      </c>
      <c r="V271" s="47">
        <f>ROUND((157/100)*ROUND([79]Source!R1019, 2), 2)</f>
        <v>0</v>
      </c>
    </row>
    <row r="272" spans="1:22" ht="14.25" x14ac:dyDescent="0.2">
      <c r="A272" s="84"/>
      <c r="B272" s="84"/>
      <c r="C272" s="85"/>
      <c r="D272" s="85" t="s">
        <v>47</v>
      </c>
      <c r="E272" s="86" t="s">
        <v>48</v>
      </c>
      <c r="F272" s="87">
        <f>[79]Source!DN1017</f>
        <v>120</v>
      </c>
      <c r="G272" s="88"/>
      <c r="H272" s="89"/>
      <c r="I272" s="87"/>
      <c r="J272" s="176">
        <f>SUM(Q266:Q271)</f>
        <v>5.83</v>
      </c>
      <c r="K272" s="87">
        <f>[79]Source!BZ1017</f>
        <v>88</v>
      </c>
      <c r="L272" s="176">
        <f>SUM(R266:R271)</f>
        <v>102.39</v>
      </c>
    </row>
    <row r="273" spans="1:16" ht="14.25" x14ac:dyDescent="0.2">
      <c r="A273" s="84"/>
      <c r="B273" s="84"/>
      <c r="C273" s="85"/>
      <c r="D273" s="85" t="s">
        <v>49</v>
      </c>
      <c r="E273" s="86" t="s">
        <v>48</v>
      </c>
      <c r="F273" s="87">
        <f>[79]Source!DO1017</f>
        <v>84</v>
      </c>
      <c r="G273" s="88"/>
      <c r="H273" s="89"/>
      <c r="I273" s="87"/>
      <c r="J273" s="176">
        <f>SUM(S266:S272)</f>
        <v>4.08</v>
      </c>
      <c r="K273" s="87">
        <f>[79]Source!CA1017</f>
        <v>42</v>
      </c>
      <c r="L273" s="176">
        <f>SUM(T266:T272)</f>
        <v>48.87</v>
      </c>
    </row>
    <row r="274" spans="1:16" ht="14.25" x14ac:dyDescent="0.2">
      <c r="A274" s="84"/>
      <c r="B274" s="84"/>
      <c r="C274" s="85"/>
      <c r="D274" s="85" t="s">
        <v>50</v>
      </c>
      <c r="E274" s="86" t="s">
        <v>48</v>
      </c>
      <c r="F274" s="87">
        <f>175</f>
        <v>175</v>
      </c>
      <c r="G274" s="88"/>
      <c r="H274" s="89"/>
      <c r="I274" s="87"/>
      <c r="J274" s="176">
        <f>SUM(U266:U273)-J281</f>
        <v>0</v>
      </c>
      <c r="K274" s="87">
        <f>157</f>
        <v>157</v>
      </c>
      <c r="L274" s="176">
        <f>SUM(V266:V273)-L281</f>
        <v>0</v>
      </c>
    </row>
    <row r="275" spans="1:16" ht="14.25" x14ac:dyDescent="0.2">
      <c r="A275" s="183"/>
      <c r="B275" s="183"/>
      <c r="C275" s="184"/>
      <c r="D275" s="184" t="s">
        <v>51</v>
      </c>
      <c r="E275" s="185" t="s">
        <v>52</v>
      </c>
      <c r="F275" s="186">
        <f>[79]Source!AQ1016</f>
        <v>4.6500000000000004</v>
      </c>
      <c r="G275" s="187"/>
      <c r="H275" s="188" t="str">
        <f>[79]Source!DI1016</f>
        <v/>
      </c>
      <c r="I275" s="186">
        <f>[79]Source!AV1017</f>
        <v>1.0249999999999999</v>
      </c>
      <c r="J275" s="189">
        <f>[79]Source!U1016</f>
        <v>0.26</v>
      </c>
      <c r="K275" s="186"/>
      <c r="L275" s="189"/>
    </row>
    <row r="276" spans="1:16" ht="15" x14ac:dyDescent="0.25">
      <c r="D276" s="194" t="s">
        <v>81</v>
      </c>
      <c r="I276" s="408">
        <f>J268+J269+J272+J273+J274+SUM(J271:J271)</f>
        <v>35.18</v>
      </c>
      <c r="J276" s="408"/>
      <c r="K276" s="408">
        <f>L268+L269+L272+L273+L274+SUM(L271:L271)</f>
        <v>371.28</v>
      </c>
      <c r="L276" s="408"/>
      <c r="O276" s="92">
        <f>J268+J269+J272+J273+J274+SUM(J271:J271)</f>
        <v>35.18</v>
      </c>
      <c r="P276" s="92">
        <f>L268+L269+L272+L273+L274+SUM(L271:L271)</f>
        <v>371.28</v>
      </c>
    </row>
    <row r="278" spans="1:16" ht="65.25" x14ac:dyDescent="0.2">
      <c r="A278" s="84">
        <v>26</v>
      </c>
      <c r="B278" s="84" t="str">
        <f>CONCATENATE([79]Source!E1016, "/1")</f>
        <v>100/1</v>
      </c>
      <c r="C278" s="85" t="s">
        <v>203</v>
      </c>
      <c r="D278" s="85" t="s">
        <v>82</v>
      </c>
      <c r="E278" s="86" t="str">
        <f>[79]Source!H1016</f>
        <v>100 м2</v>
      </c>
      <c r="F278" s="87">
        <f>[79]Source!I1016</f>
        <v>5.4600000000000003E-2</v>
      </c>
      <c r="G278" s="88"/>
      <c r="H278" s="89"/>
      <c r="I278" s="87"/>
      <c r="J278" s="176"/>
      <c r="K278" s="87"/>
      <c r="L278" s="176"/>
    </row>
    <row r="279" spans="1:16" ht="14.25" x14ac:dyDescent="0.2">
      <c r="A279" s="84"/>
      <c r="B279" s="84"/>
      <c r="C279" s="85"/>
      <c r="D279" s="85" t="s">
        <v>44</v>
      </c>
      <c r="E279" s="86"/>
      <c r="F279" s="87"/>
      <c r="G279" s="88">
        <f t="shared" ref="G279:L279" si="6">G280</f>
        <v>0.14000000000000001</v>
      </c>
      <c r="H279" s="195" t="str">
        <f t="shared" si="6"/>
        <v>)*(1.67-1)</v>
      </c>
      <c r="I279" s="87">
        <f t="shared" si="6"/>
        <v>1.0249999999999999</v>
      </c>
      <c r="J279" s="176">
        <f t="shared" si="6"/>
        <v>0.01</v>
      </c>
      <c r="K279" s="87">
        <f t="shared" si="6"/>
        <v>23.94</v>
      </c>
      <c r="L279" s="176">
        <f t="shared" si="6"/>
        <v>0.24</v>
      </c>
    </row>
    <row r="280" spans="1:16" ht="14.25" x14ac:dyDescent="0.2">
      <c r="A280" s="84"/>
      <c r="B280" s="84"/>
      <c r="C280" s="85"/>
      <c r="D280" s="85" t="s">
        <v>45</v>
      </c>
      <c r="E280" s="86"/>
      <c r="F280" s="87"/>
      <c r="G280" s="88">
        <f>[79]Source!AN1016</f>
        <v>0.14000000000000001</v>
      </c>
      <c r="H280" s="195" t="s">
        <v>53</v>
      </c>
      <c r="I280" s="87">
        <f>[79]Source!AV1017</f>
        <v>1.0249999999999999</v>
      </c>
      <c r="J280" s="90">
        <f>ROUND(F266*G280*I280*(1.67-1), 2)</f>
        <v>0.01</v>
      </c>
      <c r="K280" s="87">
        <f>IF([79]Source!BS1017&lt;&gt; 0, [79]Source!BS1017, 1)</f>
        <v>23.94</v>
      </c>
      <c r="L280" s="90">
        <f>ROUND(ROUND(F266*G280*I280*(1.67-1), 2)*K280, 2)</f>
        <v>0.24</v>
      </c>
    </row>
    <row r="281" spans="1:16" ht="14.25" x14ac:dyDescent="0.2">
      <c r="A281" s="84"/>
      <c r="B281" s="84"/>
      <c r="C281" s="85"/>
      <c r="D281" s="85" t="s">
        <v>50</v>
      </c>
      <c r="E281" s="86" t="s">
        <v>48</v>
      </c>
      <c r="F281" s="87">
        <f>175</f>
        <v>175</v>
      </c>
      <c r="G281" s="88"/>
      <c r="H281" s="89"/>
      <c r="I281" s="87"/>
      <c r="J281" s="176">
        <f>ROUND(J280*(F281/100), 2)</f>
        <v>0.02</v>
      </c>
      <c r="K281" s="87">
        <f>157</f>
        <v>157</v>
      </c>
      <c r="L281" s="176">
        <f>ROUND(L280*(K281/100), 2)</f>
        <v>0.38</v>
      </c>
    </row>
    <row r="282" spans="1:16" ht="15" x14ac:dyDescent="0.25">
      <c r="A282" s="190"/>
      <c r="B282" s="190"/>
      <c r="C282" s="190"/>
      <c r="D282" s="191" t="s">
        <v>81</v>
      </c>
      <c r="E282" s="190"/>
      <c r="F282" s="190"/>
      <c r="G282" s="190"/>
      <c r="H282" s="190"/>
      <c r="I282" s="409">
        <f>J281+J280</f>
        <v>0.03</v>
      </c>
      <c r="J282" s="409"/>
      <c r="K282" s="409">
        <f>L281+L280</f>
        <v>0.62</v>
      </c>
      <c r="L282" s="409"/>
      <c r="O282" s="92">
        <f>I282</f>
        <v>0.03</v>
      </c>
      <c r="P282" s="92">
        <f>K282</f>
        <v>0.62</v>
      </c>
    </row>
    <row r="285" spans="1:16" ht="15" x14ac:dyDescent="0.25">
      <c r="A285" s="403" t="str">
        <f>CONCATENATE("Итого по разделу: ",IF([79]Source!G1043&lt;&gt;"Новый раздел", [79]Source!G1043, ""))</f>
        <v>Итого по разделу: 3.СТЕНЫ</v>
      </c>
      <c r="B285" s="403"/>
      <c r="C285" s="403"/>
      <c r="D285" s="403"/>
      <c r="E285" s="403"/>
      <c r="F285" s="403"/>
      <c r="G285" s="403"/>
      <c r="H285" s="403"/>
      <c r="I285" s="404">
        <f>SUM(O127:O284)</f>
        <v>17534.759999999998</v>
      </c>
      <c r="J285" s="405"/>
      <c r="K285" s="404">
        <f>SUM(P127:P284)</f>
        <v>326236.61</v>
      </c>
      <c r="L285" s="405"/>
    </row>
    <row r="286" spans="1:16" hidden="1" x14ac:dyDescent="0.2">
      <c r="A286" s="47" t="s">
        <v>54</v>
      </c>
      <c r="J286" s="47">
        <f>SUM(W127:W285)</f>
        <v>0</v>
      </c>
      <c r="K286" s="47">
        <f>SUM(X127:X285)</f>
        <v>0</v>
      </c>
    </row>
    <row r="287" spans="1:16" hidden="1" x14ac:dyDescent="0.2">
      <c r="A287" s="47" t="s">
        <v>55</v>
      </c>
      <c r="J287" s="47">
        <f>SUM(Y127:Y286)</f>
        <v>0</v>
      </c>
      <c r="K287" s="47">
        <f>SUM(Z127:Z286)</f>
        <v>0</v>
      </c>
    </row>
    <row r="289" spans="1:22" ht="16.5" hidden="1" x14ac:dyDescent="0.25">
      <c r="A289" s="402" t="str">
        <f>CONCATENATE("Раздел: ",IF([79]Source!G1073&lt;&gt;"Новый раздел", [79]Source!G1073, ""))</f>
        <v>Раздел: 4.ДВЕРИ</v>
      </c>
      <c r="B289" s="402"/>
      <c r="C289" s="402"/>
      <c r="D289" s="402"/>
      <c r="E289" s="402"/>
      <c r="F289" s="402"/>
      <c r="G289" s="402"/>
      <c r="H289" s="402"/>
      <c r="I289" s="402"/>
      <c r="J289" s="402"/>
      <c r="K289" s="402"/>
      <c r="L289" s="402"/>
    </row>
    <row r="290" spans="1:22" hidden="1" x14ac:dyDescent="0.2"/>
    <row r="291" spans="1:22" ht="15" hidden="1" x14ac:dyDescent="0.25">
      <c r="A291" s="403" t="str">
        <f>CONCATENATE("Итого по разделу: ",IF([79]Source!G1102&lt;&gt;"Новый раздел", [79]Source!G1102, ""))</f>
        <v>Итого по разделу: 4.ДВЕРИ</v>
      </c>
      <c r="B291" s="403"/>
      <c r="C291" s="403"/>
      <c r="D291" s="403"/>
      <c r="E291" s="403"/>
      <c r="F291" s="403"/>
      <c r="G291" s="403"/>
      <c r="H291" s="403"/>
      <c r="I291" s="404">
        <f>SUM(O289:O290)</f>
        <v>0</v>
      </c>
      <c r="J291" s="405"/>
      <c r="K291" s="404">
        <f>SUM(P289:P290)</f>
        <v>0</v>
      </c>
      <c r="L291" s="405"/>
    </row>
    <row r="292" spans="1:22" hidden="1" x14ac:dyDescent="0.2">
      <c r="A292" s="47" t="s">
        <v>54</v>
      </c>
      <c r="J292" s="47">
        <f>SUM(W289:W291)</f>
        <v>0</v>
      </c>
      <c r="K292" s="47">
        <f>SUM(X289:X291)</f>
        <v>0</v>
      </c>
    </row>
    <row r="293" spans="1:22" hidden="1" x14ac:dyDescent="0.2">
      <c r="A293" s="47" t="s">
        <v>55</v>
      </c>
      <c r="J293" s="47">
        <f>SUM(Y289:Y292)</f>
        <v>0</v>
      </c>
      <c r="K293" s="47">
        <f>SUM(Z289:Z292)</f>
        <v>0</v>
      </c>
    </row>
    <row r="294" spans="1:22" hidden="1" x14ac:dyDescent="0.2"/>
    <row r="295" spans="1:22" ht="16.5" x14ac:dyDescent="0.25">
      <c r="A295" s="402" t="str">
        <f>CONCATENATE("Раздел: ",IF([79]Source!G1132&lt;&gt;"Новый раздел", [79]Source!G1132, ""))</f>
        <v>Раздел: 5.ПЕРЕМЫЧКИ</v>
      </c>
      <c r="B295" s="402"/>
      <c r="C295" s="402"/>
      <c r="D295" s="402"/>
      <c r="E295" s="402"/>
      <c r="F295" s="402"/>
      <c r="G295" s="402"/>
      <c r="H295" s="402"/>
      <c r="I295" s="402"/>
      <c r="J295" s="402"/>
      <c r="K295" s="402"/>
      <c r="L295" s="402"/>
    </row>
    <row r="296" spans="1:22" ht="65.25" x14ac:dyDescent="0.2">
      <c r="A296" s="84">
        <v>27</v>
      </c>
      <c r="B296" s="84" t="str">
        <f>[79]Source!E1136</f>
        <v>108</v>
      </c>
      <c r="C296" s="85" t="s">
        <v>235</v>
      </c>
      <c r="D296" s="85" t="s">
        <v>236</v>
      </c>
      <c r="E296" s="86" t="str">
        <f>[79]Source!H1136</f>
        <v>100 шт. сборных конструкций</v>
      </c>
      <c r="F296" s="87">
        <f>[79]Source!I1136</f>
        <v>3.2000000000000001E-2</v>
      </c>
      <c r="G296" s="88"/>
      <c r="H296" s="89"/>
      <c r="I296" s="87"/>
      <c r="J296" s="176"/>
      <c r="K296" s="87"/>
      <c r="L296" s="176"/>
      <c r="Q296" s="47">
        <f>[79]Source!X1136</f>
        <v>15.68</v>
      </c>
      <c r="R296" s="47">
        <f>[79]Source!X1137</f>
        <v>292.7</v>
      </c>
      <c r="S296" s="47">
        <f>[79]Source!Y1136</f>
        <v>11.73</v>
      </c>
      <c r="T296" s="47">
        <f>[79]Source!Y1137</f>
        <v>132.19</v>
      </c>
      <c r="U296" s="47">
        <f>ROUND((175/100)*ROUND([79]Source!R1136, 2), 2)</f>
        <v>0</v>
      </c>
      <c r="V296" s="47">
        <f>ROUND((157/100)*ROUND([79]Source!R1137, 2), 2)</f>
        <v>0</v>
      </c>
    </row>
    <row r="297" spans="1:22" ht="12.75" x14ac:dyDescent="0.2">
      <c r="D297" s="203" t="str">
        <f>"Объем: "&amp;[79]Source!I1136&amp;"=0,16*"&amp;"0,2"</f>
        <v>Объем: 0,032=0,16*0,2</v>
      </c>
    </row>
    <row r="298" spans="1:22" ht="14.25" x14ac:dyDescent="0.2">
      <c r="A298" s="84"/>
      <c r="B298" s="84"/>
      <c r="C298" s="85"/>
      <c r="D298" s="85" t="s">
        <v>43</v>
      </c>
      <c r="E298" s="86"/>
      <c r="F298" s="87"/>
      <c r="G298" s="88">
        <f>[79]Source!AO1136</f>
        <v>169.76</v>
      </c>
      <c r="H298" s="89" t="str">
        <f>[79]Source!DG1136</f>
        <v>)*1,67</v>
      </c>
      <c r="I298" s="87">
        <f>[79]Source!AV1137</f>
        <v>1.087</v>
      </c>
      <c r="J298" s="176">
        <f>[79]Source!S1136</f>
        <v>9.86</v>
      </c>
      <c r="K298" s="87">
        <f>IF([79]Source!BA1137&lt;&gt; 0, [79]Source!BA1137, 1)</f>
        <v>23.94</v>
      </c>
      <c r="L298" s="176">
        <f>[79]Source!S1137</f>
        <v>236.05</v>
      </c>
    </row>
    <row r="299" spans="1:22" ht="14.25" x14ac:dyDescent="0.2">
      <c r="A299" s="84"/>
      <c r="B299" s="84"/>
      <c r="C299" s="85"/>
      <c r="D299" s="85" t="s">
        <v>46</v>
      </c>
      <c r="E299" s="86"/>
      <c r="F299" s="87"/>
      <c r="G299" s="88">
        <f>[79]Source!AL1136</f>
        <v>112.78</v>
      </c>
      <c r="H299" s="89" t="str">
        <f>[79]Source!DD1136</f>
        <v/>
      </c>
      <c r="I299" s="87">
        <f>[79]Source!AW1137</f>
        <v>1.0029999999999999</v>
      </c>
      <c r="J299" s="176">
        <f>[79]Source!P1136</f>
        <v>3.62</v>
      </c>
      <c r="K299" s="87">
        <f>IF([79]Source!BC1137&lt;&gt; 0, [79]Source!BC1137, 1)</f>
        <v>7.19</v>
      </c>
      <c r="L299" s="176">
        <f>[79]Source!P1137</f>
        <v>26.03</v>
      </c>
    </row>
    <row r="300" spans="1:22" ht="57" x14ac:dyDescent="0.2">
      <c r="A300" s="84">
        <v>28</v>
      </c>
      <c r="B300" s="84" t="str">
        <f>[79]Source!E1138</f>
        <v>108,1</v>
      </c>
      <c r="C300" s="85" t="str">
        <f>[79]Source!F1138</f>
        <v>1.5-1-169</v>
      </c>
      <c r="D300" s="85" t="s">
        <v>249</v>
      </c>
      <c r="E300" s="86" t="str">
        <f>[79]Source!H1138</f>
        <v>м3</v>
      </c>
      <c r="F300" s="87">
        <f>[79]Source!I1138</f>
        <v>6.7999999999999996E-3</v>
      </c>
      <c r="G300" s="88">
        <f>[79]Source!AK1138</f>
        <v>1283.54</v>
      </c>
      <c r="H300" s="123" t="s">
        <v>20</v>
      </c>
      <c r="I300" s="87">
        <f>[79]Source!AW1139</f>
        <v>1.0029999999999999</v>
      </c>
      <c r="J300" s="176">
        <f>[79]Source!O1138</f>
        <v>8.75</v>
      </c>
      <c r="K300" s="87">
        <f>IF([79]Source!BC1139&lt;&gt; 0, [79]Source!BC1139, 1)</f>
        <v>11.92</v>
      </c>
      <c r="L300" s="176">
        <f>[79]Source!O1139</f>
        <v>104.3</v>
      </c>
      <c r="Q300" s="47">
        <f>[79]Source!X1138</f>
        <v>0</v>
      </c>
      <c r="R300" s="47">
        <f>[79]Source!X1139</f>
        <v>0</v>
      </c>
      <c r="S300" s="47">
        <f>[79]Source!Y1138</f>
        <v>0</v>
      </c>
      <c r="T300" s="47">
        <f>[79]Source!Y1139</f>
        <v>0</v>
      </c>
      <c r="U300" s="47">
        <f>ROUND((175/100)*ROUND([79]Source!R1138, 2), 2)</f>
        <v>0</v>
      </c>
      <c r="V300" s="47">
        <f>ROUND((157/100)*ROUND([79]Source!R1139, 2), 2)</f>
        <v>0</v>
      </c>
    </row>
    <row r="301" spans="1:22" ht="57" x14ac:dyDescent="0.2">
      <c r="A301" s="84">
        <v>29</v>
      </c>
      <c r="B301" s="84" t="str">
        <f>[79]Source!E1140</f>
        <v>108,2</v>
      </c>
      <c r="C301" s="85" t="str">
        <f>[79]Source!F1140</f>
        <v>1.5-1-169</v>
      </c>
      <c r="D301" s="85" t="s">
        <v>250</v>
      </c>
      <c r="E301" s="86" t="str">
        <f>[79]Source!H1140</f>
        <v>м3</v>
      </c>
      <c r="F301" s="87">
        <f>[79]Source!I1140</f>
        <v>5.28E-2</v>
      </c>
      <c r="G301" s="88">
        <f>[79]Source!AK1140</f>
        <v>1283.54</v>
      </c>
      <c r="H301" s="123" t="s">
        <v>20</v>
      </c>
      <c r="I301" s="87">
        <f>[79]Source!AW1141</f>
        <v>1.0029999999999999</v>
      </c>
      <c r="J301" s="176">
        <f>[79]Source!O1140</f>
        <v>67.97</v>
      </c>
      <c r="K301" s="87">
        <f>IF([79]Source!BC1141&lt;&gt; 0, [79]Source!BC1141, 1)</f>
        <v>11.92</v>
      </c>
      <c r="L301" s="176">
        <f>[79]Source!O1141</f>
        <v>810.2</v>
      </c>
      <c r="Q301" s="47">
        <f>[79]Source!X1140</f>
        <v>0</v>
      </c>
      <c r="R301" s="47">
        <f>[79]Source!X1141</f>
        <v>0</v>
      </c>
      <c r="S301" s="47">
        <f>[79]Source!Y1140</f>
        <v>0</v>
      </c>
      <c r="T301" s="47">
        <f>[79]Source!Y1141</f>
        <v>0</v>
      </c>
      <c r="U301" s="47">
        <f>ROUND((175/100)*ROUND([79]Source!R1140, 2), 2)</f>
        <v>0</v>
      </c>
      <c r="V301" s="47">
        <f>ROUND((157/100)*ROUND([79]Source!R1141, 2), 2)</f>
        <v>0</v>
      </c>
    </row>
    <row r="302" spans="1:22" ht="57" x14ac:dyDescent="0.2">
      <c r="A302" s="84">
        <v>30</v>
      </c>
      <c r="B302" s="84" t="str">
        <f>[79]Source!E1142</f>
        <v>108,3</v>
      </c>
      <c r="C302" s="85" t="str">
        <f>[79]Source!F1142</f>
        <v>1.5-1-169</v>
      </c>
      <c r="D302" s="85" t="s">
        <v>251</v>
      </c>
      <c r="E302" s="86" t="str">
        <f>[79]Source!H1142</f>
        <v>м3</v>
      </c>
      <c r="F302" s="87">
        <f>[79]Source!I1142</f>
        <v>1.2E-2</v>
      </c>
      <c r="G302" s="88">
        <f>[79]Source!AK1142</f>
        <v>1283.54</v>
      </c>
      <c r="H302" s="123" t="s">
        <v>20</v>
      </c>
      <c r="I302" s="87">
        <f>[79]Source!AW1143</f>
        <v>1.0029999999999999</v>
      </c>
      <c r="J302" s="176">
        <f>[79]Source!O1142</f>
        <v>15.45</v>
      </c>
      <c r="K302" s="87">
        <f>IF([79]Source!BC1143&lt;&gt; 0, [79]Source!BC1143, 1)</f>
        <v>11.92</v>
      </c>
      <c r="L302" s="176">
        <f>[79]Source!O1143</f>
        <v>184.16</v>
      </c>
      <c r="Q302" s="47">
        <f>[79]Source!X1142</f>
        <v>0</v>
      </c>
      <c r="R302" s="47">
        <f>[79]Source!X1143</f>
        <v>0</v>
      </c>
      <c r="S302" s="47">
        <f>[79]Source!Y1142</f>
        <v>0</v>
      </c>
      <c r="T302" s="47">
        <f>[79]Source!Y1143</f>
        <v>0</v>
      </c>
      <c r="U302" s="47">
        <f>ROUND((175/100)*ROUND([79]Source!R1142, 2), 2)</f>
        <v>0</v>
      </c>
      <c r="V302" s="47">
        <f>ROUND((157/100)*ROUND([79]Source!R1143, 2), 2)</f>
        <v>0</v>
      </c>
    </row>
    <row r="303" spans="1:22" ht="14.25" x14ac:dyDescent="0.2">
      <c r="A303" s="84"/>
      <c r="B303" s="84"/>
      <c r="C303" s="85"/>
      <c r="D303" s="85" t="s">
        <v>47</v>
      </c>
      <c r="E303" s="86" t="s">
        <v>48</v>
      </c>
      <c r="F303" s="87">
        <f>[79]Source!DN1137</f>
        <v>159</v>
      </c>
      <c r="G303" s="88"/>
      <c r="H303" s="89"/>
      <c r="I303" s="87"/>
      <c r="J303" s="176">
        <f>SUM(Q296:Q302)</f>
        <v>15.68</v>
      </c>
      <c r="K303" s="87">
        <f>[79]Source!BZ1137</f>
        <v>124</v>
      </c>
      <c r="L303" s="176">
        <f>SUM(R296:R302)</f>
        <v>292.7</v>
      </c>
    </row>
    <row r="304" spans="1:22" ht="14.25" x14ac:dyDescent="0.2">
      <c r="A304" s="84"/>
      <c r="B304" s="84"/>
      <c r="C304" s="85"/>
      <c r="D304" s="85" t="s">
        <v>49</v>
      </c>
      <c r="E304" s="86" t="s">
        <v>48</v>
      </c>
      <c r="F304" s="87">
        <f>[79]Source!DO1137</f>
        <v>119</v>
      </c>
      <c r="G304" s="88"/>
      <c r="H304" s="89"/>
      <c r="I304" s="87"/>
      <c r="J304" s="176">
        <f>SUM(S296:S303)</f>
        <v>11.73</v>
      </c>
      <c r="K304" s="87">
        <f>[79]Source!CA1137</f>
        <v>56</v>
      </c>
      <c r="L304" s="176">
        <f>SUM(T296:T303)</f>
        <v>132.19</v>
      </c>
    </row>
    <row r="305" spans="1:16" ht="14.25" x14ac:dyDescent="0.2">
      <c r="A305" s="183"/>
      <c r="B305" s="183"/>
      <c r="C305" s="184"/>
      <c r="D305" s="184" t="s">
        <v>51</v>
      </c>
      <c r="E305" s="185" t="s">
        <v>52</v>
      </c>
      <c r="F305" s="186">
        <f>[79]Source!AQ1136</f>
        <v>14.8</v>
      </c>
      <c r="G305" s="187"/>
      <c r="H305" s="188" t="str">
        <f>[79]Source!DI1136</f>
        <v/>
      </c>
      <c r="I305" s="186">
        <f>[79]Source!AV1137</f>
        <v>1.087</v>
      </c>
      <c r="J305" s="189">
        <f>[79]Source!U1136</f>
        <v>0.51</v>
      </c>
      <c r="K305" s="186"/>
      <c r="L305" s="189"/>
    </row>
    <row r="306" spans="1:16" ht="15" x14ac:dyDescent="0.25">
      <c r="A306" s="190"/>
      <c r="B306" s="190"/>
      <c r="C306" s="190"/>
      <c r="D306" s="191" t="s">
        <v>81</v>
      </c>
      <c r="E306" s="190"/>
      <c r="F306" s="190"/>
      <c r="G306" s="190"/>
      <c r="H306" s="190"/>
      <c r="I306" s="409">
        <f>J298+J299+J303+J304+SUM(J300:J302)</f>
        <v>133.06</v>
      </c>
      <c r="J306" s="409"/>
      <c r="K306" s="409">
        <f>L298+L299+L303+L304+SUM(L300:L302)</f>
        <v>1785.63</v>
      </c>
      <c r="L306" s="409"/>
      <c r="O306" s="92">
        <f>J298+J299+J303+J304+SUM(J300:J302)</f>
        <v>133.06</v>
      </c>
      <c r="P306" s="92">
        <f>L298+L299+L303+L304+SUM(L300:L302)</f>
        <v>1785.63</v>
      </c>
    </row>
    <row r="309" spans="1:16" ht="15" x14ac:dyDescent="0.25">
      <c r="A309" s="403" t="str">
        <f>CONCATENATE("Итого по разделу: ",IF([79]Source!G1149&lt;&gt;"Новый раздел", [79]Source!G1149, ""))</f>
        <v>Итого по разделу: 5.ПЕРЕМЫЧКИ</v>
      </c>
      <c r="B309" s="403"/>
      <c r="C309" s="403"/>
      <c r="D309" s="403"/>
      <c r="E309" s="403"/>
      <c r="F309" s="403"/>
      <c r="G309" s="403"/>
      <c r="H309" s="403"/>
      <c r="I309" s="404">
        <f>SUM(O295:O308)</f>
        <v>133.06</v>
      </c>
      <c r="J309" s="405"/>
      <c r="K309" s="404">
        <f>SUM(P295:P308)</f>
        <v>1785.63</v>
      </c>
      <c r="L309" s="405"/>
    </row>
    <row r="310" spans="1:16" hidden="1" x14ac:dyDescent="0.2">
      <c r="A310" s="47" t="s">
        <v>54</v>
      </c>
      <c r="J310" s="47">
        <f>SUM(W295:W309)</f>
        <v>0</v>
      </c>
      <c r="K310" s="47">
        <f>SUM(X295:X309)</f>
        <v>0</v>
      </c>
    </row>
    <row r="311" spans="1:16" hidden="1" x14ac:dyDescent="0.2">
      <c r="A311" s="47" t="s">
        <v>55</v>
      </c>
      <c r="J311" s="47">
        <f>SUM(Y295:Y310)</f>
        <v>0</v>
      </c>
      <c r="K311" s="47">
        <f>SUM(Z295:Z310)</f>
        <v>0</v>
      </c>
    </row>
    <row r="312" spans="1:16" hidden="1" x14ac:dyDescent="0.2"/>
    <row r="313" spans="1:16" ht="16.5" hidden="1" x14ac:dyDescent="0.25">
      <c r="A313" s="402" t="str">
        <f>CONCATENATE("Раздел: ",IF([79]Source!G1179&lt;&gt;"Новый раздел", [79]Source!G1179, ""))</f>
        <v>Раздел: 6.ИЗДЕЛИЯ</v>
      </c>
      <c r="B313" s="402"/>
      <c r="C313" s="402"/>
      <c r="D313" s="402"/>
      <c r="E313" s="402"/>
      <c r="F313" s="402"/>
      <c r="G313" s="402"/>
      <c r="H313" s="402"/>
      <c r="I313" s="402"/>
      <c r="J313" s="402"/>
      <c r="K313" s="402"/>
      <c r="L313" s="402"/>
    </row>
    <row r="314" spans="1:16" hidden="1" x14ac:dyDescent="0.2"/>
    <row r="315" spans="1:16" ht="16.5" hidden="1" x14ac:dyDescent="0.25">
      <c r="A315" s="402" t="str">
        <f>CONCATENATE("Подраздел: ",IF([79]Source!G1183&lt;&gt;"Новый подраздел", [79]Source!G1183, ""))</f>
        <v>Подраздел: 6.1. Решетки для дренажной системы</v>
      </c>
      <c r="B315" s="402"/>
      <c r="C315" s="402"/>
      <c r="D315" s="402"/>
      <c r="E315" s="402"/>
      <c r="F315" s="402"/>
      <c r="G315" s="402"/>
      <c r="H315" s="402"/>
      <c r="I315" s="402"/>
      <c r="J315" s="402"/>
      <c r="K315" s="402"/>
      <c r="L315" s="402"/>
    </row>
    <row r="316" spans="1:16" hidden="1" x14ac:dyDescent="0.2"/>
    <row r="317" spans="1:16" ht="15" hidden="1" x14ac:dyDescent="0.25">
      <c r="A317" s="403" t="str">
        <f>CONCATENATE("Итого по подразделу: ",IF([79]Source!G1196&lt;&gt;"Новый подраздел", [79]Source!G1196, ""))</f>
        <v>Итого по подразделу: 6.1. Решетки для дренажной системы</v>
      </c>
      <c r="B317" s="403"/>
      <c r="C317" s="403"/>
      <c r="D317" s="403"/>
      <c r="E317" s="403"/>
      <c r="F317" s="403"/>
      <c r="G317" s="403"/>
      <c r="H317" s="403"/>
      <c r="I317" s="404">
        <f>SUM(O315:O316)</f>
        <v>0</v>
      </c>
      <c r="J317" s="405"/>
      <c r="K317" s="404">
        <f>SUM(P315:P316)</f>
        <v>0</v>
      </c>
      <c r="L317" s="405"/>
    </row>
    <row r="318" spans="1:16" hidden="1" x14ac:dyDescent="0.2">
      <c r="A318" s="47" t="s">
        <v>54</v>
      </c>
      <c r="J318" s="47">
        <f>SUM(W315:W317)</f>
        <v>0</v>
      </c>
      <c r="K318" s="47">
        <f>SUM(X315:X317)</f>
        <v>0</v>
      </c>
    </row>
    <row r="319" spans="1:16" hidden="1" x14ac:dyDescent="0.2">
      <c r="A319" s="47" t="s">
        <v>55</v>
      </c>
      <c r="J319" s="47">
        <f>SUM(Y315:Y318)</f>
        <v>0</v>
      </c>
      <c r="K319" s="47">
        <f>SUM(Z315:Z318)</f>
        <v>0</v>
      </c>
    </row>
    <row r="320" spans="1:16" hidden="1" x14ac:dyDescent="0.2"/>
    <row r="321" spans="1:34" ht="15" hidden="1" x14ac:dyDescent="0.25">
      <c r="A321" s="403" t="str">
        <f>CONCATENATE("Итого по разделу: ",IF([79]Source!G1226&lt;&gt;"Новый раздел", [79]Source!G1226, ""))</f>
        <v>Итого по разделу: 6.ИЗДЕЛИЯ</v>
      </c>
      <c r="B321" s="403"/>
      <c r="C321" s="403"/>
      <c r="D321" s="403"/>
      <c r="E321" s="403"/>
      <c r="F321" s="403"/>
      <c r="G321" s="403"/>
      <c r="H321" s="403"/>
      <c r="I321" s="404">
        <f>SUM(O313:O320)</f>
        <v>0</v>
      </c>
      <c r="J321" s="405"/>
      <c r="K321" s="404">
        <f>SUM(P313:P320)</f>
        <v>0</v>
      </c>
      <c r="L321" s="405"/>
    </row>
    <row r="322" spans="1:34" hidden="1" x14ac:dyDescent="0.2">
      <c r="A322" s="47" t="s">
        <v>54</v>
      </c>
      <c r="J322" s="47">
        <f>SUM(W313:W321)</f>
        <v>0</v>
      </c>
      <c r="K322" s="47">
        <f>SUM(X313:X321)</f>
        <v>0</v>
      </c>
    </row>
    <row r="323" spans="1:34" hidden="1" x14ac:dyDescent="0.2">
      <c r="A323" s="47" t="s">
        <v>55</v>
      </c>
      <c r="J323" s="47">
        <f>SUM(Y313:Y322)</f>
        <v>0</v>
      </c>
      <c r="K323" s="47">
        <f>SUM(Z313:Z322)</f>
        <v>0</v>
      </c>
    </row>
    <row r="324" spans="1:34" hidden="1" x14ac:dyDescent="0.2"/>
    <row r="325" spans="1:34" ht="45" hidden="1" x14ac:dyDescent="0.25">
      <c r="A325" s="403" t="str">
        <f>CONCATENATE("Итого по локальной смете: ",IF([79]Source!G1256&lt;&gt;"Новая локальная смета", [79]Source!G1256, ""))</f>
        <v>Итого по локальной смете: Станционный комплекс "Аминьевское шоссе".Вестибюль №2, камера съездов, ТПП. Архитектурные решения служебных и технических помещений. Уровни кассового зала и машинного зала эскалаторов.</v>
      </c>
      <c r="B325" s="403"/>
      <c r="C325" s="403"/>
      <c r="D325" s="403"/>
      <c r="E325" s="403"/>
      <c r="F325" s="403"/>
      <c r="G325" s="403"/>
      <c r="H325" s="403"/>
      <c r="I325" s="404">
        <f>SUM(O41:O324)</f>
        <v>17667.82</v>
      </c>
      <c r="J325" s="405"/>
      <c r="K325" s="404">
        <f>SUM(P41:P324)</f>
        <v>328022.24</v>
      </c>
      <c r="L325" s="405"/>
      <c r="AF325" s="180" t="str">
        <f>CONCATENATE("Итого по локальной смете: ",IF([79]Source!G1256&lt;&gt;"Новая локальная смета", [79]Source!G1256, ""))</f>
        <v>Итого по локальной смете: Станционный комплекс "Аминьевское шоссе".Вестибюль №2, камера съездов, ТПП. Архитектурные решения служебных и технических помещений. Уровни кассового зала и машинного зала эскалаторов.</v>
      </c>
    </row>
    <row r="326" spans="1:34" hidden="1" x14ac:dyDescent="0.2">
      <c r="A326" s="47" t="s">
        <v>54</v>
      </c>
      <c r="J326" s="47">
        <f>SUM(W41:W325)</f>
        <v>0</v>
      </c>
      <c r="K326" s="47">
        <f>SUM(X41:X325)</f>
        <v>0</v>
      </c>
    </row>
    <row r="327" spans="1:34" hidden="1" x14ac:dyDescent="0.2">
      <c r="A327" s="47" t="s">
        <v>55</v>
      </c>
      <c r="J327" s="47">
        <f>SUM(Y41:Y326)</f>
        <v>0</v>
      </c>
      <c r="K327" s="47">
        <f>SUM(Z41:Z326)</f>
        <v>0</v>
      </c>
    </row>
    <row r="328" spans="1:34" ht="14.25" hidden="1" x14ac:dyDescent="0.2">
      <c r="D328" s="410" t="str">
        <f>[79]Source!H1262</f>
        <v>Стоимость материалов (всего)</v>
      </c>
      <c r="E328" s="410"/>
      <c r="F328" s="410"/>
      <c r="G328" s="410"/>
      <c r="H328" s="410"/>
      <c r="I328" s="411">
        <f>[79]Source!F1262</f>
        <v>12208.42</v>
      </c>
      <c r="J328" s="411"/>
      <c r="K328" s="411">
        <f>[79]Source!P1262</f>
        <v>76180.19</v>
      </c>
      <c r="L328" s="411"/>
    </row>
    <row r="329" spans="1:34" ht="14.25" hidden="1" x14ac:dyDescent="0.2">
      <c r="D329" s="410" t="str">
        <f>[79]Source!H1270</f>
        <v>ЗП машинистов</v>
      </c>
      <c r="E329" s="410"/>
      <c r="F329" s="410"/>
      <c r="G329" s="410"/>
      <c r="H329" s="410"/>
      <c r="I329" s="411">
        <f>[79]Source!F1270</f>
        <v>4.2300000000000004</v>
      </c>
      <c r="J329" s="411"/>
      <c r="K329" s="411">
        <f>[79]Source!P1270</f>
        <v>101.51</v>
      </c>
      <c r="L329" s="411"/>
    </row>
    <row r="330" spans="1:34" ht="14.25" hidden="1" x14ac:dyDescent="0.2">
      <c r="D330" s="410" t="str">
        <f>[79]Source!H1271</f>
        <v>Основная ЗП рабочих</v>
      </c>
      <c r="E330" s="410"/>
      <c r="F330" s="410"/>
      <c r="G330" s="410"/>
      <c r="H330" s="410"/>
      <c r="I330" s="411">
        <f>[79]Source!F1271</f>
        <v>3918.5</v>
      </c>
      <c r="J330" s="411"/>
      <c r="K330" s="411">
        <f>[79]Source!P1271</f>
        <v>94579.78</v>
      </c>
      <c r="L330" s="411"/>
    </row>
    <row r="332" spans="1:34" ht="15" x14ac:dyDescent="0.25">
      <c r="A332" s="403" t="str">
        <f>CONCATENATE("Итого по акту: ",IF([79]Source!G1286&lt;&gt;"Новый объект", [79]Source!G1286, ""))</f>
        <v>Итого по акту: 48701-ТПК_5-0647-Р-ССР2 12-4017-Л-Р-11.4.1.2.1-АР1-СМ1 (48701)</v>
      </c>
      <c r="B332" s="403"/>
      <c r="C332" s="403"/>
      <c r="D332" s="403"/>
      <c r="E332" s="403"/>
      <c r="F332" s="403"/>
      <c r="G332" s="403"/>
      <c r="H332" s="403"/>
      <c r="I332" s="404">
        <f>SUM(O1:O331)</f>
        <v>17667.82</v>
      </c>
      <c r="J332" s="405"/>
      <c r="K332" s="404">
        <f>SUM(P1:P331)</f>
        <v>328022.24</v>
      </c>
      <c r="L332" s="405"/>
      <c r="AF332" s="180" t="str">
        <f>CONCATENATE("Итого по акту: ",IF([79]Source!G1286&lt;&gt;"Новый объект", [79]Source!G1286, ""))</f>
        <v>Итого по акту: 48701-ТПК_5-0647-Р-ССР2 12-4017-Л-Р-11.4.1.2.1-АР1-СМ1 (48701)</v>
      </c>
    </row>
    <row r="333" spans="1:34" hidden="1" x14ac:dyDescent="0.2">
      <c r="A333" s="47" t="s">
        <v>54</v>
      </c>
      <c r="J333" s="47">
        <f>SUM(W1:W332)</f>
        <v>0</v>
      </c>
      <c r="K333" s="47">
        <f>SUM(X1:X332)</f>
        <v>0</v>
      </c>
    </row>
    <row r="334" spans="1:34" hidden="1" x14ac:dyDescent="0.2">
      <c r="A334" s="47" t="s">
        <v>55</v>
      </c>
      <c r="J334" s="47">
        <f>SUM(Y1:Y333)</f>
        <v>0</v>
      </c>
      <c r="K334" s="47">
        <f>SUM(Z1:Z333)</f>
        <v>0</v>
      </c>
    </row>
    <row r="335" spans="1:34" ht="15" customHeight="1" x14ac:dyDescent="0.2">
      <c r="D335" s="410" t="s">
        <v>252</v>
      </c>
      <c r="E335" s="410"/>
      <c r="F335" s="410"/>
      <c r="G335" s="410"/>
      <c r="H335" s="410"/>
      <c r="I335" s="411">
        <v>12208.42</v>
      </c>
      <c r="J335" s="411"/>
      <c r="K335" s="411">
        <v>76180.19</v>
      </c>
      <c r="L335" s="411"/>
      <c r="AH335" s="196" t="s">
        <v>170</v>
      </c>
    </row>
    <row r="336" spans="1:34" ht="14.25" x14ac:dyDescent="0.2">
      <c r="D336" s="410" t="s">
        <v>157</v>
      </c>
      <c r="E336" s="410"/>
      <c r="F336" s="410"/>
      <c r="G336" s="410"/>
      <c r="H336" s="410"/>
      <c r="I336" s="411">
        <v>4.2300000000000004</v>
      </c>
      <c r="J336" s="411"/>
      <c r="K336" s="411">
        <v>101.51</v>
      </c>
      <c r="L336" s="411"/>
    </row>
    <row r="337" spans="1:12" ht="14.25" x14ac:dyDescent="0.2">
      <c r="D337" s="410" t="s">
        <v>158</v>
      </c>
      <c r="E337" s="410"/>
      <c r="F337" s="410"/>
      <c r="G337" s="410"/>
      <c r="H337" s="410"/>
      <c r="I337" s="411">
        <v>3918.5</v>
      </c>
      <c r="J337" s="411"/>
      <c r="K337" s="411">
        <v>94579.78</v>
      </c>
      <c r="L337" s="411"/>
    </row>
    <row r="338" spans="1:12" ht="14.25" x14ac:dyDescent="0.2">
      <c r="D338" s="410" t="s">
        <v>62</v>
      </c>
      <c r="E338" s="410"/>
      <c r="F338" s="410"/>
      <c r="G338" s="410"/>
      <c r="H338" s="410"/>
      <c r="I338" s="411">
        <v>0</v>
      </c>
      <c r="J338" s="411"/>
      <c r="K338" s="411">
        <v>0</v>
      </c>
      <c r="L338" s="411"/>
    </row>
    <row r="339" spans="1:12" s="105" customFormat="1" ht="14.25" x14ac:dyDescent="0.2">
      <c r="D339" s="172"/>
      <c r="E339" s="172"/>
      <c r="F339" s="172"/>
      <c r="G339" s="172"/>
      <c r="H339" s="172"/>
      <c r="I339" s="197"/>
      <c r="J339" s="197"/>
      <c r="K339" s="197"/>
      <c r="L339" s="197"/>
    </row>
    <row r="340" spans="1:12" s="105" customFormat="1" ht="15" x14ac:dyDescent="0.25">
      <c r="D340" s="178" t="s">
        <v>57</v>
      </c>
      <c r="E340" s="178"/>
      <c r="F340" s="178"/>
      <c r="G340" s="178"/>
      <c r="H340" s="178"/>
      <c r="I340" s="198"/>
      <c r="J340" s="199">
        <f>I332</f>
        <v>17667.82</v>
      </c>
      <c r="K340" s="199"/>
      <c r="L340" s="199">
        <f>K332</f>
        <v>328022.24</v>
      </c>
    </row>
    <row r="341" spans="1:12" s="105" customFormat="1" ht="14.25" x14ac:dyDescent="0.2">
      <c r="D341" s="172" t="s">
        <v>3</v>
      </c>
      <c r="E341" s="172"/>
      <c r="F341" s="172"/>
      <c r="G341" s="172"/>
      <c r="H341" s="172"/>
      <c r="I341" s="198"/>
      <c r="J341" s="200">
        <f>I332-J344</f>
        <v>17667.82</v>
      </c>
      <c r="K341" s="200"/>
      <c r="L341" s="200">
        <f>K332-L344</f>
        <v>328022.24</v>
      </c>
    </row>
    <row r="342" spans="1:12" s="105" customFormat="1" ht="14.25" x14ac:dyDescent="0.2">
      <c r="D342" s="172" t="s">
        <v>58</v>
      </c>
      <c r="E342" s="172"/>
      <c r="F342" s="172"/>
      <c r="G342" s="172"/>
      <c r="H342" s="172"/>
      <c r="I342" s="198"/>
      <c r="J342" s="200">
        <f>I336+I337</f>
        <v>3922.73</v>
      </c>
      <c r="K342" s="200"/>
      <c r="L342" s="200">
        <f>K336+K337</f>
        <v>94681.29</v>
      </c>
    </row>
    <row r="343" spans="1:12" s="105" customFormat="1" ht="14.25" x14ac:dyDescent="0.2">
      <c r="D343" s="172" t="s">
        <v>59</v>
      </c>
      <c r="E343" s="172"/>
      <c r="F343" s="172"/>
      <c r="G343" s="172"/>
      <c r="H343" s="172"/>
      <c r="I343" s="198"/>
      <c r="J343" s="200">
        <f>I335</f>
        <v>12208.42</v>
      </c>
      <c r="K343" s="200"/>
      <c r="L343" s="200">
        <f>K335</f>
        <v>76180.19</v>
      </c>
    </row>
    <row r="344" spans="1:12" s="105" customFormat="1" ht="16.5" customHeight="1" x14ac:dyDescent="0.2">
      <c r="D344" s="172" t="s">
        <v>62</v>
      </c>
      <c r="E344" s="172"/>
      <c r="F344" s="172"/>
      <c r="G344" s="172"/>
      <c r="H344" s="172"/>
      <c r="J344" s="201">
        <f>I338</f>
        <v>0</v>
      </c>
      <c r="L344" s="201">
        <f>K338</f>
        <v>0</v>
      </c>
    </row>
    <row r="345" spans="1:12" s="105" customFormat="1" ht="16.5" customHeight="1" x14ac:dyDescent="0.25">
      <c r="A345" s="96"/>
      <c r="B345" s="96"/>
      <c r="C345" s="96"/>
      <c r="D345" s="79" t="s">
        <v>60</v>
      </c>
      <c r="E345" s="79"/>
      <c r="F345" s="79"/>
      <c r="G345" s="79"/>
      <c r="H345" s="79"/>
      <c r="I345" s="412">
        <v>0</v>
      </c>
      <c r="J345" s="412"/>
      <c r="K345" s="412">
        <v>0</v>
      </c>
      <c r="L345" s="412"/>
    </row>
    <row r="346" spans="1:12" s="105" customFormat="1" ht="16.5" customHeight="1" x14ac:dyDescent="0.25">
      <c r="A346" s="96"/>
      <c r="B346" s="96"/>
      <c r="C346" s="96"/>
      <c r="D346" s="79" t="s">
        <v>108</v>
      </c>
      <c r="E346" s="79"/>
      <c r="F346" s="79"/>
      <c r="G346" s="79"/>
      <c r="H346" s="79"/>
      <c r="I346" s="95"/>
      <c r="J346" s="95">
        <v>0</v>
      </c>
      <c r="K346" s="95"/>
      <c r="L346" s="95">
        <v>0</v>
      </c>
    </row>
    <row r="347" spans="1:12" s="105" customFormat="1" ht="16.5" customHeight="1" x14ac:dyDescent="0.2">
      <c r="A347" s="94"/>
      <c r="B347" s="94"/>
      <c r="C347" s="94"/>
      <c r="D347" s="79" t="s">
        <v>109</v>
      </c>
      <c r="E347" s="79"/>
      <c r="F347" s="79"/>
      <c r="G347" s="79"/>
      <c r="H347" s="79"/>
      <c r="I347" s="413">
        <f>(J341+J346)*5.61%</f>
        <v>991.16</v>
      </c>
      <c r="J347" s="414"/>
      <c r="K347" s="413">
        <f>(L341+L346)*5.61%</f>
        <v>18402.05</v>
      </c>
      <c r="L347" s="414"/>
    </row>
    <row r="348" spans="1:12" s="105" customFormat="1" ht="16.5" customHeight="1" x14ac:dyDescent="0.2">
      <c r="A348" s="97"/>
      <c r="B348" s="97"/>
      <c r="C348" s="97"/>
      <c r="D348" s="79" t="s">
        <v>70</v>
      </c>
      <c r="E348" s="79"/>
      <c r="F348" s="79"/>
      <c r="G348" s="79"/>
      <c r="H348" s="79"/>
      <c r="I348" s="413">
        <f>J341+J346+I347</f>
        <v>18658.98</v>
      </c>
      <c r="J348" s="414"/>
      <c r="K348" s="413">
        <f>L341+L346+K347</f>
        <v>346424.29</v>
      </c>
      <c r="L348" s="414"/>
    </row>
    <row r="349" spans="1:12" s="105" customFormat="1" ht="16.5" customHeight="1" x14ac:dyDescent="0.2">
      <c r="A349" s="94"/>
      <c r="B349" s="94"/>
      <c r="C349" s="94"/>
      <c r="D349" s="79" t="s">
        <v>71</v>
      </c>
      <c r="E349" s="79"/>
      <c r="F349" s="79"/>
      <c r="G349" s="79"/>
      <c r="H349" s="79"/>
      <c r="J349" s="151">
        <f>J342*0.15</f>
        <v>588.41</v>
      </c>
      <c r="L349" s="151">
        <f>L342*0.15</f>
        <v>14202.19</v>
      </c>
    </row>
    <row r="350" spans="1:12" s="105" customFormat="1" ht="14.25" customHeight="1" x14ac:dyDescent="0.25">
      <c r="D350" s="98" t="s">
        <v>72</v>
      </c>
      <c r="E350" s="98"/>
      <c r="F350" s="98"/>
      <c r="G350" s="98"/>
      <c r="H350" s="98"/>
      <c r="I350" s="418">
        <f>I348+J349+J344</f>
        <v>19247.39</v>
      </c>
      <c r="J350" s="418"/>
      <c r="K350" s="419">
        <f>K348+L349+L344</f>
        <v>360626.48</v>
      </c>
      <c r="L350" s="418"/>
    </row>
    <row r="351" spans="1:12" s="105" customFormat="1" ht="14.25" x14ac:dyDescent="0.2">
      <c r="D351" s="79"/>
      <c r="E351" s="79"/>
      <c r="F351" s="79"/>
      <c r="G351" s="79"/>
      <c r="H351" s="79"/>
      <c r="I351" s="413"/>
      <c r="J351" s="413"/>
      <c r="K351" s="413"/>
      <c r="L351" s="413"/>
    </row>
    <row r="352" spans="1:12" s="105" customFormat="1" ht="15" x14ac:dyDescent="0.25">
      <c r="D352" s="98" t="s">
        <v>110</v>
      </c>
      <c r="E352" s="98"/>
      <c r="F352" s="98"/>
      <c r="G352" s="98"/>
      <c r="H352" s="98"/>
      <c r="I352" s="97"/>
      <c r="J352" s="97"/>
      <c r="K352" s="97"/>
      <c r="L352" s="99">
        <f>L353+L356+L355</f>
        <v>315430.14</v>
      </c>
    </row>
    <row r="353" spans="1:12" s="105" customFormat="1" ht="14.25" x14ac:dyDescent="0.2">
      <c r="D353" s="79" t="s">
        <v>3</v>
      </c>
      <c r="E353" s="79"/>
      <c r="F353" s="79"/>
      <c r="G353" s="79"/>
      <c r="H353" s="79"/>
      <c r="I353" s="94"/>
      <c r="J353" s="100"/>
      <c r="L353" s="151">
        <f>(L341-L343)*0.95+L354</f>
        <v>315430.14</v>
      </c>
    </row>
    <row r="354" spans="1:12" s="105" customFormat="1" ht="14.25" x14ac:dyDescent="0.2">
      <c r="D354" s="79" t="s">
        <v>111</v>
      </c>
      <c r="E354" s="79"/>
      <c r="F354" s="79"/>
      <c r="G354" s="79"/>
      <c r="H354" s="79"/>
      <c r="I354" s="94"/>
      <c r="J354" s="100"/>
      <c r="L354" s="151">
        <f>L343*1</f>
        <v>76180.19</v>
      </c>
    </row>
    <row r="355" spans="1:12" s="105" customFormat="1" ht="14.25" x14ac:dyDescent="0.2">
      <c r="D355" s="101" t="s">
        <v>62</v>
      </c>
      <c r="E355" s="101"/>
      <c r="F355" s="101"/>
      <c r="G355" s="80"/>
      <c r="H355" s="80"/>
      <c r="I355" s="94"/>
      <c r="J355" s="100"/>
      <c r="K355" s="177"/>
      <c r="L355" s="177">
        <f>L344</f>
        <v>0</v>
      </c>
    </row>
    <row r="356" spans="1:12" s="105" customFormat="1" ht="14.25" x14ac:dyDescent="0.2">
      <c r="D356" s="79" t="s">
        <v>112</v>
      </c>
      <c r="E356" s="79"/>
      <c r="F356" s="79"/>
      <c r="G356" s="79"/>
      <c r="H356" s="79"/>
      <c r="I356" s="413"/>
      <c r="J356" s="413"/>
      <c r="L356" s="151">
        <v>0</v>
      </c>
    </row>
    <row r="357" spans="1:12" s="105" customFormat="1" ht="14.25" customHeight="1" x14ac:dyDescent="0.2">
      <c r="D357" s="79" t="s">
        <v>108</v>
      </c>
      <c r="E357" s="79"/>
      <c r="F357" s="79"/>
      <c r="G357" s="79"/>
      <c r="H357" s="79"/>
      <c r="I357" s="177"/>
      <c r="J357" s="177"/>
      <c r="K357" s="177"/>
      <c r="L357" s="177">
        <v>0</v>
      </c>
    </row>
    <row r="358" spans="1:12" s="105" customFormat="1" ht="14.25" x14ac:dyDescent="0.2">
      <c r="D358" s="79" t="s">
        <v>113</v>
      </c>
      <c r="E358" s="79"/>
      <c r="F358" s="79"/>
      <c r="G358" s="79"/>
      <c r="H358" s="79"/>
      <c r="I358" s="94"/>
      <c r="J358" s="100"/>
      <c r="L358" s="151">
        <f>L342*0.95</f>
        <v>89947.23</v>
      </c>
    </row>
    <row r="359" spans="1:12" s="105" customFormat="1" ht="14.25" x14ac:dyDescent="0.2">
      <c r="D359" s="79" t="s">
        <v>114</v>
      </c>
      <c r="E359" s="79"/>
      <c r="F359" s="79"/>
      <c r="G359" s="79"/>
      <c r="H359" s="79"/>
      <c r="I359" s="413"/>
      <c r="J359" s="413"/>
      <c r="L359" s="151">
        <f>(L353+L357)*5.61%</f>
        <v>17695.63</v>
      </c>
    </row>
    <row r="360" spans="1:12" s="105" customFormat="1" ht="14.25" x14ac:dyDescent="0.2">
      <c r="D360" s="79" t="s">
        <v>70</v>
      </c>
      <c r="E360" s="79"/>
      <c r="F360" s="79"/>
      <c r="G360" s="79"/>
      <c r="H360" s="79"/>
      <c r="I360" s="94"/>
      <c r="J360" s="103"/>
      <c r="L360" s="151">
        <f>L353+L357+L359+L355</f>
        <v>333125.77</v>
      </c>
    </row>
    <row r="361" spans="1:12" s="105" customFormat="1" ht="14.25" x14ac:dyDescent="0.2">
      <c r="D361" s="79" t="s">
        <v>71</v>
      </c>
      <c r="E361" s="79"/>
      <c r="F361" s="79"/>
      <c r="G361" s="79"/>
      <c r="H361" s="79"/>
      <c r="I361" s="94"/>
      <c r="J361" s="94"/>
      <c r="L361" s="151">
        <f>L358*15%</f>
        <v>13492.08</v>
      </c>
    </row>
    <row r="362" spans="1:12" s="105" customFormat="1" ht="15" x14ac:dyDescent="0.25">
      <c r="D362" s="98" t="s">
        <v>72</v>
      </c>
      <c r="E362" s="98"/>
      <c r="F362" s="98"/>
      <c r="G362" s="98"/>
      <c r="H362" s="98"/>
      <c r="I362" s="97"/>
      <c r="J362" s="97"/>
      <c r="L362" s="152">
        <f>L360+L361+L356</f>
        <v>346617.85</v>
      </c>
    </row>
    <row r="363" spans="1:12" s="105" customFormat="1" x14ac:dyDescent="0.2"/>
    <row r="364" spans="1:12" s="105" customFormat="1" ht="12.75" x14ac:dyDescent="0.2">
      <c r="A364" s="104"/>
      <c r="B364" s="104"/>
      <c r="C364" s="104"/>
      <c r="D364" s="104"/>
      <c r="E364" s="104"/>
      <c r="F364" s="104"/>
      <c r="G364" s="104"/>
      <c r="H364" s="104"/>
      <c r="I364" s="104"/>
      <c r="J364" s="104"/>
      <c r="K364" s="104"/>
      <c r="L364" s="104"/>
    </row>
    <row r="365" spans="1:12" s="105" customFormat="1" ht="12.75" x14ac:dyDescent="0.2">
      <c r="A365" s="104"/>
      <c r="B365" s="104"/>
      <c r="C365" s="104"/>
      <c r="D365" s="104"/>
      <c r="E365" s="104"/>
      <c r="F365" s="104"/>
      <c r="G365" s="104"/>
      <c r="H365" s="104"/>
      <c r="I365" s="104"/>
      <c r="J365" s="104"/>
      <c r="K365" s="104"/>
      <c r="L365" s="104"/>
    </row>
    <row r="366" spans="1:12" s="105" customFormat="1" ht="12.75" x14ac:dyDescent="0.2">
      <c r="A366" s="104"/>
      <c r="B366" s="104"/>
      <c r="C366" s="104"/>
      <c r="D366" s="104"/>
      <c r="E366" s="104"/>
      <c r="F366" s="104"/>
      <c r="G366" s="104"/>
      <c r="H366" s="104"/>
      <c r="I366" s="104"/>
      <c r="J366" s="104"/>
      <c r="K366" s="104"/>
      <c r="L366" s="104"/>
    </row>
    <row r="367" spans="1:12" s="105" customFormat="1" ht="12.75" x14ac:dyDescent="0.2">
      <c r="A367" s="104"/>
      <c r="B367" s="104"/>
      <c r="C367" s="104"/>
      <c r="D367" s="104"/>
      <c r="E367" s="104"/>
      <c r="F367" s="104"/>
      <c r="G367" s="104"/>
      <c r="H367" s="104"/>
      <c r="I367" s="104"/>
      <c r="J367" s="104"/>
      <c r="K367" s="104"/>
      <c r="L367" s="104"/>
    </row>
    <row r="368" spans="1:12" s="105" customFormat="1" ht="15.75" x14ac:dyDescent="0.25">
      <c r="A368" s="104"/>
      <c r="B368" s="142" t="s">
        <v>131</v>
      </c>
      <c r="C368" s="143"/>
      <c r="D368" s="143"/>
      <c r="E368" s="104"/>
      <c r="F368" s="104"/>
      <c r="G368" s="104"/>
      <c r="H368" s="104"/>
      <c r="I368" s="104"/>
      <c r="J368" s="104"/>
      <c r="K368" s="104"/>
      <c r="L368" s="104"/>
    </row>
    <row r="369" spans="1:12" s="105" customFormat="1" ht="15" x14ac:dyDescent="0.2">
      <c r="A369" s="104"/>
      <c r="B369" s="143"/>
      <c r="C369" s="143"/>
      <c r="D369" s="143"/>
      <c r="E369" s="104"/>
      <c r="F369" s="104"/>
      <c r="G369" s="104"/>
      <c r="H369" s="104"/>
      <c r="I369" s="104"/>
      <c r="J369" s="104"/>
      <c r="K369" s="104"/>
      <c r="L369" s="104"/>
    </row>
    <row r="370" spans="1:12" s="105" customFormat="1" ht="15.75" x14ac:dyDescent="0.25">
      <c r="B370" s="142" t="s">
        <v>115</v>
      </c>
      <c r="C370" s="142"/>
      <c r="D370" s="142"/>
      <c r="E370" s="106"/>
      <c r="F370" s="106"/>
      <c r="G370" s="106"/>
      <c r="H370" s="106"/>
      <c r="I370" s="106"/>
      <c r="J370" s="106"/>
      <c r="K370" s="106"/>
      <c r="L370" s="106"/>
    </row>
    <row r="371" spans="1:12" s="105" customFormat="1" ht="15.75" x14ac:dyDescent="0.25">
      <c r="B371" s="144" t="s">
        <v>116</v>
      </c>
      <c r="C371" s="145"/>
      <c r="D371" s="145"/>
      <c r="E371" s="108"/>
      <c r="F371" s="107"/>
      <c r="G371" s="415"/>
      <c r="H371" s="415"/>
      <c r="I371" s="109"/>
      <c r="J371" s="110" t="s">
        <v>117</v>
      </c>
      <c r="K371" s="111"/>
      <c r="L371" s="112"/>
    </row>
    <row r="372" spans="1:12" s="105" customFormat="1" ht="15.75" x14ac:dyDescent="0.25">
      <c r="B372" s="192" t="s">
        <v>132</v>
      </c>
      <c r="C372" s="147"/>
      <c r="D372" s="147"/>
      <c r="E372" s="113"/>
      <c r="F372" s="113"/>
      <c r="G372" s="113"/>
      <c r="H372" s="113"/>
      <c r="I372" s="112"/>
      <c r="J372" s="112"/>
      <c r="K372" s="112"/>
      <c r="L372" s="112"/>
    </row>
    <row r="373" spans="1:12" s="105" customFormat="1" ht="15.75" x14ac:dyDescent="0.25">
      <c r="B373" s="114"/>
      <c r="C373" s="114"/>
      <c r="D373" s="148"/>
      <c r="E373" s="115"/>
      <c r="F373" s="115"/>
      <c r="G373" s="116"/>
      <c r="H373" s="117"/>
      <c r="I373" s="115"/>
      <c r="J373" s="118"/>
      <c r="K373" s="119"/>
    </row>
    <row r="374" spans="1:12" s="105" customFormat="1" ht="15.75" x14ac:dyDescent="0.25">
      <c r="B374" s="114"/>
      <c r="C374" s="114"/>
      <c r="D374" s="148"/>
      <c r="E374" s="115"/>
      <c r="F374" s="115"/>
      <c r="G374" s="116"/>
      <c r="H374" s="117"/>
      <c r="I374" s="115"/>
      <c r="J374" s="118"/>
      <c r="K374" s="119"/>
    </row>
    <row r="375" spans="1:12" s="105" customFormat="1" ht="15.75" x14ac:dyDescent="0.25">
      <c r="B375" s="114"/>
      <c r="C375" s="114"/>
      <c r="D375" s="148"/>
      <c r="E375" s="115"/>
      <c r="F375" s="115"/>
      <c r="G375" s="116"/>
      <c r="H375" s="117"/>
      <c r="I375" s="115"/>
      <c r="J375" s="118"/>
      <c r="K375" s="119"/>
    </row>
    <row r="376" spans="1:12" s="105" customFormat="1" ht="15.75" x14ac:dyDescent="0.25">
      <c r="B376" s="114"/>
      <c r="C376" s="114"/>
      <c r="D376" s="115"/>
      <c r="E376" s="115"/>
      <c r="F376" s="115"/>
      <c r="G376" s="115"/>
      <c r="H376" s="117"/>
      <c r="I376" s="115"/>
      <c r="J376" s="118"/>
      <c r="K376" s="119"/>
    </row>
    <row r="377" spans="1:12" s="105" customFormat="1" ht="15.75" x14ac:dyDescent="0.25">
      <c r="B377" s="142" t="s">
        <v>118</v>
      </c>
      <c r="C377" s="193"/>
      <c r="D377" s="142"/>
      <c r="E377" s="113"/>
      <c r="F377" s="106"/>
      <c r="G377" s="113"/>
      <c r="H377" s="106"/>
      <c r="I377" s="112"/>
      <c r="J377" s="112"/>
      <c r="K377" s="112"/>
    </row>
    <row r="378" spans="1:12" s="105" customFormat="1" ht="15.75" x14ac:dyDescent="0.25">
      <c r="B378" s="142"/>
      <c r="C378" s="193"/>
      <c r="D378" s="142"/>
      <c r="E378" s="113"/>
      <c r="F378" s="106"/>
      <c r="G378" s="113"/>
      <c r="H378" s="106"/>
      <c r="I378" s="112"/>
      <c r="J378" s="112"/>
      <c r="K378" s="112"/>
    </row>
    <row r="379" spans="1:12" s="105" customFormat="1" ht="15.75" x14ac:dyDescent="0.25">
      <c r="B379" s="416" t="s">
        <v>119</v>
      </c>
      <c r="C379" s="416"/>
      <c r="D379" s="416"/>
      <c r="E379" s="113"/>
      <c r="F379" s="106"/>
      <c r="G379" s="113"/>
      <c r="H379" s="106"/>
      <c r="I379" s="112"/>
      <c r="J379" s="112"/>
      <c r="K379" s="112"/>
    </row>
    <row r="380" spans="1:12" s="105" customFormat="1" ht="15.75" x14ac:dyDescent="0.25">
      <c r="B380" s="417" t="s">
        <v>120</v>
      </c>
      <c r="C380" s="417"/>
      <c r="D380" s="417"/>
      <c r="E380" s="120"/>
      <c r="F380" s="107"/>
      <c r="G380" s="108"/>
      <c r="H380" s="121"/>
      <c r="I380" s="111"/>
      <c r="J380" s="110" t="s">
        <v>84</v>
      </c>
      <c r="K380" s="111"/>
    </row>
    <row r="381" spans="1:12" s="105" customFormat="1" ht="15.75" x14ac:dyDescent="0.25">
      <c r="B381" s="192" t="s">
        <v>73</v>
      </c>
      <c r="C381" s="150"/>
      <c r="D381" s="150"/>
      <c r="E381" s="122"/>
      <c r="F381" s="113"/>
      <c r="G381" s="106"/>
      <c r="H381" s="106"/>
      <c r="I381" s="112"/>
      <c r="J381" s="112"/>
      <c r="K381" s="112"/>
    </row>
  </sheetData>
  <mergeCells count="201">
    <mergeCell ref="I356:J356"/>
    <mergeCell ref="I359:J359"/>
    <mergeCell ref="G371:H371"/>
    <mergeCell ref="B379:D379"/>
    <mergeCell ref="B380:D380"/>
    <mergeCell ref="I348:J348"/>
    <mergeCell ref="K348:L348"/>
    <mergeCell ref="I350:J350"/>
    <mergeCell ref="K350:L350"/>
    <mergeCell ref="I351:J351"/>
    <mergeCell ref="K351:L351"/>
    <mergeCell ref="D338:H338"/>
    <mergeCell ref="I338:J338"/>
    <mergeCell ref="K338:L338"/>
    <mergeCell ref="I345:J345"/>
    <mergeCell ref="K345:L345"/>
    <mergeCell ref="I347:J347"/>
    <mergeCell ref="K347:L347"/>
    <mergeCell ref="D336:H336"/>
    <mergeCell ref="I336:J336"/>
    <mergeCell ref="K336:L336"/>
    <mergeCell ref="D337:H337"/>
    <mergeCell ref="I337:J337"/>
    <mergeCell ref="K337:L337"/>
    <mergeCell ref="A332:H332"/>
    <mergeCell ref="I332:J332"/>
    <mergeCell ref="K332:L332"/>
    <mergeCell ref="D335:H335"/>
    <mergeCell ref="I335:J335"/>
    <mergeCell ref="K335:L335"/>
    <mergeCell ref="D329:H329"/>
    <mergeCell ref="I329:J329"/>
    <mergeCell ref="K329:L329"/>
    <mergeCell ref="D330:H330"/>
    <mergeCell ref="I330:J330"/>
    <mergeCell ref="K330:L330"/>
    <mergeCell ref="A325:H325"/>
    <mergeCell ref="I325:J325"/>
    <mergeCell ref="K325:L325"/>
    <mergeCell ref="D328:H328"/>
    <mergeCell ref="I328:J328"/>
    <mergeCell ref="K328:L328"/>
    <mergeCell ref="A313:L313"/>
    <mergeCell ref="A315:L315"/>
    <mergeCell ref="A317:H317"/>
    <mergeCell ref="I317:J317"/>
    <mergeCell ref="K317:L317"/>
    <mergeCell ref="A321:H321"/>
    <mergeCell ref="I321:J321"/>
    <mergeCell ref="K321:L321"/>
    <mergeCell ref="A295:L295"/>
    <mergeCell ref="I306:J306"/>
    <mergeCell ref="K306:L306"/>
    <mergeCell ref="A309:H309"/>
    <mergeCell ref="I309:J309"/>
    <mergeCell ref="K309:L309"/>
    <mergeCell ref="A285:H285"/>
    <mergeCell ref="I285:J285"/>
    <mergeCell ref="K285:L285"/>
    <mergeCell ref="A289:L289"/>
    <mergeCell ref="A291:H291"/>
    <mergeCell ref="I291:J291"/>
    <mergeCell ref="K291:L291"/>
    <mergeCell ref="I262:J262"/>
    <mergeCell ref="K262:L262"/>
    <mergeCell ref="C265:K265"/>
    <mergeCell ref="I276:J276"/>
    <mergeCell ref="K276:L276"/>
    <mergeCell ref="I282:J282"/>
    <mergeCell ref="K282:L282"/>
    <mergeCell ref="C227:K227"/>
    <mergeCell ref="I238:J238"/>
    <mergeCell ref="K238:L238"/>
    <mergeCell ref="I244:J244"/>
    <mergeCell ref="K244:L244"/>
    <mergeCell ref="I256:J256"/>
    <mergeCell ref="K256:L256"/>
    <mergeCell ref="I206:J206"/>
    <mergeCell ref="K206:L206"/>
    <mergeCell ref="I218:J218"/>
    <mergeCell ref="K218:L218"/>
    <mergeCell ref="I224:J224"/>
    <mergeCell ref="K224:L224"/>
    <mergeCell ref="I180:J180"/>
    <mergeCell ref="K180:L180"/>
    <mergeCell ref="I186:J186"/>
    <mergeCell ref="K186:L186"/>
    <mergeCell ref="C189:K189"/>
    <mergeCell ref="I200:J200"/>
    <mergeCell ref="K200:L200"/>
    <mergeCell ref="I149:J149"/>
    <mergeCell ref="K149:L149"/>
    <mergeCell ref="I161:J161"/>
    <mergeCell ref="K161:L161"/>
    <mergeCell ref="I167:J167"/>
    <mergeCell ref="K167:L167"/>
    <mergeCell ref="A121:L121"/>
    <mergeCell ref="A123:H123"/>
    <mergeCell ref="I123:J123"/>
    <mergeCell ref="K123:L123"/>
    <mergeCell ref="A127:L127"/>
    <mergeCell ref="I138:J138"/>
    <mergeCell ref="K138:L138"/>
    <mergeCell ref="A111:L111"/>
    <mergeCell ref="A113:H113"/>
    <mergeCell ref="I113:J113"/>
    <mergeCell ref="K113:L113"/>
    <mergeCell ref="A117:H117"/>
    <mergeCell ref="I117:J117"/>
    <mergeCell ref="K117:L117"/>
    <mergeCell ref="A99:L99"/>
    <mergeCell ref="A101:H101"/>
    <mergeCell ref="I101:J101"/>
    <mergeCell ref="K101:L101"/>
    <mergeCell ref="A105:L105"/>
    <mergeCell ref="A107:H107"/>
    <mergeCell ref="I107:J107"/>
    <mergeCell ref="K107:L107"/>
    <mergeCell ref="A87:L87"/>
    <mergeCell ref="A89:H89"/>
    <mergeCell ref="I89:J89"/>
    <mergeCell ref="K89:L89"/>
    <mergeCell ref="A93:L93"/>
    <mergeCell ref="A95:H95"/>
    <mergeCell ref="I95:J95"/>
    <mergeCell ref="K95:L95"/>
    <mergeCell ref="A75:L75"/>
    <mergeCell ref="A77:H77"/>
    <mergeCell ref="I77:J77"/>
    <mergeCell ref="K77:L77"/>
    <mergeCell ref="A81:L81"/>
    <mergeCell ref="A83:H83"/>
    <mergeCell ref="I83:J83"/>
    <mergeCell ref="K83:L83"/>
    <mergeCell ref="A63:L63"/>
    <mergeCell ref="A65:H65"/>
    <mergeCell ref="I65:J65"/>
    <mergeCell ref="K65:L65"/>
    <mergeCell ref="A69:L69"/>
    <mergeCell ref="A71:H71"/>
    <mergeCell ref="I71:J71"/>
    <mergeCell ref="K71:L71"/>
    <mergeCell ref="A51:L51"/>
    <mergeCell ref="A53:H53"/>
    <mergeCell ref="I53:J53"/>
    <mergeCell ref="K53:L53"/>
    <mergeCell ref="A57:L57"/>
    <mergeCell ref="A59:H59"/>
    <mergeCell ref="I59:J59"/>
    <mergeCell ref="K59:L59"/>
    <mergeCell ref="A41:L41"/>
    <mergeCell ref="A43:L43"/>
    <mergeCell ref="A45:L45"/>
    <mergeCell ref="A47:H47"/>
    <mergeCell ref="I47:J47"/>
    <mergeCell ref="K47:L47"/>
    <mergeCell ref="H31:H38"/>
    <mergeCell ref="I31:I38"/>
    <mergeCell ref="J31:J38"/>
    <mergeCell ref="K31:K38"/>
    <mergeCell ref="L31:L38"/>
    <mergeCell ref="A33:A38"/>
    <mergeCell ref="B33:B38"/>
    <mergeCell ref="A25:L25"/>
    <mergeCell ref="A26:L26"/>
    <mergeCell ref="H28:I28"/>
    <mergeCell ref="A30:L30"/>
    <mergeCell ref="A31:B32"/>
    <mergeCell ref="C31:C38"/>
    <mergeCell ref="D31:D38"/>
    <mergeCell ref="E31:E38"/>
    <mergeCell ref="F31:F38"/>
    <mergeCell ref="G31:G38"/>
    <mergeCell ref="G15:H15"/>
    <mergeCell ref="J15:L15"/>
    <mergeCell ref="J16:L16"/>
    <mergeCell ref="J17:L17"/>
    <mergeCell ref="J18:L18"/>
    <mergeCell ref="G20:G21"/>
    <mergeCell ref="H20:H21"/>
    <mergeCell ref="I20:J20"/>
    <mergeCell ref="C11:H11"/>
    <mergeCell ref="J11:L12"/>
    <mergeCell ref="C12:H12"/>
    <mergeCell ref="C13:H13"/>
    <mergeCell ref="G14:I14"/>
    <mergeCell ref="J14:L14"/>
    <mergeCell ref="C7:H7"/>
    <mergeCell ref="J7:L8"/>
    <mergeCell ref="A8:B8"/>
    <mergeCell ref="C8:H8"/>
    <mergeCell ref="C9:H9"/>
    <mergeCell ref="J9:L10"/>
    <mergeCell ref="C10:H10"/>
    <mergeCell ref="I1:L1"/>
    <mergeCell ref="I2:L2"/>
    <mergeCell ref="J3:L3"/>
    <mergeCell ref="J4:L4"/>
    <mergeCell ref="J5:L6"/>
    <mergeCell ref="A6:B6"/>
    <mergeCell ref="C6:H6"/>
  </mergeCells>
  <pageMargins left="0.39370078740157483" right="0.19685039370078741" top="0.19685039370078741" bottom="0.39370078740157483" header="0.31496062992125984" footer="0.31496062992125984"/>
  <pageSetup paperSize="9" scale="66" fitToHeight="0" orientation="portrait" blackAndWhite="1" r:id="rId1"/>
  <headerFooter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F112"/>
  <sheetViews>
    <sheetView view="pageBreakPreview" topLeftCell="A16" zoomScale="60" zoomScaleNormal="100" workbookViewId="0">
      <selection activeCell="A26" sqref="A1:L26"/>
    </sheetView>
  </sheetViews>
  <sheetFormatPr defaultColWidth="9.33203125" defaultRowHeight="11.25" x14ac:dyDescent="0.2"/>
  <cols>
    <col min="1" max="2" width="9.33203125" style="47"/>
    <col min="3" max="3" width="13.6640625" style="47" customWidth="1"/>
    <col min="4" max="4" width="47.5" style="47" customWidth="1"/>
    <col min="5" max="5" width="13.6640625" style="47" customWidth="1"/>
    <col min="6" max="6" width="11.1640625" style="47" customWidth="1"/>
    <col min="7" max="10" width="15" style="47" customWidth="1"/>
    <col min="11" max="11" width="10.6640625" style="47" bestFit="1" customWidth="1"/>
    <col min="12" max="12" width="14.5" style="47" customWidth="1"/>
    <col min="13" max="14" width="9.33203125" style="47"/>
    <col min="15" max="29" width="0" style="47" hidden="1" customWidth="1"/>
    <col min="30" max="30" width="106.1640625" style="47" hidden="1" customWidth="1"/>
    <col min="31" max="31" width="0" style="47" hidden="1" customWidth="1"/>
    <col min="32" max="32" width="117.83203125" style="47" hidden="1" customWidth="1"/>
    <col min="33" max="36" width="0" style="47" hidden="1" customWidth="1"/>
    <col min="37" max="16384" width="9.33203125" style="47"/>
  </cols>
  <sheetData>
    <row r="1" spans="1:30" ht="14.25" x14ac:dyDescent="0.2">
      <c r="A1" s="79"/>
      <c r="B1" s="79"/>
      <c r="C1" s="79"/>
      <c r="D1" s="79"/>
      <c r="E1" s="79"/>
      <c r="F1" s="79"/>
      <c r="G1" s="79"/>
      <c r="H1" s="79"/>
      <c r="I1" s="430" t="s">
        <v>15</v>
      </c>
      <c r="J1" s="430"/>
      <c r="K1" s="430"/>
      <c r="L1" s="430"/>
    </row>
    <row r="2" spans="1:30" ht="14.25" x14ac:dyDescent="0.2">
      <c r="A2" s="79"/>
      <c r="B2" s="79"/>
      <c r="C2" s="79"/>
      <c r="D2" s="79"/>
      <c r="E2" s="79"/>
      <c r="F2" s="79"/>
      <c r="G2" s="79"/>
      <c r="H2" s="79"/>
      <c r="I2" s="430" t="s">
        <v>16</v>
      </c>
      <c r="J2" s="430"/>
      <c r="K2" s="430"/>
      <c r="L2" s="430"/>
    </row>
    <row r="3" spans="1:30" ht="14.25" x14ac:dyDescent="0.2">
      <c r="A3" s="79"/>
      <c r="B3" s="79"/>
      <c r="C3" s="79"/>
      <c r="D3" s="79"/>
      <c r="E3" s="79"/>
      <c r="F3" s="79"/>
      <c r="G3" s="79"/>
      <c r="H3" s="79"/>
      <c r="I3" s="79"/>
      <c r="J3" s="431" t="s">
        <v>17</v>
      </c>
      <c r="K3" s="431"/>
      <c r="L3" s="431"/>
    </row>
    <row r="4" spans="1:30" ht="14.25" x14ac:dyDescent="0.2">
      <c r="A4" s="79"/>
      <c r="B4" s="79"/>
      <c r="C4" s="79"/>
      <c r="D4" s="79"/>
      <c r="E4" s="79"/>
      <c r="F4" s="79"/>
      <c r="G4" s="79"/>
      <c r="H4" s="79"/>
      <c r="I4" s="162" t="s">
        <v>18</v>
      </c>
      <c r="J4" s="432" t="s">
        <v>19</v>
      </c>
      <c r="K4" s="432"/>
      <c r="L4" s="432"/>
    </row>
    <row r="5" spans="1:30" ht="14.25" x14ac:dyDescent="0.2">
      <c r="A5" s="79"/>
      <c r="B5" s="79"/>
      <c r="C5" s="79"/>
      <c r="D5" s="79"/>
      <c r="E5" s="79"/>
      <c r="F5" s="79"/>
      <c r="G5" s="79"/>
      <c r="H5" s="79"/>
      <c r="I5" s="79"/>
      <c r="J5" s="421" t="s">
        <v>83</v>
      </c>
      <c r="K5" s="422"/>
      <c r="L5" s="423"/>
    </row>
    <row r="6" spans="1:30" ht="29.25" customHeight="1" x14ac:dyDescent="0.2">
      <c r="A6" s="427" t="s">
        <v>85</v>
      </c>
      <c r="B6" s="427"/>
      <c r="C6" s="428" t="s">
        <v>86</v>
      </c>
      <c r="D6" s="428"/>
      <c r="E6" s="428"/>
      <c r="F6" s="428"/>
      <c r="G6" s="428"/>
      <c r="H6" s="428"/>
      <c r="I6" s="162" t="s">
        <v>21</v>
      </c>
      <c r="J6" s="424"/>
      <c r="K6" s="425"/>
      <c r="L6" s="426"/>
    </row>
    <row r="7" spans="1:30" ht="14.25" x14ac:dyDescent="0.2">
      <c r="A7" s="80"/>
      <c r="B7" s="80"/>
      <c r="C7" s="420" t="s">
        <v>22</v>
      </c>
      <c r="D7" s="420"/>
      <c r="E7" s="420"/>
      <c r="F7" s="420"/>
      <c r="G7" s="420"/>
      <c r="H7" s="420"/>
      <c r="I7" s="79"/>
      <c r="J7" s="421" t="s">
        <v>56</v>
      </c>
      <c r="K7" s="422"/>
      <c r="L7" s="423"/>
    </row>
    <row r="8" spans="1:30" ht="27" customHeight="1" x14ac:dyDescent="0.2">
      <c r="A8" s="427" t="s">
        <v>87</v>
      </c>
      <c r="B8" s="427"/>
      <c r="C8" s="428" t="s">
        <v>88</v>
      </c>
      <c r="D8" s="428"/>
      <c r="E8" s="428"/>
      <c r="F8" s="428"/>
      <c r="G8" s="428"/>
      <c r="H8" s="428"/>
      <c r="I8" s="162" t="s">
        <v>21</v>
      </c>
      <c r="J8" s="424"/>
      <c r="K8" s="425"/>
      <c r="L8" s="426"/>
    </row>
    <row r="9" spans="1:30" ht="14.25" x14ac:dyDescent="0.2">
      <c r="A9" s="79"/>
      <c r="B9" s="79"/>
      <c r="C9" s="420" t="s">
        <v>22</v>
      </c>
      <c r="D9" s="420"/>
      <c r="E9" s="420"/>
      <c r="F9" s="420"/>
      <c r="G9" s="420"/>
      <c r="H9" s="420"/>
      <c r="I9" s="79"/>
      <c r="J9" s="421"/>
      <c r="K9" s="422"/>
      <c r="L9" s="423"/>
    </row>
    <row r="10" spans="1:30" ht="14.25" x14ac:dyDescent="0.2">
      <c r="A10" s="79" t="s">
        <v>23</v>
      </c>
      <c r="B10" s="79"/>
      <c r="C10" s="429" t="s">
        <v>89</v>
      </c>
      <c r="D10" s="429"/>
      <c r="E10" s="429"/>
      <c r="F10" s="429"/>
      <c r="G10" s="429"/>
      <c r="H10" s="429"/>
      <c r="I10" s="79"/>
      <c r="J10" s="424"/>
      <c r="K10" s="425"/>
      <c r="L10" s="426"/>
    </row>
    <row r="11" spans="1:30" ht="14.25" x14ac:dyDescent="0.2">
      <c r="A11" s="79"/>
      <c r="B11" s="79"/>
      <c r="C11" s="420" t="s">
        <v>24</v>
      </c>
      <c r="D11" s="420"/>
      <c r="E11" s="420"/>
      <c r="F11" s="420"/>
      <c r="G11" s="420"/>
      <c r="H11" s="420"/>
      <c r="I11" s="79"/>
      <c r="J11" s="450" t="s">
        <v>20</v>
      </c>
      <c r="K11" s="450"/>
      <c r="L11" s="450"/>
    </row>
    <row r="12" spans="1:30" ht="14.25" x14ac:dyDescent="0.2">
      <c r="A12" s="79" t="s">
        <v>25</v>
      </c>
      <c r="B12" s="79"/>
      <c r="C12" s="451" t="s">
        <v>90</v>
      </c>
      <c r="D12" s="451"/>
      <c r="E12" s="451"/>
      <c r="F12" s="451"/>
      <c r="G12" s="451"/>
      <c r="H12" s="451"/>
      <c r="I12" s="79"/>
      <c r="J12" s="450"/>
      <c r="K12" s="450"/>
      <c r="L12" s="450"/>
    </row>
    <row r="13" spans="1:30" ht="14.25" x14ac:dyDescent="0.2">
      <c r="A13" s="79"/>
      <c r="B13" s="79"/>
      <c r="C13" s="452" t="s">
        <v>26</v>
      </c>
      <c r="D13" s="452"/>
      <c r="E13" s="452"/>
      <c r="F13" s="452"/>
      <c r="G13" s="452"/>
      <c r="H13" s="452"/>
      <c r="I13" s="79"/>
      <c r="J13" s="79"/>
      <c r="K13" s="79"/>
      <c r="L13" s="79"/>
    </row>
    <row r="14" spans="1:30" ht="14.25" x14ac:dyDescent="0.2">
      <c r="A14" s="79"/>
      <c r="B14" s="79"/>
      <c r="C14" s="79"/>
      <c r="D14" s="79"/>
      <c r="E14" s="79"/>
      <c r="F14" s="79"/>
      <c r="G14" s="433" t="s">
        <v>27</v>
      </c>
      <c r="H14" s="433"/>
      <c r="I14" s="433"/>
      <c r="J14" s="431"/>
      <c r="K14" s="431"/>
      <c r="L14" s="431"/>
    </row>
    <row r="15" spans="1:30" ht="15" customHeight="1" x14ac:dyDescent="0.2">
      <c r="A15" s="79"/>
      <c r="B15" s="79"/>
      <c r="C15" s="79"/>
      <c r="D15" s="79"/>
      <c r="E15" s="79"/>
      <c r="F15" s="79"/>
      <c r="G15" s="433" t="s">
        <v>28</v>
      </c>
      <c r="H15" s="434"/>
      <c r="I15" s="81" t="s">
        <v>29</v>
      </c>
      <c r="J15" s="435" t="s">
        <v>91</v>
      </c>
      <c r="K15" s="436"/>
      <c r="L15" s="437"/>
      <c r="AD15" s="164" t="s">
        <v>160</v>
      </c>
    </row>
    <row r="16" spans="1:30" ht="14.25" x14ac:dyDescent="0.2">
      <c r="A16" s="79"/>
      <c r="B16" s="79"/>
      <c r="C16" s="79"/>
      <c r="D16" s="79"/>
      <c r="E16" s="79"/>
      <c r="F16" s="79"/>
      <c r="G16" s="79"/>
      <c r="H16" s="79"/>
      <c r="I16" s="163" t="s">
        <v>30</v>
      </c>
      <c r="J16" s="438">
        <v>41544</v>
      </c>
      <c r="K16" s="438"/>
      <c r="L16" s="438"/>
    </row>
    <row r="17" spans="1:30" ht="15.75" customHeight="1" x14ac:dyDescent="0.2">
      <c r="A17" s="79"/>
      <c r="B17" s="79"/>
      <c r="C17" s="79"/>
      <c r="D17" s="79"/>
      <c r="E17" s="79"/>
      <c r="F17" s="79"/>
      <c r="G17" s="79"/>
      <c r="H17" s="79"/>
      <c r="I17" s="82"/>
      <c r="J17" s="439">
        <v>25</v>
      </c>
      <c r="K17" s="440"/>
      <c r="L17" s="441"/>
      <c r="AD17" s="155" t="str">
        <f>IF([80]Source!G12&lt;&gt;"Новый объект", [80]Source!G12, "")</f>
        <v>(48701 доп.1) 12-4017-Л-Р-11.4.1.2.1-АР1-СМ1-Доп1  Ст.комплекс Аминьевское шоссе. Вестибюль №2, камера съездов, ТПП. АР. Уровень кассового зала и машинного зала эскалаторов.</v>
      </c>
    </row>
    <row r="18" spans="1:30" ht="14.25" x14ac:dyDescent="0.2">
      <c r="A18" s="79"/>
      <c r="B18" s="79"/>
      <c r="C18" s="79"/>
      <c r="D18" s="79"/>
      <c r="E18" s="79"/>
      <c r="F18" s="79"/>
      <c r="G18" s="79"/>
      <c r="H18" s="79"/>
      <c r="I18" s="82"/>
      <c r="J18" s="442">
        <v>44158</v>
      </c>
      <c r="K18" s="443"/>
      <c r="L18" s="444"/>
    </row>
    <row r="19" spans="1:30" ht="14.25" x14ac:dyDescent="0.2">
      <c r="A19" s="79"/>
      <c r="B19" s="79"/>
      <c r="C19" s="79"/>
      <c r="D19" s="79"/>
      <c r="E19" s="79"/>
      <c r="F19" s="79"/>
      <c r="G19" s="79"/>
      <c r="H19" s="79"/>
      <c r="I19" s="82"/>
      <c r="J19" s="156"/>
      <c r="K19" s="156"/>
      <c r="L19" s="156"/>
    </row>
    <row r="20" spans="1:30" ht="14.25" x14ac:dyDescent="0.2">
      <c r="A20" s="79"/>
      <c r="B20" s="79"/>
      <c r="C20" s="79"/>
      <c r="D20" s="79"/>
      <c r="E20" s="79"/>
      <c r="F20" s="79"/>
      <c r="G20" s="445" t="s">
        <v>31</v>
      </c>
      <c r="H20" s="447" t="s">
        <v>32</v>
      </c>
      <c r="I20" s="447" t="s">
        <v>33</v>
      </c>
      <c r="J20" s="449"/>
      <c r="K20" s="156"/>
      <c r="L20" s="156"/>
    </row>
    <row r="21" spans="1:30" ht="14.25" x14ac:dyDescent="0.2">
      <c r="A21" s="79"/>
      <c r="B21" s="79"/>
      <c r="C21" s="79"/>
      <c r="D21" s="79"/>
      <c r="E21" s="79"/>
      <c r="F21" s="79"/>
      <c r="G21" s="446"/>
      <c r="H21" s="448"/>
      <c r="I21" s="161" t="s">
        <v>34</v>
      </c>
      <c r="J21" s="160" t="s">
        <v>35</v>
      </c>
      <c r="K21" s="156"/>
      <c r="L21" s="156"/>
    </row>
    <row r="22" spans="1:30" ht="14.25" x14ac:dyDescent="0.2">
      <c r="A22" s="79"/>
      <c r="B22" s="79"/>
      <c r="C22" s="79"/>
      <c r="D22" s="79"/>
      <c r="E22" s="79"/>
      <c r="F22" s="79"/>
      <c r="G22" s="157" t="s">
        <v>137</v>
      </c>
      <c r="H22" s="158">
        <v>44255</v>
      </c>
      <c r="I22" s="158">
        <v>44228</v>
      </c>
      <c r="J22" s="159">
        <f>H22</f>
        <v>44255</v>
      </c>
      <c r="K22" s="79"/>
      <c r="L22" s="79"/>
    </row>
    <row r="23" spans="1:30" ht="14.25" x14ac:dyDescent="0.2">
      <c r="A23" s="79"/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1:30" ht="14.25" customHeight="1" x14ac:dyDescent="0.2">
      <c r="A24" s="79"/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1:30" ht="18" x14ac:dyDescent="0.25">
      <c r="A25" s="453" t="s">
        <v>36</v>
      </c>
      <c r="B25" s="453"/>
      <c r="C25" s="453"/>
      <c r="D25" s="453"/>
      <c r="E25" s="453"/>
      <c r="F25" s="453"/>
      <c r="G25" s="453"/>
      <c r="H25" s="453"/>
      <c r="I25" s="453"/>
      <c r="J25" s="453"/>
      <c r="K25" s="453"/>
      <c r="L25" s="453"/>
    </row>
    <row r="26" spans="1:30" ht="18" x14ac:dyDescent="0.25">
      <c r="A26" s="453" t="s">
        <v>37</v>
      </c>
      <c r="B26" s="453"/>
      <c r="C26" s="453"/>
      <c r="D26" s="453"/>
      <c r="E26" s="453"/>
      <c r="F26" s="453"/>
      <c r="G26" s="453"/>
      <c r="H26" s="453"/>
      <c r="I26" s="453"/>
      <c r="J26" s="453"/>
      <c r="K26" s="453"/>
      <c r="L26" s="453"/>
    </row>
    <row r="27" spans="1:30" ht="14.25" x14ac:dyDescent="0.2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</row>
    <row r="28" spans="1:30" ht="15" hidden="1" x14ac:dyDescent="0.25">
      <c r="A28" s="44" t="s">
        <v>66</v>
      </c>
      <c r="B28" s="44"/>
      <c r="C28" s="44"/>
      <c r="D28" s="44"/>
      <c r="E28" s="44"/>
      <c r="F28" s="44"/>
      <c r="G28" s="44"/>
      <c r="H28" s="396">
        <f>([80]Source!P1593/1000)</f>
        <v>163.93</v>
      </c>
      <c r="I28" s="396"/>
      <c r="J28" s="44" t="s">
        <v>67</v>
      </c>
      <c r="K28" s="44"/>
      <c r="L28" s="44"/>
    </row>
    <row r="29" spans="1:30" ht="14.25" x14ac:dyDescent="0.2">
      <c r="A29" s="397" t="s">
        <v>122</v>
      </c>
      <c r="B29" s="397"/>
      <c r="C29" s="397"/>
      <c r="D29" s="397"/>
      <c r="E29" s="397"/>
      <c r="F29" s="397"/>
      <c r="G29" s="397"/>
      <c r="H29" s="397"/>
      <c r="I29" s="397"/>
      <c r="J29" s="397"/>
      <c r="K29" s="397"/>
      <c r="L29" s="397"/>
    </row>
    <row r="30" spans="1:30" ht="14.25" x14ac:dyDescent="0.2">
      <c r="A30" s="395" t="s">
        <v>38</v>
      </c>
      <c r="B30" s="395"/>
      <c r="C30" s="395" t="s">
        <v>39</v>
      </c>
      <c r="D30" s="395" t="s">
        <v>40</v>
      </c>
      <c r="E30" s="395" t="s">
        <v>123</v>
      </c>
      <c r="F30" s="395" t="s">
        <v>68</v>
      </c>
      <c r="G30" s="395" t="s">
        <v>69</v>
      </c>
      <c r="H30" s="392" t="s">
        <v>124</v>
      </c>
      <c r="I30" s="392" t="s">
        <v>125</v>
      </c>
      <c r="J30" s="395" t="s">
        <v>126</v>
      </c>
      <c r="K30" s="395" t="s">
        <v>127</v>
      </c>
      <c r="L30" s="395" t="s">
        <v>128</v>
      </c>
    </row>
    <row r="31" spans="1:30" x14ac:dyDescent="0.2">
      <c r="A31" s="392" t="s">
        <v>41</v>
      </c>
      <c r="B31" s="392" t="s">
        <v>42</v>
      </c>
      <c r="C31" s="395"/>
      <c r="D31" s="395"/>
      <c r="E31" s="395"/>
      <c r="F31" s="395"/>
      <c r="G31" s="395"/>
      <c r="H31" s="393"/>
      <c r="I31" s="393"/>
      <c r="J31" s="395"/>
      <c r="K31" s="395"/>
      <c r="L31" s="395"/>
    </row>
    <row r="32" spans="1:30" x14ac:dyDescent="0.2">
      <c r="A32" s="393"/>
      <c r="B32" s="393"/>
      <c r="C32" s="395"/>
      <c r="D32" s="395"/>
      <c r="E32" s="395"/>
      <c r="F32" s="395"/>
      <c r="G32" s="395"/>
      <c r="H32" s="393"/>
      <c r="I32" s="393"/>
      <c r="J32" s="395"/>
      <c r="K32" s="395"/>
      <c r="L32" s="395"/>
    </row>
    <row r="33" spans="1:22" x14ac:dyDescent="0.2">
      <c r="A33" s="393"/>
      <c r="B33" s="393"/>
      <c r="C33" s="395"/>
      <c r="D33" s="395"/>
      <c r="E33" s="395"/>
      <c r="F33" s="395"/>
      <c r="G33" s="395"/>
      <c r="H33" s="393"/>
      <c r="I33" s="393"/>
      <c r="J33" s="395"/>
      <c r="K33" s="395"/>
      <c r="L33" s="395"/>
    </row>
    <row r="34" spans="1:22" x14ac:dyDescent="0.2">
      <c r="A34" s="393"/>
      <c r="B34" s="393"/>
      <c r="C34" s="395"/>
      <c r="D34" s="395"/>
      <c r="E34" s="395"/>
      <c r="F34" s="395"/>
      <c r="G34" s="395"/>
      <c r="H34" s="393"/>
      <c r="I34" s="393"/>
      <c r="J34" s="395"/>
      <c r="K34" s="395"/>
      <c r="L34" s="395"/>
    </row>
    <row r="35" spans="1:22" x14ac:dyDescent="0.2">
      <c r="A35" s="394"/>
      <c r="B35" s="394"/>
      <c r="C35" s="395"/>
      <c r="D35" s="395"/>
      <c r="E35" s="395"/>
      <c r="F35" s="395"/>
      <c r="G35" s="395"/>
      <c r="H35" s="394"/>
      <c r="I35" s="394"/>
      <c r="J35" s="395"/>
      <c r="K35" s="395"/>
      <c r="L35" s="395"/>
    </row>
    <row r="36" spans="1:22" ht="14.25" x14ac:dyDescent="0.2">
      <c r="A36" s="83">
        <v>1</v>
      </c>
      <c r="B36" s="83">
        <v>2</v>
      </c>
      <c r="C36" s="83">
        <v>3</v>
      </c>
      <c r="D36" s="83">
        <v>4</v>
      </c>
      <c r="E36" s="83">
        <v>5</v>
      </c>
      <c r="F36" s="83">
        <v>6</v>
      </c>
      <c r="G36" s="83">
        <v>7</v>
      </c>
      <c r="H36" s="83">
        <v>8</v>
      </c>
      <c r="I36" s="83">
        <v>9</v>
      </c>
      <c r="J36" s="83">
        <v>10</v>
      </c>
      <c r="K36" s="83">
        <v>11</v>
      </c>
      <c r="L36" s="83">
        <v>12</v>
      </c>
    </row>
    <row r="38" spans="1:22" ht="16.5" x14ac:dyDescent="0.25">
      <c r="A38" s="406" t="s">
        <v>138</v>
      </c>
      <c r="B38" s="406"/>
      <c r="C38" s="406"/>
      <c r="D38" s="406"/>
      <c r="E38" s="406"/>
      <c r="F38" s="406"/>
      <c r="G38" s="406"/>
      <c r="H38" s="406"/>
      <c r="I38" s="406"/>
      <c r="J38" s="406"/>
      <c r="K38" s="406"/>
      <c r="L38" s="406"/>
    </row>
    <row r="39" spans="1:22" ht="51.75" customHeight="1" x14ac:dyDescent="0.2">
      <c r="A39" s="455" t="s">
        <v>133</v>
      </c>
      <c r="B39" s="455"/>
      <c r="C39" s="455"/>
      <c r="D39" s="455"/>
      <c r="E39" s="455"/>
      <c r="F39" s="455"/>
      <c r="G39" s="455"/>
      <c r="H39" s="455"/>
      <c r="I39" s="455"/>
      <c r="J39" s="455"/>
      <c r="K39" s="455"/>
      <c r="L39" s="455"/>
    </row>
    <row r="40" spans="1:22" ht="14.25" hidden="1" x14ac:dyDescent="0.2">
      <c r="A40" s="456" t="s">
        <v>134</v>
      </c>
      <c r="B40" s="456"/>
      <c r="C40" s="456"/>
      <c r="D40" s="456"/>
      <c r="E40" s="139"/>
      <c r="F40" s="139"/>
      <c r="G40" s="139"/>
      <c r="H40" s="139"/>
      <c r="I40" s="139"/>
      <c r="J40" s="139"/>
      <c r="K40" s="139"/>
      <c r="L40" s="139"/>
    </row>
    <row r="41" spans="1:22" ht="16.5" x14ac:dyDescent="0.25">
      <c r="A41" s="402" t="str">
        <f>CONCATENATE("Подраздел: ",IF([80]Source!G1388&lt;&gt;"Новый подраздел", [80]Source!G1388, ""))</f>
        <v>Подраздел: Закладные элементы в полах</v>
      </c>
      <c r="B41" s="402"/>
      <c r="C41" s="402"/>
      <c r="D41" s="402"/>
      <c r="E41" s="402"/>
      <c r="F41" s="402"/>
      <c r="G41" s="402"/>
      <c r="H41" s="402"/>
      <c r="I41" s="402"/>
      <c r="J41" s="402"/>
      <c r="K41" s="402"/>
      <c r="L41" s="402"/>
    </row>
    <row r="42" spans="1:22" ht="42.75" x14ac:dyDescent="0.2">
      <c r="A42" s="84">
        <v>1</v>
      </c>
      <c r="B42" s="84" t="str">
        <f>[80]Source!E1398</f>
        <v>182</v>
      </c>
      <c r="C42" s="85" t="str">
        <f>[80]Source!F1398</f>
        <v>3.6-6-6</v>
      </c>
      <c r="D42" s="85" t="s">
        <v>135</v>
      </c>
      <c r="E42" s="86" t="str">
        <f>[80]Source!H1398</f>
        <v>1 Т</v>
      </c>
      <c r="F42" s="87">
        <f>[80]Source!I1398</f>
        <v>2.5539999999999998</v>
      </c>
      <c r="G42" s="88"/>
      <c r="H42" s="89"/>
      <c r="I42" s="87"/>
      <c r="J42" s="93"/>
      <c r="K42" s="87"/>
      <c r="L42" s="93"/>
      <c r="Q42" s="47">
        <f>[80]Source!X1398</f>
        <v>2347.25</v>
      </c>
      <c r="R42" s="47">
        <f>[80]Source!X1399</f>
        <v>52752.7</v>
      </c>
      <c r="S42" s="47">
        <f>[80]Source!Y1398</f>
        <v>1676.61</v>
      </c>
      <c r="T42" s="47">
        <f>[80]Source!Y1399</f>
        <v>37270.93</v>
      </c>
      <c r="U42" s="47">
        <f>ROUND((175/100)*ROUND([80]Source!R1398, 2), 2)</f>
        <v>305.8</v>
      </c>
      <c r="V42" s="47">
        <f>ROUND((157/100)*ROUND([80]Source!R1399, 2), 2)</f>
        <v>6567.75</v>
      </c>
    </row>
    <row r="43" spans="1:22" ht="14.25" x14ac:dyDescent="0.2">
      <c r="A43" s="84"/>
      <c r="B43" s="84"/>
      <c r="C43" s="85"/>
      <c r="D43" s="85" t="s">
        <v>43</v>
      </c>
      <c r="E43" s="86"/>
      <c r="F43" s="87"/>
      <c r="G43" s="88">
        <f>[80]Source!AO1398</f>
        <v>536.35</v>
      </c>
      <c r="H43" s="89" t="str">
        <f>[80]Source!DG1398</f>
        <v>)*1,67</v>
      </c>
      <c r="I43" s="87">
        <f>[80]Source!AV1399</f>
        <v>1.0469999999999999</v>
      </c>
      <c r="J43" s="93">
        <f>[80]Source!S1398</f>
        <v>2395.15</v>
      </c>
      <c r="K43" s="87">
        <f>IF([80]Source!BA1399&lt;&gt; 0, [80]Source!BA1399, 1)</f>
        <v>23.94</v>
      </c>
      <c r="L43" s="93">
        <f>[80]Source!S1399</f>
        <v>57339.89</v>
      </c>
    </row>
    <row r="44" spans="1:22" ht="14.25" x14ac:dyDescent="0.2">
      <c r="A44" s="84"/>
      <c r="B44" s="84"/>
      <c r="C44" s="85"/>
      <c r="D44" s="85" t="s">
        <v>44</v>
      </c>
      <c r="E44" s="86"/>
      <c r="F44" s="87"/>
      <c r="G44" s="88">
        <f>[80]Source!AM1398</f>
        <v>258.33999999999997</v>
      </c>
      <c r="H44" s="89">
        <f>[80]Source!DE1398</f>
        <v>0</v>
      </c>
      <c r="I44" s="87">
        <f>[80]Source!AV1399</f>
        <v>1.0469999999999999</v>
      </c>
      <c r="J44" s="93">
        <f>[80]Source!Q1398-J56</f>
        <v>690.81</v>
      </c>
      <c r="K44" s="87">
        <f>IF([80]Source!BB1399&lt;&gt; 0, [80]Source!BB1399, 1)</f>
        <v>8.84</v>
      </c>
      <c r="L44" s="93">
        <f>[80]Source!Q1399-L56</f>
        <v>6106.86</v>
      </c>
    </row>
    <row r="45" spans="1:22" ht="14.25" x14ac:dyDescent="0.2">
      <c r="A45" s="84"/>
      <c r="B45" s="84"/>
      <c r="C45" s="85"/>
      <c r="D45" s="85" t="s">
        <v>45</v>
      </c>
      <c r="E45" s="86"/>
      <c r="F45" s="87"/>
      <c r="G45" s="88">
        <f>[80]Source!AN1398</f>
        <v>39.130000000000003</v>
      </c>
      <c r="H45" s="89">
        <f>[80]Source!DE1398</f>
        <v>0</v>
      </c>
      <c r="I45" s="87">
        <f>[80]Source!AV1399</f>
        <v>1.0469999999999999</v>
      </c>
      <c r="J45" s="90">
        <f>[80]Source!R1398-J57</f>
        <v>104.63</v>
      </c>
      <c r="K45" s="87">
        <f>IF([80]Source!BS1399&lt;&gt; 0, [80]Source!BS1399, 1)</f>
        <v>23.94</v>
      </c>
      <c r="L45" s="90">
        <f>[80]Source!R1399-L57</f>
        <v>2504.9499999999998</v>
      </c>
    </row>
    <row r="46" spans="1:22" ht="14.25" x14ac:dyDescent="0.2">
      <c r="A46" s="84"/>
      <c r="B46" s="84"/>
      <c r="C46" s="85"/>
      <c r="D46" s="85" t="s">
        <v>46</v>
      </c>
      <c r="E46" s="86"/>
      <c r="F46" s="87"/>
      <c r="G46" s="88">
        <f>[80]Source!AL1398</f>
        <v>50.34</v>
      </c>
      <c r="H46" s="89">
        <f>[80]Source!DD1398</f>
        <v>0</v>
      </c>
      <c r="I46" s="87">
        <f>[80]Source!AW1399</f>
        <v>1.022</v>
      </c>
      <c r="J46" s="93">
        <f>[80]Source!P1398</f>
        <v>131.4</v>
      </c>
      <c r="K46" s="87">
        <f>IF([80]Source!BC1399&lt;&gt; 0, [80]Source!BC1399, 1)</f>
        <v>11.43</v>
      </c>
      <c r="L46" s="93">
        <f>[80]Source!P1399</f>
        <v>1501.9</v>
      </c>
    </row>
    <row r="47" spans="1:22" ht="57" x14ac:dyDescent="0.2">
      <c r="A47" s="84">
        <v>2</v>
      </c>
      <c r="B47" s="84" t="str">
        <f>[80]Source!E1400</f>
        <v>182,1</v>
      </c>
      <c r="C47" s="85" t="str">
        <f>[80]Source!F1400</f>
        <v>1.12-6-17</v>
      </c>
      <c r="D47" s="85" t="s">
        <v>139</v>
      </c>
      <c r="E47" s="86" t="str">
        <f>[80]Source!H1400</f>
        <v>м</v>
      </c>
      <c r="F47" s="87">
        <f>[80]Source!I1400</f>
        <v>6.6000000000000003E-2</v>
      </c>
      <c r="G47" s="88">
        <f>[80]Source!AK1400</f>
        <v>41.37</v>
      </c>
      <c r="H47" s="123" t="s">
        <v>20</v>
      </c>
      <c r="I47" s="87">
        <f>[80]Source!AW1401</f>
        <v>1.022</v>
      </c>
      <c r="J47" s="93">
        <f>[80]Source!O1400</f>
        <v>2.79</v>
      </c>
      <c r="K47" s="87">
        <f>IF([80]Source!BC1401&lt;&gt; 0, [80]Source!BC1401, 1)</f>
        <v>3.05</v>
      </c>
      <c r="L47" s="93">
        <f>[80]Source!O1401</f>
        <v>8.51</v>
      </c>
      <c r="Q47" s="47">
        <f>[80]Source!X1400</f>
        <v>0</v>
      </c>
      <c r="R47" s="47">
        <f>[80]Source!X1401</f>
        <v>0</v>
      </c>
      <c r="S47" s="47">
        <f>[80]Source!Y1400</f>
        <v>0</v>
      </c>
      <c r="T47" s="47">
        <f>[80]Source!Y1401</f>
        <v>0</v>
      </c>
      <c r="U47" s="47">
        <f>ROUND((175/100)*ROUND([80]Source!R1400, 2), 2)</f>
        <v>0</v>
      </c>
      <c r="V47" s="47">
        <f>ROUND((157/100)*ROUND([80]Source!R1401, 2), 2)</f>
        <v>0</v>
      </c>
    </row>
    <row r="48" spans="1:22" ht="57" x14ac:dyDescent="0.2">
      <c r="A48" s="84">
        <v>3</v>
      </c>
      <c r="B48" s="84" t="str">
        <f>[80]Source!E1402</f>
        <v>182,2</v>
      </c>
      <c r="C48" s="85" t="str">
        <f>[80]Source!F1402</f>
        <v>1.12-6-25</v>
      </c>
      <c r="D48" s="85" t="s">
        <v>136</v>
      </c>
      <c r="E48" s="86" t="str">
        <f>[80]Source!H1402</f>
        <v>м</v>
      </c>
      <c r="F48" s="87">
        <f>[80]Source!I1402</f>
        <v>2.4460000000000002</v>
      </c>
      <c r="G48" s="88">
        <f>[80]Source!AK1402</f>
        <v>86.91</v>
      </c>
      <c r="H48" s="123" t="s">
        <v>20</v>
      </c>
      <c r="I48" s="87">
        <f>[80]Source!AW1403</f>
        <v>1.022</v>
      </c>
      <c r="J48" s="93">
        <f>[80]Source!O1402</f>
        <v>217.26</v>
      </c>
      <c r="K48" s="87">
        <f>IF([80]Source!BC1403&lt;&gt; 0, [80]Source!BC1403, 1)</f>
        <v>3.16</v>
      </c>
      <c r="L48" s="93">
        <f>[80]Source!O1403</f>
        <v>686.54</v>
      </c>
      <c r="Q48" s="47">
        <f>[80]Source!X1402</f>
        <v>0</v>
      </c>
      <c r="R48" s="47">
        <f>[80]Source!X1403</f>
        <v>0</v>
      </c>
      <c r="S48" s="47">
        <f>[80]Source!Y1402</f>
        <v>0</v>
      </c>
      <c r="T48" s="47">
        <f>[80]Source!Y1403</f>
        <v>0</v>
      </c>
      <c r="U48" s="47">
        <f>ROUND((175/100)*ROUND([80]Source!R1402, 2), 2)</f>
        <v>0</v>
      </c>
      <c r="V48" s="47">
        <f>ROUND((157/100)*ROUND([80]Source!R1403, 2), 2)</f>
        <v>0</v>
      </c>
    </row>
    <row r="49" spans="1:22" ht="57" x14ac:dyDescent="0.2">
      <c r="A49" s="84">
        <v>4</v>
      </c>
      <c r="B49" s="84" t="str">
        <f>[80]Source!E1404</f>
        <v>182,3</v>
      </c>
      <c r="C49" s="85" t="str">
        <f>[80]Source!F1404</f>
        <v>1.12-6-32</v>
      </c>
      <c r="D49" s="85" t="s">
        <v>140</v>
      </c>
      <c r="E49" s="86" t="str">
        <f>[80]Source!H1404</f>
        <v>м</v>
      </c>
      <c r="F49" s="87">
        <f>[80]Source!I1404</f>
        <v>4.2000000000000003E-2</v>
      </c>
      <c r="G49" s="88">
        <f>[80]Source!AK1404</f>
        <v>103.48</v>
      </c>
      <c r="H49" s="123" t="s">
        <v>20</v>
      </c>
      <c r="I49" s="87">
        <f>[80]Source!AW1405</f>
        <v>1.022</v>
      </c>
      <c r="J49" s="93">
        <f>[80]Source!O1404</f>
        <v>4.4400000000000004</v>
      </c>
      <c r="K49" s="87">
        <f>IF([80]Source!BC1405&lt;&gt; 0, [80]Source!BC1405, 1)</f>
        <v>3.01</v>
      </c>
      <c r="L49" s="93">
        <f>[80]Source!O1405</f>
        <v>13.36</v>
      </c>
      <c r="Q49" s="47">
        <f>[80]Source!X1404</f>
        <v>0</v>
      </c>
      <c r="R49" s="47">
        <f>[80]Source!X1405</f>
        <v>0</v>
      </c>
      <c r="S49" s="47">
        <f>[80]Source!Y1404</f>
        <v>0</v>
      </c>
      <c r="T49" s="47">
        <f>[80]Source!Y1405</f>
        <v>0</v>
      </c>
      <c r="U49" s="47">
        <f>ROUND((175/100)*ROUND([80]Source!R1404, 2), 2)</f>
        <v>0</v>
      </c>
      <c r="V49" s="47">
        <f>ROUND((157/100)*ROUND([80]Source!R1405, 2), 2)</f>
        <v>0</v>
      </c>
    </row>
    <row r="50" spans="1:22" ht="14.25" x14ac:dyDescent="0.2">
      <c r="A50" s="84"/>
      <c r="B50" s="84"/>
      <c r="C50" s="85"/>
      <c r="D50" s="85" t="s">
        <v>47</v>
      </c>
      <c r="E50" s="86" t="s">
        <v>48</v>
      </c>
      <c r="F50" s="87">
        <f>[80]Source!DN1399</f>
        <v>98</v>
      </c>
      <c r="G50" s="88"/>
      <c r="H50" s="89"/>
      <c r="I50" s="87"/>
      <c r="J50" s="93">
        <f>SUM(Q42:Q49)</f>
        <v>2347.25</v>
      </c>
      <c r="K50" s="87">
        <f>[80]Source!BZ1399</f>
        <v>92</v>
      </c>
      <c r="L50" s="93">
        <f>SUM(R42:R49)</f>
        <v>52752.7</v>
      </c>
    </row>
    <row r="51" spans="1:22" ht="14.25" x14ac:dyDescent="0.2">
      <c r="A51" s="84"/>
      <c r="B51" s="84"/>
      <c r="C51" s="85"/>
      <c r="D51" s="85" t="s">
        <v>49</v>
      </c>
      <c r="E51" s="86" t="s">
        <v>48</v>
      </c>
      <c r="F51" s="87">
        <f>[80]Source!DO1399</f>
        <v>70</v>
      </c>
      <c r="G51" s="88"/>
      <c r="H51" s="89"/>
      <c r="I51" s="87"/>
      <c r="J51" s="93">
        <f>SUM(S42:S50)</f>
        <v>1676.61</v>
      </c>
      <c r="K51" s="87">
        <f>[80]Source!CA1399</f>
        <v>65</v>
      </c>
      <c r="L51" s="93">
        <f>SUM(T42:T50)</f>
        <v>37270.93</v>
      </c>
    </row>
    <row r="52" spans="1:22" ht="14.25" x14ac:dyDescent="0.2">
      <c r="A52" s="84"/>
      <c r="B52" s="84"/>
      <c r="C52" s="85"/>
      <c r="D52" s="85" t="s">
        <v>50</v>
      </c>
      <c r="E52" s="86" t="s">
        <v>48</v>
      </c>
      <c r="F52" s="87">
        <f>175</f>
        <v>175</v>
      </c>
      <c r="G52" s="88"/>
      <c r="H52" s="89"/>
      <c r="I52" s="87"/>
      <c r="J52" s="93">
        <f>SUM(U42:U51)-J58</f>
        <v>183.11</v>
      </c>
      <c r="K52" s="87">
        <f>157</f>
        <v>157</v>
      </c>
      <c r="L52" s="93">
        <f>SUM(V42:V51)-L58</f>
        <v>3932.77</v>
      </c>
    </row>
    <row r="53" spans="1:22" ht="14.25" x14ac:dyDescent="0.2">
      <c r="A53" s="84"/>
      <c r="B53" s="84"/>
      <c r="C53" s="85"/>
      <c r="D53" s="85" t="s">
        <v>51</v>
      </c>
      <c r="E53" s="86" t="s">
        <v>52</v>
      </c>
      <c r="F53" s="87">
        <f>[80]Source!AQ1398</f>
        <v>42.5</v>
      </c>
      <c r="G53" s="88"/>
      <c r="H53" s="89">
        <f>[80]Source!DI1398</f>
        <v>0</v>
      </c>
      <c r="I53" s="87">
        <f>[80]Source!AV1399</f>
        <v>1.0469999999999999</v>
      </c>
      <c r="J53" s="93">
        <f>[80]Source!U1398</f>
        <v>113.65</v>
      </c>
      <c r="K53" s="87"/>
      <c r="L53" s="93"/>
    </row>
    <row r="54" spans="1:22" ht="15" x14ac:dyDescent="0.25">
      <c r="I54" s="409">
        <f>J43+J44+J46+J50+J51+J52+SUM(J47:J49)</f>
        <v>7648.82</v>
      </c>
      <c r="J54" s="409"/>
      <c r="K54" s="409">
        <f>L43+L44+L46+L50+L51+L52+SUM(L47:L49)</f>
        <v>159613.46</v>
      </c>
      <c r="L54" s="409"/>
      <c r="O54" s="92">
        <f>J43+J44+J46+J50+J51+J52+SUM(J47:J49)</f>
        <v>7648.82</v>
      </c>
      <c r="P54" s="92">
        <f>L43+L44+L46+L50+L51+L52+SUM(L47:L49)</f>
        <v>159613.46</v>
      </c>
    </row>
    <row r="55" spans="1:22" ht="28.5" x14ac:dyDescent="0.2">
      <c r="A55" s="124"/>
      <c r="B55" s="124"/>
      <c r="C55" s="125"/>
      <c r="D55" s="125" t="s">
        <v>129</v>
      </c>
      <c r="E55" s="86"/>
      <c r="F55" s="126"/>
      <c r="G55" s="127"/>
      <c r="H55" s="86"/>
      <c r="I55" s="126"/>
      <c r="J55" s="90"/>
      <c r="K55" s="126"/>
      <c r="L55" s="90"/>
    </row>
    <row r="56" spans="1:22" ht="14.25" x14ac:dyDescent="0.2">
      <c r="A56" s="124"/>
      <c r="B56" s="124"/>
      <c r="C56" s="125"/>
      <c r="D56" s="125" t="s">
        <v>44</v>
      </c>
      <c r="E56" s="86"/>
      <c r="F56" s="126"/>
      <c r="G56" s="127">
        <f t="shared" ref="G56:L56" si="0">G57</f>
        <v>39.130000000000003</v>
      </c>
      <c r="H56" s="128" t="str">
        <f t="shared" si="0"/>
        <v>)*(1.67-1)</v>
      </c>
      <c r="I56" s="126">
        <f t="shared" si="0"/>
        <v>1.0469999999999999</v>
      </c>
      <c r="J56" s="90">
        <f t="shared" si="0"/>
        <v>70.11</v>
      </c>
      <c r="K56" s="126">
        <f t="shared" si="0"/>
        <v>23.94</v>
      </c>
      <c r="L56" s="90">
        <f t="shared" si="0"/>
        <v>1678.33</v>
      </c>
    </row>
    <row r="57" spans="1:22" ht="14.25" x14ac:dyDescent="0.2">
      <c r="A57" s="124"/>
      <c r="B57" s="124"/>
      <c r="C57" s="125"/>
      <c r="D57" s="125" t="s">
        <v>45</v>
      </c>
      <c r="E57" s="86"/>
      <c r="F57" s="126"/>
      <c r="G57" s="127">
        <f>[80]Source!AN1398</f>
        <v>39.130000000000003</v>
      </c>
      <c r="H57" s="128" t="s">
        <v>53</v>
      </c>
      <c r="I57" s="126">
        <f>[80]Source!AV1399</f>
        <v>1.0469999999999999</v>
      </c>
      <c r="J57" s="90">
        <f>ROUND(F42*G57*I57*(1.67-1), 2)</f>
        <v>70.11</v>
      </c>
      <c r="K57" s="126">
        <f>IF([80]Source!BS1399&lt;&gt; 0, [80]Source!BS1399, 1)</f>
        <v>23.94</v>
      </c>
      <c r="L57" s="90">
        <f>ROUND(F42*G57*I57*(1.67-1)*K57, 2)</f>
        <v>1678.33</v>
      </c>
    </row>
    <row r="58" spans="1:22" ht="14.25" x14ac:dyDescent="0.2">
      <c r="A58" s="124"/>
      <c r="B58" s="124"/>
      <c r="C58" s="125"/>
      <c r="D58" s="125" t="s">
        <v>50</v>
      </c>
      <c r="E58" s="86" t="s">
        <v>48</v>
      </c>
      <c r="F58" s="126">
        <f>175</f>
        <v>175</v>
      </c>
      <c r="G58" s="127"/>
      <c r="H58" s="86"/>
      <c r="I58" s="126"/>
      <c r="J58" s="90">
        <f>ROUND(J57*(F58/100), 2)</f>
        <v>122.69</v>
      </c>
      <c r="K58" s="126">
        <f>157</f>
        <v>157</v>
      </c>
      <c r="L58" s="90">
        <f>ROUND(L57*(K58/100), 2)</f>
        <v>2634.98</v>
      </c>
    </row>
    <row r="59" spans="1:22" ht="15" x14ac:dyDescent="0.25">
      <c r="I59" s="409">
        <f>J58+J57</f>
        <v>192.8</v>
      </c>
      <c r="J59" s="409"/>
      <c r="K59" s="409">
        <f>L58+L57</f>
        <v>4313.3100000000004</v>
      </c>
      <c r="L59" s="409"/>
      <c r="O59" s="92">
        <f>I59</f>
        <v>192.8</v>
      </c>
      <c r="P59" s="92">
        <f>K59</f>
        <v>4313.3100000000004</v>
      </c>
    </row>
    <row r="61" spans="1:22" ht="15" x14ac:dyDescent="0.25">
      <c r="A61" s="129"/>
      <c r="B61" s="129"/>
      <c r="C61" s="130"/>
      <c r="D61" s="130" t="s">
        <v>130</v>
      </c>
      <c r="E61" s="131"/>
      <c r="F61" s="132"/>
      <c r="G61" s="133"/>
      <c r="H61" s="134"/>
      <c r="I61" s="409">
        <f>I54+I59</f>
        <v>7841.62</v>
      </c>
      <c r="J61" s="409"/>
      <c r="K61" s="409">
        <f>K54+K59</f>
        <v>163926.76999999999</v>
      </c>
      <c r="L61" s="409"/>
    </row>
    <row r="63" spans="1:22" ht="15" x14ac:dyDescent="0.25">
      <c r="A63" s="403" t="str">
        <f>CONCATENATE("Итого по подразделу: ",IF([80]Source!G1407&lt;&gt;"Новый подраздел", [80]Source!G1407, ""))</f>
        <v>Итого по подразделу: Закладные элементы в полах</v>
      </c>
      <c r="B63" s="403"/>
      <c r="C63" s="403"/>
      <c r="D63" s="403"/>
      <c r="E63" s="403"/>
      <c r="F63" s="403"/>
      <c r="G63" s="403"/>
      <c r="H63" s="403"/>
      <c r="I63" s="404">
        <f>SUM(O41:O62)</f>
        <v>7841.62</v>
      </c>
      <c r="J63" s="405"/>
      <c r="K63" s="404">
        <f>SUM(P41:P62)</f>
        <v>163926.76999999999</v>
      </c>
      <c r="L63" s="405"/>
    </row>
    <row r="64" spans="1:22" hidden="1" x14ac:dyDescent="0.2">
      <c r="A64" s="47" t="s">
        <v>54</v>
      </c>
      <c r="J64" s="47">
        <f>SUM(W41:W63)</f>
        <v>0</v>
      </c>
      <c r="K64" s="47">
        <f>SUM(X41:X63)</f>
        <v>0</v>
      </c>
    </row>
    <row r="65" spans="1:32" hidden="1" x14ac:dyDescent="0.2">
      <c r="A65" s="47" t="s">
        <v>55</v>
      </c>
      <c r="J65" s="47">
        <f>SUM(Y41:Y64)</f>
        <v>0</v>
      </c>
      <c r="K65" s="47">
        <f>SUM(Z41:Z64)</f>
        <v>0</v>
      </c>
    </row>
    <row r="67" spans="1:32" ht="18.75" customHeight="1" x14ac:dyDescent="0.25">
      <c r="A67" s="403" t="s">
        <v>74</v>
      </c>
      <c r="B67" s="403"/>
      <c r="C67" s="403"/>
      <c r="D67" s="403"/>
      <c r="E67" s="403"/>
      <c r="F67" s="403"/>
      <c r="G67" s="403"/>
      <c r="H67" s="403"/>
      <c r="I67" s="404">
        <f>SUM(O30:O66)</f>
        <v>7841.62</v>
      </c>
      <c r="J67" s="405"/>
      <c r="K67" s="404">
        <f>SUM(P30:P66)</f>
        <v>163926.76999999999</v>
      </c>
      <c r="L67" s="405"/>
      <c r="AF67" s="78" t="str">
        <f>CONCATENATE("Итого по акту: ",IF([80]Source!G1565&lt;&gt;"Новый объект", [80]Source!G1565, ""))</f>
        <v>Итого по акту: (48701 доп.1) 12-4017-Л-Р-11.4.1.2.1-АР1-СМ1-Доп1  Ст.комплекс Аминьевское шоссе. Вестибюль №2, камера съездов, ТПП. АР. Уровень кассового зала и машинного зала эскалаторов.</v>
      </c>
    </row>
    <row r="68" spans="1:32" hidden="1" x14ac:dyDescent="0.2">
      <c r="A68" s="47" t="s">
        <v>54</v>
      </c>
      <c r="J68" s="47">
        <f>SUM(W30:W67)</f>
        <v>0</v>
      </c>
      <c r="K68" s="47">
        <f>SUM(X30:X67)</f>
        <v>0</v>
      </c>
    </row>
    <row r="69" spans="1:32" hidden="1" x14ac:dyDescent="0.2">
      <c r="A69" s="47" t="s">
        <v>55</v>
      </c>
      <c r="J69" s="47">
        <f>SUM(Y30:Y68)</f>
        <v>0</v>
      </c>
      <c r="K69" s="47">
        <f>SUM(Z30:Z68)</f>
        <v>0</v>
      </c>
    </row>
    <row r="70" spans="1:32" ht="14.25" x14ac:dyDescent="0.2">
      <c r="D70" s="410" t="str">
        <f>[80]Source!H1568</f>
        <v>Стоимость материальных ресурсов (всего)</v>
      </c>
      <c r="E70" s="410"/>
      <c r="F70" s="410"/>
      <c r="G70" s="410"/>
      <c r="H70" s="410"/>
      <c r="I70" s="411">
        <f>[80]Source!F1568</f>
        <v>355.89</v>
      </c>
      <c r="J70" s="411"/>
      <c r="K70" s="411">
        <f>[80]Source!P1568</f>
        <v>2210.31</v>
      </c>
      <c r="L70" s="411"/>
    </row>
    <row r="71" spans="1:32" ht="14.25" x14ac:dyDescent="0.2">
      <c r="D71" s="410" t="str">
        <f>[80]Source!H1579</f>
        <v>ЗП машинистов</v>
      </c>
      <c r="E71" s="410"/>
      <c r="F71" s="410"/>
      <c r="G71" s="410"/>
      <c r="H71" s="410"/>
      <c r="I71" s="411">
        <f>[80]Source!F1579</f>
        <v>174.74</v>
      </c>
      <c r="J71" s="411"/>
      <c r="K71" s="411">
        <f>[80]Source!P1579</f>
        <v>4183.28</v>
      </c>
      <c r="L71" s="411"/>
    </row>
    <row r="72" spans="1:32" ht="14.25" x14ac:dyDescent="0.2">
      <c r="D72" s="410" t="str">
        <f>[80]Source!H1580</f>
        <v>Основная ЗП рабочих</v>
      </c>
      <c r="E72" s="410"/>
      <c r="F72" s="410"/>
      <c r="G72" s="410"/>
      <c r="H72" s="410"/>
      <c r="I72" s="411">
        <f>[80]Source!F1580</f>
        <v>2395.15</v>
      </c>
      <c r="J72" s="411"/>
      <c r="K72" s="411">
        <f>[80]Source!P1580</f>
        <v>57339.89</v>
      </c>
      <c r="L72" s="411"/>
    </row>
    <row r="73" spans="1:32" ht="15" x14ac:dyDescent="0.25">
      <c r="D73" s="77"/>
      <c r="I73" s="91"/>
      <c r="J73" s="91"/>
      <c r="K73" s="135"/>
      <c r="L73" s="135"/>
    </row>
    <row r="74" spans="1:32" ht="14.25" x14ac:dyDescent="0.2">
      <c r="A74" s="105"/>
      <c r="B74" s="105"/>
      <c r="C74" s="105"/>
      <c r="D74" s="136" t="s">
        <v>57</v>
      </c>
      <c r="E74" s="105"/>
      <c r="F74" s="105"/>
      <c r="G74" s="105"/>
      <c r="H74" s="105"/>
      <c r="I74" s="105"/>
      <c r="J74" s="137">
        <f>I67</f>
        <v>7841.62</v>
      </c>
      <c r="K74" s="137"/>
      <c r="L74" s="137">
        <f>K67</f>
        <v>163926.76999999999</v>
      </c>
    </row>
    <row r="75" spans="1:32" ht="14.25" x14ac:dyDescent="0.2">
      <c r="A75" s="105"/>
      <c r="B75" s="105"/>
      <c r="C75" s="105"/>
      <c r="D75" s="136" t="s">
        <v>3</v>
      </c>
      <c r="E75" s="105"/>
      <c r="F75" s="105"/>
      <c r="G75" s="105"/>
      <c r="H75" s="105"/>
      <c r="I75" s="105"/>
      <c r="J75" s="137">
        <f>J74</f>
        <v>7841.62</v>
      </c>
      <c r="K75" s="137"/>
      <c r="L75" s="137">
        <f>L74</f>
        <v>163926.76999999999</v>
      </c>
    </row>
    <row r="76" spans="1:32" ht="14.25" x14ac:dyDescent="0.2">
      <c r="A76" s="105"/>
      <c r="B76" s="105"/>
      <c r="C76" s="105"/>
      <c r="D76" s="136" t="s">
        <v>58</v>
      </c>
      <c r="E76" s="105"/>
      <c r="F76" s="105"/>
      <c r="G76" s="105"/>
      <c r="H76" s="105"/>
      <c r="I76" s="105"/>
      <c r="J76" s="137">
        <f>I71+I72</f>
        <v>2569.89</v>
      </c>
      <c r="K76" s="137"/>
      <c r="L76" s="137">
        <f>K71+K72</f>
        <v>61523.17</v>
      </c>
    </row>
    <row r="77" spans="1:32" ht="14.25" x14ac:dyDescent="0.2">
      <c r="A77" s="105"/>
      <c r="B77" s="105"/>
      <c r="C77" s="105"/>
      <c r="D77" s="136" t="s">
        <v>59</v>
      </c>
      <c r="E77" s="105"/>
      <c r="F77" s="105"/>
      <c r="G77" s="105"/>
      <c r="H77" s="105"/>
      <c r="I77" s="105"/>
      <c r="J77" s="137">
        <f>I70</f>
        <v>355.89</v>
      </c>
      <c r="K77" s="137"/>
      <c r="L77" s="137">
        <f>K70</f>
        <v>2210.31</v>
      </c>
    </row>
    <row r="78" spans="1:32" ht="14.25" x14ac:dyDescent="0.2">
      <c r="A78" s="105"/>
      <c r="B78" s="105"/>
      <c r="C78" s="105"/>
      <c r="D78" s="136" t="s">
        <v>60</v>
      </c>
      <c r="E78" s="105"/>
      <c r="F78" s="105"/>
      <c r="G78" s="105"/>
      <c r="H78" s="105"/>
      <c r="I78" s="105"/>
      <c r="J78" s="138">
        <v>0</v>
      </c>
      <c r="K78" s="138"/>
      <c r="L78" s="138">
        <v>0</v>
      </c>
    </row>
    <row r="79" spans="1:32" ht="14.25" x14ac:dyDescent="0.2">
      <c r="A79" s="94"/>
      <c r="B79" s="94"/>
      <c r="C79" s="94"/>
      <c r="D79" s="427" t="s">
        <v>108</v>
      </c>
      <c r="E79" s="427"/>
      <c r="F79" s="427"/>
      <c r="G79" s="427"/>
      <c r="H79" s="427"/>
      <c r="I79" s="102"/>
      <c r="J79" s="102">
        <v>0</v>
      </c>
      <c r="K79" s="102"/>
      <c r="L79" s="102">
        <v>0</v>
      </c>
    </row>
    <row r="80" spans="1:32" ht="15" x14ac:dyDescent="0.25">
      <c r="A80" s="96"/>
      <c r="B80" s="96"/>
      <c r="C80" s="96"/>
      <c r="D80" s="427" t="s">
        <v>109</v>
      </c>
      <c r="E80" s="427"/>
      <c r="F80" s="427"/>
      <c r="G80" s="427"/>
      <c r="H80" s="427"/>
      <c r="I80" s="413">
        <f>J75*5.61%</f>
        <v>439.91</v>
      </c>
      <c r="J80" s="413"/>
      <c r="K80" s="413">
        <f>L75*5.61%</f>
        <v>9196.2900000000009</v>
      </c>
      <c r="L80" s="413"/>
    </row>
    <row r="81" spans="1:12" ht="15" x14ac:dyDescent="0.25">
      <c r="A81" s="96"/>
      <c r="B81" s="96"/>
      <c r="C81" s="96"/>
      <c r="D81" s="427" t="s">
        <v>70</v>
      </c>
      <c r="E81" s="427"/>
      <c r="F81" s="427"/>
      <c r="G81" s="427"/>
      <c r="H81" s="427"/>
      <c r="I81" s="413">
        <f>J75+J79+I80</f>
        <v>8281.5300000000007</v>
      </c>
      <c r="J81" s="413"/>
      <c r="K81" s="413">
        <f>L75+L79+K80</f>
        <v>173123.06</v>
      </c>
      <c r="L81" s="413"/>
    </row>
    <row r="82" spans="1:12" ht="14.25" x14ac:dyDescent="0.2">
      <c r="A82" s="94"/>
      <c r="B82" s="94"/>
      <c r="C82" s="94"/>
      <c r="D82" s="427" t="s">
        <v>71</v>
      </c>
      <c r="E82" s="427"/>
      <c r="F82" s="427"/>
      <c r="G82" s="427"/>
      <c r="H82" s="427"/>
      <c r="I82" s="413">
        <f>J76*0.15</f>
        <v>385.48</v>
      </c>
      <c r="J82" s="413"/>
      <c r="K82" s="413">
        <f>L76*0.15</f>
        <v>9228.48</v>
      </c>
      <c r="L82" s="413"/>
    </row>
    <row r="83" spans="1:12" ht="15" x14ac:dyDescent="0.25">
      <c r="A83" s="97"/>
      <c r="B83" s="97"/>
      <c r="C83" s="97"/>
      <c r="D83" s="457" t="s">
        <v>72</v>
      </c>
      <c r="E83" s="457"/>
      <c r="F83" s="457"/>
      <c r="G83" s="457"/>
      <c r="H83" s="457"/>
      <c r="I83" s="418">
        <f>I81+I82</f>
        <v>8667.01</v>
      </c>
      <c r="J83" s="418"/>
      <c r="K83" s="419">
        <f>K81+K82</f>
        <v>182351.54</v>
      </c>
      <c r="L83" s="419"/>
    </row>
    <row r="84" spans="1:12" ht="14.25" x14ac:dyDescent="0.2">
      <c r="A84" s="94"/>
      <c r="B84" s="94"/>
      <c r="C84" s="94"/>
      <c r="D84" s="427"/>
      <c r="E84" s="427"/>
      <c r="F84" s="427"/>
      <c r="G84" s="427"/>
      <c r="H84" s="427"/>
      <c r="I84" s="413"/>
      <c r="J84" s="413"/>
      <c r="K84" s="413"/>
      <c r="L84" s="413"/>
    </row>
    <row r="85" spans="1:12" ht="15" x14ac:dyDescent="0.25">
      <c r="A85" s="97"/>
      <c r="B85" s="97"/>
      <c r="C85" s="97"/>
      <c r="D85" s="457" t="s">
        <v>110</v>
      </c>
      <c r="E85" s="457"/>
      <c r="F85" s="457"/>
      <c r="G85" s="457"/>
      <c r="H85" s="457"/>
      <c r="I85" s="97"/>
      <c r="J85" s="97"/>
      <c r="K85" s="97"/>
      <c r="L85" s="99">
        <f>K86+K88</f>
        <v>155840.95000000001</v>
      </c>
    </row>
    <row r="86" spans="1:12" ht="14.25" x14ac:dyDescent="0.2">
      <c r="A86" s="94"/>
      <c r="B86" s="94"/>
      <c r="C86" s="94"/>
      <c r="D86" s="427" t="s">
        <v>3</v>
      </c>
      <c r="E86" s="427"/>
      <c r="F86" s="427"/>
      <c r="G86" s="427"/>
      <c r="H86" s="427"/>
      <c r="I86" s="94"/>
      <c r="J86" s="100"/>
      <c r="K86" s="413">
        <f>(L75-L77)*0.95+K87</f>
        <v>155840.95000000001</v>
      </c>
      <c r="L86" s="413"/>
    </row>
    <row r="87" spans="1:12" ht="14.25" x14ac:dyDescent="0.2">
      <c r="A87" s="94"/>
      <c r="B87" s="94"/>
      <c r="C87" s="94"/>
      <c r="D87" s="427" t="s">
        <v>111</v>
      </c>
      <c r="E87" s="427"/>
      <c r="F87" s="427"/>
      <c r="G87" s="427"/>
      <c r="H87" s="427"/>
      <c r="I87" s="94"/>
      <c r="J87" s="100"/>
      <c r="K87" s="413">
        <f>L77*1</f>
        <v>2210.31</v>
      </c>
      <c r="L87" s="413"/>
    </row>
    <row r="88" spans="1:12" ht="14.25" x14ac:dyDescent="0.2">
      <c r="A88" s="94"/>
      <c r="B88" s="94"/>
      <c r="C88" s="94"/>
      <c r="D88" s="427" t="s">
        <v>112</v>
      </c>
      <c r="E88" s="427"/>
      <c r="F88" s="427"/>
      <c r="G88" s="427"/>
      <c r="H88" s="427"/>
      <c r="I88" s="413"/>
      <c r="J88" s="413"/>
      <c r="K88" s="413">
        <f>L78</f>
        <v>0</v>
      </c>
      <c r="L88" s="413"/>
    </row>
    <row r="89" spans="1:12" ht="14.25" x14ac:dyDescent="0.2">
      <c r="A89" s="94"/>
      <c r="B89" s="94"/>
      <c r="C89" s="94"/>
      <c r="D89" s="427" t="s">
        <v>108</v>
      </c>
      <c r="E89" s="427"/>
      <c r="F89" s="427"/>
      <c r="G89" s="427"/>
      <c r="H89" s="427"/>
      <c r="I89" s="102"/>
      <c r="J89" s="102"/>
      <c r="K89" s="102"/>
      <c r="L89" s="102">
        <v>0</v>
      </c>
    </row>
    <row r="90" spans="1:12" ht="14.25" x14ac:dyDescent="0.2">
      <c r="A90" s="94"/>
      <c r="B90" s="94"/>
      <c r="C90" s="94"/>
      <c r="D90" s="427" t="s">
        <v>113</v>
      </c>
      <c r="E90" s="427"/>
      <c r="F90" s="427"/>
      <c r="G90" s="427"/>
      <c r="H90" s="427"/>
      <c r="I90" s="94"/>
      <c r="J90" s="100"/>
      <c r="K90" s="413">
        <f>L76*0.95</f>
        <v>58447.01</v>
      </c>
      <c r="L90" s="413"/>
    </row>
    <row r="91" spans="1:12" ht="14.25" x14ac:dyDescent="0.2">
      <c r="A91" s="94"/>
      <c r="B91" s="94"/>
      <c r="C91" s="94"/>
      <c r="D91" s="427" t="s">
        <v>114</v>
      </c>
      <c r="E91" s="427"/>
      <c r="F91" s="427"/>
      <c r="G91" s="427"/>
      <c r="H91" s="427"/>
      <c r="I91" s="413"/>
      <c r="J91" s="413"/>
      <c r="K91" s="413">
        <f>K86*5.61%</f>
        <v>8742.68</v>
      </c>
      <c r="L91" s="413"/>
    </row>
    <row r="92" spans="1:12" ht="14.25" x14ac:dyDescent="0.2">
      <c r="A92" s="94"/>
      <c r="B92" s="94"/>
      <c r="C92" s="94"/>
      <c r="D92" s="427" t="s">
        <v>70</v>
      </c>
      <c r="E92" s="427"/>
      <c r="F92" s="427"/>
      <c r="G92" s="427"/>
      <c r="H92" s="427"/>
      <c r="I92" s="94"/>
      <c r="J92" s="103"/>
      <c r="K92" s="413">
        <f>K86+L89+K91</f>
        <v>164583.63</v>
      </c>
      <c r="L92" s="413"/>
    </row>
    <row r="93" spans="1:12" ht="14.25" x14ac:dyDescent="0.2">
      <c r="A93" s="94"/>
      <c r="B93" s="94"/>
      <c r="C93" s="94"/>
      <c r="D93" s="427" t="s">
        <v>71</v>
      </c>
      <c r="E93" s="427"/>
      <c r="F93" s="427"/>
      <c r="G93" s="427"/>
      <c r="H93" s="427"/>
      <c r="I93" s="94"/>
      <c r="J93" s="94"/>
      <c r="K93" s="413">
        <f>K90*0.15</f>
        <v>8767.0499999999993</v>
      </c>
      <c r="L93" s="413"/>
    </row>
    <row r="94" spans="1:12" ht="15" x14ac:dyDescent="0.25">
      <c r="A94" s="97"/>
      <c r="B94" s="97"/>
      <c r="C94" s="97"/>
      <c r="D94" s="457" t="s">
        <v>72</v>
      </c>
      <c r="E94" s="457"/>
      <c r="F94" s="457"/>
      <c r="G94" s="457"/>
      <c r="H94" s="457"/>
      <c r="I94" s="97"/>
      <c r="J94" s="97"/>
      <c r="K94" s="418">
        <f>K92+K93+K88</f>
        <v>173350.68</v>
      </c>
      <c r="L94" s="418"/>
    </row>
    <row r="95" spans="1:12" ht="12.75" x14ac:dyDescent="0.2">
      <c r="A95" s="104"/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</row>
    <row r="96" spans="1:12" ht="12.75" x14ac:dyDescent="0.2">
      <c r="A96" s="104"/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</row>
    <row r="97" spans="1:12" ht="12.75" x14ac:dyDescent="0.2">
      <c r="A97" s="104"/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</row>
    <row r="98" spans="1:12" ht="12.75" x14ac:dyDescent="0.2">
      <c r="A98" s="104"/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</row>
    <row r="99" spans="1:12" ht="15.75" x14ac:dyDescent="0.25">
      <c r="A99" s="104"/>
      <c r="B99" s="142" t="s">
        <v>131</v>
      </c>
      <c r="C99" s="143"/>
      <c r="D99" s="143"/>
      <c r="E99" s="104"/>
      <c r="F99" s="104"/>
      <c r="G99" s="104"/>
      <c r="H99" s="104"/>
      <c r="I99" s="104"/>
      <c r="J99" s="104"/>
      <c r="K99" s="104"/>
      <c r="L99" s="104"/>
    </row>
    <row r="100" spans="1:12" ht="15" x14ac:dyDescent="0.2">
      <c r="A100" s="104"/>
      <c r="B100" s="143"/>
      <c r="C100" s="143"/>
      <c r="D100" s="143"/>
      <c r="E100" s="104"/>
      <c r="F100" s="104"/>
      <c r="G100" s="104"/>
      <c r="H100" s="104"/>
      <c r="I100" s="104"/>
      <c r="J100" s="104"/>
      <c r="K100" s="104"/>
      <c r="L100" s="104"/>
    </row>
    <row r="101" spans="1:12" ht="15.75" x14ac:dyDescent="0.25">
      <c r="A101" s="105"/>
      <c r="B101" s="142" t="s">
        <v>115</v>
      </c>
      <c r="C101" s="142"/>
      <c r="D101" s="142"/>
      <c r="E101" s="106"/>
      <c r="F101" s="106"/>
      <c r="G101" s="106"/>
      <c r="H101" s="106"/>
      <c r="I101" s="106"/>
      <c r="J101" s="106"/>
      <c r="K101" s="106"/>
      <c r="L101" s="106"/>
    </row>
    <row r="102" spans="1:12" ht="15.75" x14ac:dyDescent="0.25">
      <c r="A102" s="105"/>
      <c r="B102" s="144" t="s">
        <v>116</v>
      </c>
      <c r="C102" s="145"/>
      <c r="D102" s="145"/>
      <c r="E102" s="108"/>
      <c r="F102" s="107"/>
      <c r="G102" s="415"/>
      <c r="H102" s="415"/>
      <c r="I102" s="109"/>
      <c r="J102" s="110" t="s">
        <v>117</v>
      </c>
      <c r="K102" s="111"/>
      <c r="L102" s="112"/>
    </row>
    <row r="103" spans="1:12" ht="15.75" x14ac:dyDescent="0.25">
      <c r="A103" s="105"/>
      <c r="B103" s="146" t="s">
        <v>132</v>
      </c>
      <c r="C103" s="147"/>
      <c r="D103" s="147"/>
      <c r="E103" s="113"/>
      <c r="F103" s="113"/>
      <c r="G103" s="113"/>
      <c r="H103" s="113"/>
      <c r="I103" s="112"/>
      <c r="J103" s="112"/>
      <c r="K103" s="112"/>
      <c r="L103" s="112"/>
    </row>
    <row r="104" spans="1:12" ht="15.75" x14ac:dyDescent="0.25">
      <c r="A104" s="105"/>
      <c r="B104" s="114"/>
      <c r="C104" s="114"/>
      <c r="D104" s="148"/>
      <c r="E104" s="115"/>
      <c r="F104" s="115"/>
      <c r="G104" s="116"/>
      <c r="H104" s="117"/>
      <c r="I104" s="115"/>
      <c r="J104" s="118"/>
      <c r="K104" s="119"/>
      <c r="L104" s="105"/>
    </row>
    <row r="105" spans="1:12" ht="15.75" x14ac:dyDescent="0.25">
      <c r="A105" s="105"/>
      <c r="B105" s="114"/>
      <c r="C105" s="114"/>
      <c r="D105" s="148"/>
      <c r="E105" s="115"/>
      <c r="F105" s="115"/>
      <c r="G105" s="116"/>
      <c r="H105" s="117"/>
      <c r="I105" s="115"/>
      <c r="J105" s="118"/>
      <c r="K105" s="119"/>
      <c r="L105" s="105"/>
    </row>
    <row r="106" spans="1:12" ht="15.75" x14ac:dyDescent="0.25">
      <c r="A106" s="105"/>
      <c r="B106" s="114"/>
      <c r="C106" s="114"/>
      <c r="D106" s="148"/>
      <c r="E106" s="115"/>
      <c r="F106" s="115"/>
      <c r="G106" s="116"/>
      <c r="H106" s="117"/>
      <c r="I106" s="115"/>
      <c r="J106" s="118"/>
      <c r="K106" s="119"/>
      <c r="L106" s="105"/>
    </row>
    <row r="107" spans="1:12" ht="15.75" x14ac:dyDescent="0.25">
      <c r="A107" s="105"/>
      <c r="B107" s="114"/>
      <c r="C107" s="114"/>
      <c r="D107" s="115"/>
      <c r="E107" s="115"/>
      <c r="F107" s="115"/>
      <c r="G107" s="115"/>
      <c r="H107" s="117"/>
      <c r="I107" s="115"/>
      <c r="J107" s="118"/>
      <c r="K107" s="119"/>
      <c r="L107" s="105"/>
    </row>
    <row r="108" spans="1:12" ht="15.75" x14ac:dyDescent="0.25">
      <c r="A108" s="105"/>
      <c r="B108" s="142" t="s">
        <v>118</v>
      </c>
      <c r="C108" s="149"/>
      <c r="D108" s="142"/>
      <c r="E108" s="113"/>
      <c r="F108" s="106"/>
      <c r="G108" s="113"/>
      <c r="H108" s="106"/>
      <c r="I108" s="112"/>
      <c r="J108" s="112"/>
      <c r="K108" s="112"/>
      <c r="L108" s="105"/>
    </row>
    <row r="109" spans="1:12" ht="15.75" x14ac:dyDescent="0.25">
      <c r="A109" s="105"/>
      <c r="B109" s="142"/>
      <c r="C109" s="149"/>
      <c r="D109" s="142"/>
      <c r="E109" s="113"/>
      <c r="F109" s="106"/>
      <c r="G109" s="113"/>
      <c r="H109" s="106"/>
      <c r="I109" s="112"/>
      <c r="J109" s="112"/>
      <c r="K109" s="112"/>
      <c r="L109" s="105"/>
    </row>
    <row r="110" spans="1:12" ht="15.75" x14ac:dyDescent="0.25">
      <c r="A110" s="105"/>
      <c r="B110" s="416" t="s">
        <v>119</v>
      </c>
      <c r="C110" s="416"/>
      <c r="D110" s="416"/>
      <c r="E110" s="113"/>
      <c r="F110" s="106"/>
      <c r="G110" s="113"/>
      <c r="H110" s="106"/>
      <c r="I110" s="112"/>
      <c r="J110" s="112"/>
      <c r="K110" s="112"/>
      <c r="L110" s="105"/>
    </row>
    <row r="111" spans="1:12" ht="15.75" x14ac:dyDescent="0.25">
      <c r="A111" s="105"/>
      <c r="B111" s="417" t="s">
        <v>120</v>
      </c>
      <c r="C111" s="417"/>
      <c r="D111" s="417"/>
      <c r="E111" s="120"/>
      <c r="F111" s="107"/>
      <c r="G111" s="108"/>
      <c r="H111" s="121"/>
      <c r="I111" s="111"/>
      <c r="J111" s="110" t="s">
        <v>84</v>
      </c>
      <c r="K111" s="111"/>
      <c r="L111" s="105"/>
    </row>
    <row r="112" spans="1:12" ht="15.75" x14ac:dyDescent="0.25">
      <c r="A112" s="105"/>
      <c r="B112" s="146" t="s">
        <v>73</v>
      </c>
      <c r="C112" s="150"/>
      <c r="D112" s="150"/>
      <c r="E112" s="122"/>
      <c r="F112" s="113"/>
      <c r="G112" s="106"/>
      <c r="H112" s="106"/>
      <c r="I112" s="112"/>
      <c r="J112" s="112"/>
      <c r="K112" s="112"/>
      <c r="L112" s="105"/>
    </row>
  </sheetData>
  <mergeCells count="109">
    <mergeCell ref="A25:L25"/>
    <mergeCell ref="A26:L26"/>
    <mergeCell ref="H28:I28"/>
    <mergeCell ref="A29:L29"/>
    <mergeCell ref="J16:L16"/>
    <mergeCell ref="J17:L17"/>
    <mergeCell ref="J18:L18"/>
    <mergeCell ref="G20:G21"/>
    <mergeCell ref="H20:H21"/>
    <mergeCell ref="I20:J20"/>
    <mergeCell ref="C13:H13"/>
    <mergeCell ref="G14:I14"/>
    <mergeCell ref="J14:L14"/>
    <mergeCell ref="G15:H15"/>
    <mergeCell ref="J15:L15"/>
    <mergeCell ref="C9:H9"/>
    <mergeCell ref="J9:L10"/>
    <mergeCell ref="C10:H10"/>
    <mergeCell ref="C11:H11"/>
    <mergeCell ref="J11:L12"/>
    <mergeCell ref="C12:H12"/>
    <mergeCell ref="A6:B6"/>
    <mergeCell ref="C6:H6"/>
    <mergeCell ref="C7:H7"/>
    <mergeCell ref="J7:L8"/>
    <mergeCell ref="A8:B8"/>
    <mergeCell ref="C8:H8"/>
    <mergeCell ref="I1:L1"/>
    <mergeCell ref="I2:L2"/>
    <mergeCell ref="J3:L3"/>
    <mergeCell ref="J4:L4"/>
    <mergeCell ref="J5:L6"/>
    <mergeCell ref="D93:H93"/>
    <mergeCell ref="K93:L93"/>
    <mergeCell ref="D94:H94"/>
    <mergeCell ref="K94:L94"/>
    <mergeCell ref="D90:H90"/>
    <mergeCell ref="K90:L90"/>
    <mergeCell ref="D91:H91"/>
    <mergeCell ref="I91:J91"/>
    <mergeCell ref="K91:L91"/>
    <mergeCell ref="D92:H92"/>
    <mergeCell ref="K92:L92"/>
    <mergeCell ref="D87:H87"/>
    <mergeCell ref="K87:L87"/>
    <mergeCell ref="D88:H88"/>
    <mergeCell ref="I88:J88"/>
    <mergeCell ref="K88:L88"/>
    <mergeCell ref="D89:H89"/>
    <mergeCell ref="D84:H84"/>
    <mergeCell ref="I84:J84"/>
    <mergeCell ref="K84:L84"/>
    <mergeCell ref="D85:H85"/>
    <mergeCell ref="D86:H86"/>
    <mergeCell ref="K86:L86"/>
    <mergeCell ref="D82:H82"/>
    <mergeCell ref="I82:J82"/>
    <mergeCell ref="K82:L82"/>
    <mergeCell ref="D83:H83"/>
    <mergeCell ref="I83:J83"/>
    <mergeCell ref="K83:L83"/>
    <mergeCell ref="D79:H79"/>
    <mergeCell ref="D80:H80"/>
    <mergeCell ref="I80:J80"/>
    <mergeCell ref="K80:L80"/>
    <mergeCell ref="D81:H81"/>
    <mergeCell ref="I81:J81"/>
    <mergeCell ref="K81:L81"/>
    <mergeCell ref="A39:L39"/>
    <mergeCell ref="A40:D40"/>
    <mergeCell ref="A41:L41"/>
    <mergeCell ref="I54:J54"/>
    <mergeCell ref="K54:L54"/>
    <mergeCell ref="D71:H71"/>
    <mergeCell ref="I71:J71"/>
    <mergeCell ref="K71:L71"/>
    <mergeCell ref="D72:H72"/>
    <mergeCell ref="I72:J72"/>
    <mergeCell ref="K72:L72"/>
    <mergeCell ref="A67:H67"/>
    <mergeCell ref="I67:J67"/>
    <mergeCell ref="K67:L67"/>
    <mergeCell ref="D70:H70"/>
    <mergeCell ref="I70:J70"/>
    <mergeCell ref="K70:L70"/>
    <mergeCell ref="I30:I35"/>
    <mergeCell ref="J30:J35"/>
    <mergeCell ref="K30:K35"/>
    <mergeCell ref="L30:L35"/>
    <mergeCell ref="G102:H102"/>
    <mergeCell ref="B110:D110"/>
    <mergeCell ref="B111:D111"/>
    <mergeCell ref="A31:A35"/>
    <mergeCell ref="B31:B35"/>
    <mergeCell ref="A30:B30"/>
    <mergeCell ref="C30:C35"/>
    <mergeCell ref="D30:D35"/>
    <mergeCell ref="E30:E35"/>
    <mergeCell ref="F30:F35"/>
    <mergeCell ref="G30:G35"/>
    <mergeCell ref="H30:H35"/>
    <mergeCell ref="I59:J59"/>
    <mergeCell ref="K59:L59"/>
    <mergeCell ref="I61:J61"/>
    <mergeCell ref="K61:L61"/>
    <mergeCell ref="A63:H63"/>
    <mergeCell ref="I63:J63"/>
    <mergeCell ref="K63:L63"/>
    <mergeCell ref="A38:L38"/>
  </mergeCells>
  <pageMargins left="0.39370078740157483" right="0.19685039370078741" top="0.19685039370078741" bottom="0.39370078740157483" header="0.31496062992125984" footer="0.31496062992125984"/>
  <pageSetup paperSize="9" scale="65" fitToHeight="0" orientation="portrait" blackAndWhite="1" r:id="rId1"/>
  <headerFooter>
    <oddFooter>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F753"/>
  <sheetViews>
    <sheetView view="pageBreakPreview" topLeftCell="A641" zoomScale="60" zoomScaleNormal="100" workbookViewId="0">
      <selection activeCell="A26" sqref="A1:L26"/>
    </sheetView>
  </sheetViews>
  <sheetFormatPr defaultColWidth="9.33203125" defaultRowHeight="11.25" x14ac:dyDescent="0.2"/>
  <cols>
    <col min="1" max="2" width="9.5" style="47" customWidth="1"/>
    <col min="3" max="3" width="13.6640625" style="47" customWidth="1"/>
    <col min="4" max="4" width="53.33203125" style="47" customWidth="1"/>
    <col min="5" max="5" width="15.83203125" style="47" customWidth="1"/>
    <col min="6" max="6" width="11.83203125" style="47" bestFit="1" customWidth="1"/>
    <col min="7" max="7" width="14.5" style="47" customWidth="1"/>
    <col min="8" max="8" width="15.33203125" style="47" bestFit="1" customWidth="1"/>
    <col min="9" max="10" width="15.83203125" style="47" customWidth="1"/>
    <col min="11" max="11" width="12" style="47" bestFit="1" customWidth="1"/>
    <col min="12" max="12" width="16" style="47" customWidth="1"/>
    <col min="13" max="14" width="9.33203125" style="47"/>
    <col min="15" max="29" width="0" style="47" hidden="1" customWidth="1"/>
    <col min="30" max="30" width="106.1640625" style="47" hidden="1" customWidth="1"/>
    <col min="31" max="31" width="157.1640625" style="47" hidden="1" customWidth="1"/>
    <col min="32" max="32" width="119" style="47" hidden="1" customWidth="1"/>
    <col min="33" max="36" width="0" style="47" hidden="1" customWidth="1"/>
    <col min="37" max="16384" width="9.33203125" style="47"/>
  </cols>
  <sheetData>
    <row r="1" spans="1:12" ht="14.25" x14ac:dyDescent="0.2">
      <c r="A1" s="79"/>
      <c r="B1" s="79"/>
      <c r="C1" s="79"/>
      <c r="D1" s="79"/>
      <c r="E1" s="79"/>
      <c r="F1" s="79"/>
      <c r="G1" s="79"/>
      <c r="H1" s="79"/>
      <c r="I1" s="430" t="s">
        <v>15</v>
      </c>
      <c r="J1" s="430"/>
      <c r="K1" s="430"/>
      <c r="L1" s="430"/>
    </row>
    <row r="2" spans="1:12" ht="14.25" x14ac:dyDescent="0.2">
      <c r="A2" s="79"/>
      <c r="B2" s="79"/>
      <c r="C2" s="79"/>
      <c r="D2" s="79"/>
      <c r="E2" s="79"/>
      <c r="F2" s="79"/>
      <c r="G2" s="79"/>
      <c r="H2" s="79"/>
      <c r="I2" s="430" t="s">
        <v>16</v>
      </c>
      <c r="J2" s="430"/>
      <c r="K2" s="430"/>
      <c r="L2" s="430"/>
    </row>
    <row r="3" spans="1:12" ht="14.25" x14ac:dyDescent="0.2">
      <c r="A3" s="79"/>
      <c r="B3" s="79"/>
      <c r="C3" s="79"/>
      <c r="D3" s="79"/>
      <c r="E3" s="79"/>
      <c r="F3" s="79"/>
      <c r="G3" s="79"/>
      <c r="H3" s="79"/>
      <c r="I3" s="79"/>
      <c r="J3" s="431" t="s">
        <v>17</v>
      </c>
      <c r="K3" s="431"/>
      <c r="L3" s="431"/>
    </row>
    <row r="4" spans="1:12" ht="14.25" x14ac:dyDescent="0.2">
      <c r="A4" s="79"/>
      <c r="B4" s="79"/>
      <c r="C4" s="79"/>
      <c r="D4" s="79"/>
      <c r="E4" s="79"/>
      <c r="F4" s="79"/>
      <c r="G4" s="79"/>
      <c r="H4" s="79"/>
      <c r="I4" s="173" t="s">
        <v>18</v>
      </c>
      <c r="J4" s="432" t="s">
        <v>19</v>
      </c>
      <c r="K4" s="432"/>
      <c r="L4" s="432"/>
    </row>
    <row r="5" spans="1:12" ht="14.25" x14ac:dyDescent="0.2">
      <c r="A5" s="79"/>
      <c r="B5" s="79"/>
      <c r="C5" s="79"/>
      <c r="D5" s="79"/>
      <c r="E5" s="79"/>
      <c r="F5" s="79"/>
      <c r="G5" s="79"/>
      <c r="H5" s="79"/>
      <c r="I5" s="79"/>
      <c r="J5" s="421" t="s">
        <v>83</v>
      </c>
      <c r="K5" s="422"/>
      <c r="L5" s="423"/>
    </row>
    <row r="6" spans="1:12" ht="25.5" customHeight="1" x14ac:dyDescent="0.2">
      <c r="A6" s="427" t="s">
        <v>85</v>
      </c>
      <c r="B6" s="427"/>
      <c r="C6" s="428" t="s">
        <v>86</v>
      </c>
      <c r="D6" s="428"/>
      <c r="E6" s="428"/>
      <c r="F6" s="428"/>
      <c r="G6" s="428"/>
      <c r="H6" s="428"/>
      <c r="I6" s="173" t="s">
        <v>21</v>
      </c>
      <c r="J6" s="424"/>
      <c r="K6" s="425"/>
      <c r="L6" s="426"/>
    </row>
    <row r="7" spans="1:12" ht="14.25" customHeight="1" x14ac:dyDescent="0.2">
      <c r="A7" s="80"/>
      <c r="B7" s="80"/>
      <c r="C7" s="420" t="s">
        <v>22</v>
      </c>
      <c r="D7" s="420"/>
      <c r="E7" s="420"/>
      <c r="F7" s="420"/>
      <c r="G7" s="420"/>
      <c r="H7" s="420"/>
      <c r="I7" s="79"/>
      <c r="J7" s="421" t="s">
        <v>56</v>
      </c>
      <c r="K7" s="422"/>
      <c r="L7" s="423"/>
    </row>
    <row r="8" spans="1:12" ht="26.25" customHeight="1" x14ac:dyDescent="0.2">
      <c r="A8" s="427" t="s">
        <v>87</v>
      </c>
      <c r="B8" s="427"/>
      <c r="C8" s="428" t="s">
        <v>88</v>
      </c>
      <c r="D8" s="428"/>
      <c r="E8" s="428"/>
      <c r="F8" s="428"/>
      <c r="G8" s="428"/>
      <c r="H8" s="428"/>
      <c r="I8" s="173" t="s">
        <v>21</v>
      </c>
      <c r="J8" s="424"/>
      <c r="K8" s="425"/>
      <c r="L8" s="426"/>
    </row>
    <row r="9" spans="1:12" ht="14.25" customHeight="1" x14ac:dyDescent="0.2">
      <c r="A9" s="79"/>
      <c r="B9" s="79"/>
      <c r="C9" s="420" t="s">
        <v>22</v>
      </c>
      <c r="D9" s="420"/>
      <c r="E9" s="420"/>
      <c r="F9" s="420"/>
      <c r="G9" s="420"/>
      <c r="H9" s="420"/>
      <c r="I9" s="79"/>
      <c r="J9" s="421"/>
      <c r="K9" s="422"/>
      <c r="L9" s="423"/>
    </row>
    <row r="10" spans="1:12" ht="14.25" customHeight="1" x14ac:dyDescent="0.2">
      <c r="A10" s="79" t="s">
        <v>23</v>
      </c>
      <c r="B10" s="79"/>
      <c r="C10" s="429" t="s">
        <v>89</v>
      </c>
      <c r="D10" s="429"/>
      <c r="E10" s="429"/>
      <c r="F10" s="429"/>
      <c r="G10" s="429"/>
      <c r="H10" s="429"/>
      <c r="I10" s="79"/>
      <c r="J10" s="424"/>
      <c r="K10" s="425"/>
      <c r="L10" s="426"/>
    </row>
    <row r="11" spans="1:12" ht="14.25" customHeight="1" x14ac:dyDescent="0.2">
      <c r="A11" s="79"/>
      <c r="B11" s="79"/>
      <c r="C11" s="420" t="s">
        <v>24</v>
      </c>
      <c r="D11" s="420"/>
      <c r="E11" s="420"/>
      <c r="F11" s="420"/>
      <c r="G11" s="420"/>
      <c r="H11" s="420"/>
      <c r="I11" s="79"/>
      <c r="J11" s="450" t="s">
        <v>20</v>
      </c>
      <c r="K11" s="450"/>
      <c r="L11" s="450"/>
    </row>
    <row r="12" spans="1:12" ht="14.25" customHeight="1" x14ac:dyDescent="0.2">
      <c r="A12" s="79" t="s">
        <v>25</v>
      </c>
      <c r="B12" s="79"/>
      <c r="C12" s="451" t="s">
        <v>90</v>
      </c>
      <c r="D12" s="451"/>
      <c r="E12" s="451"/>
      <c r="F12" s="451"/>
      <c r="G12" s="451"/>
      <c r="H12" s="451"/>
      <c r="I12" s="79"/>
      <c r="J12" s="450"/>
      <c r="K12" s="450"/>
      <c r="L12" s="450"/>
    </row>
    <row r="13" spans="1:12" ht="14.25" customHeight="1" x14ac:dyDescent="0.2">
      <c r="A13" s="79"/>
      <c r="B13" s="79"/>
      <c r="C13" s="452" t="s">
        <v>26</v>
      </c>
      <c r="D13" s="452"/>
      <c r="E13" s="452"/>
      <c r="F13" s="452"/>
      <c r="G13" s="452"/>
      <c r="H13" s="452"/>
      <c r="I13" s="79"/>
      <c r="J13" s="79"/>
      <c r="K13" s="79"/>
      <c r="L13" s="79"/>
    </row>
    <row r="14" spans="1:12" ht="14.25" x14ac:dyDescent="0.2">
      <c r="A14" s="79"/>
      <c r="B14" s="79"/>
      <c r="C14" s="79"/>
      <c r="D14" s="79"/>
      <c r="E14" s="79"/>
      <c r="F14" s="79"/>
      <c r="G14" s="433" t="s">
        <v>27</v>
      </c>
      <c r="H14" s="433"/>
      <c r="I14" s="433"/>
      <c r="J14" s="431"/>
      <c r="K14" s="431"/>
      <c r="L14" s="431"/>
    </row>
    <row r="15" spans="1:12" ht="14.25" customHeight="1" x14ac:dyDescent="0.2">
      <c r="A15" s="79"/>
      <c r="B15" s="79"/>
      <c r="C15" s="79"/>
      <c r="D15" s="79"/>
      <c r="E15" s="79"/>
      <c r="F15" s="79"/>
      <c r="G15" s="433" t="s">
        <v>28</v>
      </c>
      <c r="H15" s="434"/>
      <c r="I15" s="81" t="s">
        <v>29</v>
      </c>
      <c r="J15" s="435" t="s">
        <v>91</v>
      </c>
      <c r="K15" s="436"/>
      <c r="L15" s="437"/>
    </row>
    <row r="16" spans="1:12" ht="14.25" x14ac:dyDescent="0.2">
      <c r="A16" s="79"/>
      <c r="B16" s="79"/>
      <c r="C16" s="79"/>
      <c r="D16" s="79"/>
      <c r="E16" s="79"/>
      <c r="F16" s="79"/>
      <c r="G16" s="79"/>
      <c r="H16" s="79"/>
      <c r="I16" s="174" t="s">
        <v>30</v>
      </c>
      <c r="J16" s="438">
        <v>41544</v>
      </c>
      <c r="K16" s="438"/>
      <c r="L16" s="438"/>
    </row>
    <row r="17" spans="1:31" ht="14.25" customHeight="1" x14ac:dyDescent="0.2">
      <c r="A17" s="79"/>
      <c r="B17" s="79"/>
      <c r="C17" s="79"/>
      <c r="D17" s="79"/>
      <c r="E17" s="79"/>
      <c r="F17" s="79"/>
      <c r="G17" s="79"/>
      <c r="H17" s="79"/>
      <c r="I17" s="82"/>
      <c r="J17" s="439">
        <v>25</v>
      </c>
      <c r="K17" s="440"/>
      <c r="L17" s="441"/>
    </row>
    <row r="18" spans="1:31" ht="14.25" x14ac:dyDescent="0.2">
      <c r="A18" s="79"/>
      <c r="B18" s="79"/>
      <c r="C18" s="79"/>
      <c r="D18" s="79"/>
      <c r="E18" s="79"/>
      <c r="F18" s="79"/>
      <c r="G18" s="79"/>
      <c r="H18" s="79"/>
      <c r="I18" s="82"/>
      <c r="J18" s="442">
        <v>44158</v>
      </c>
      <c r="K18" s="443"/>
      <c r="L18" s="444"/>
    </row>
    <row r="19" spans="1:31" ht="14.25" customHeight="1" x14ac:dyDescent="0.2">
      <c r="A19" s="79"/>
      <c r="B19" s="79"/>
      <c r="C19" s="79"/>
      <c r="D19" s="79"/>
      <c r="E19" s="79"/>
      <c r="F19" s="79"/>
      <c r="G19" s="79"/>
      <c r="H19" s="79"/>
      <c r="I19" s="82"/>
      <c r="J19" s="156"/>
      <c r="K19" s="156"/>
      <c r="L19" s="156"/>
    </row>
    <row r="20" spans="1:31" s="141" customFormat="1" ht="18" customHeight="1" x14ac:dyDescent="0.25">
      <c r="A20" s="79"/>
      <c r="B20" s="79"/>
      <c r="C20" s="79"/>
      <c r="D20" s="79"/>
      <c r="E20" s="79"/>
      <c r="F20" s="79"/>
      <c r="G20" s="445" t="s">
        <v>31</v>
      </c>
      <c r="H20" s="447" t="s">
        <v>32</v>
      </c>
      <c r="I20" s="447" t="s">
        <v>33</v>
      </c>
      <c r="J20" s="449"/>
      <c r="K20" s="156"/>
      <c r="L20" s="156"/>
      <c r="M20" s="140"/>
    </row>
    <row r="21" spans="1:31" s="141" customFormat="1" ht="14.25" customHeight="1" x14ac:dyDescent="0.25">
      <c r="A21" s="79"/>
      <c r="B21" s="79"/>
      <c r="C21" s="79"/>
      <c r="D21" s="79"/>
      <c r="E21" s="79"/>
      <c r="F21" s="79"/>
      <c r="G21" s="446"/>
      <c r="H21" s="448"/>
      <c r="I21" s="170" t="s">
        <v>34</v>
      </c>
      <c r="J21" s="169" t="s">
        <v>35</v>
      </c>
      <c r="K21" s="156"/>
      <c r="L21" s="156"/>
      <c r="M21" s="140"/>
    </row>
    <row r="22" spans="1:31" s="141" customFormat="1" ht="14.25" x14ac:dyDescent="0.2">
      <c r="A22" s="79"/>
      <c r="B22" s="79"/>
      <c r="C22" s="79"/>
      <c r="D22" s="79"/>
      <c r="E22" s="79"/>
      <c r="F22" s="79"/>
      <c r="G22" s="157" t="s">
        <v>261</v>
      </c>
      <c r="H22" s="158">
        <v>44255</v>
      </c>
      <c r="I22" s="158">
        <v>44228</v>
      </c>
      <c r="J22" s="159">
        <f>H22</f>
        <v>44255</v>
      </c>
      <c r="K22" s="79"/>
      <c r="L22" s="79"/>
    </row>
    <row r="23" spans="1:31" s="141" customFormat="1" ht="14.25" customHeight="1" x14ac:dyDescent="0.2">
      <c r="A23" s="79"/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1:31" s="141" customFormat="1" ht="14.25" x14ac:dyDescent="0.2">
      <c r="A24" s="79"/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1:31" s="141" customFormat="1" ht="18" x14ac:dyDescent="0.25">
      <c r="A25" s="453" t="s">
        <v>36</v>
      </c>
      <c r="B25" s="453"/>
      <c r="C25" s="453"/>
      <c r="D25" s="453"/>
      <c r="E25" s="453"/>
      <c r="F25" s="453"/>
      <c r="G25" s="453"/>
      <c r="H25" s="453"/>
      <c r="I25" s="453"/>
      <c r="J25" s="453"/>
      <c r="K25" s="453"/>
      <c r="L25" s="453"/>
    </row>
    <row r="26" spans="1:31" s="141" customFormat="1" ht="18" x14ac:dyDescent="0.25">
      <c r="A26" s="453" t="s">
        <v>37</v>
      </c>
      <c r="B26" s="453"/>
      <c r="C26" s="453"/>
      <c r="D26" s="453"/>
      <c r="E26" s="453"/>
      <c r="F26" s="453"/>
      <c r="G26" s="453"/>
      <c r="H26" s="453"/>
      <c r="I26" s="453"/>
      <c r="J26" s="453"/>
      <c r="K26" s="453"/>
      <c r="L26" s="453"/>
    </row>
    <row r="27" spans="1:31" ht="14.25" x14ac:dyDescent="0.2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</row>
    <row r="28" spans="1:31" ht="15" hidden="1" x14ac:dyDescent="0.25">
      <c r="A28" s="44" t="s">
        <v>66</v>
      </c>
      <c r="B28" s="44"/>
      <c r="C28" s="44"/>
      <c r="D28" s="44"/>
      <c r="E28" s="44"/>
      <c r="F28" s="44"/>
      <c r="G28" s="44"/>
      <c r="H28" s="396">
        <f>([81]Source!P1798/1000)</f>
        <v>132.12</v>
      </c>
      <c r="I28" s="396"/>
      <c r="J28" s="44" t="s">
        <v>67</v>
      </c>
      <c r="K28" s="44"/>
      <c r="L28" s="44"/>
    </row>
    <row r="29" spans="1:31" ht="15" x14ac:dyDescent="0.25">
      <c r="A29" s="44" t="s">
        <v>168</v>
      </c>
      <c r="B29" s="44"/>
      <c r="C29" s="44"/>
      <c r="D29" s="44"/>
      <c r="E29" s="44"/>
      <c r="F29" s="44"/>
      <c r="G29" s="44"/>
      <c r="H29" s="182"/>
      <c r="I29" s="182"/>
      <c r="J29" s="44"/>
      <c r="K29" s="44"/>
      <c r="L29" s="44"/>
    </row>
    <row r="30" spans="1:31" ht="14.25" x14ac:dyDescent="0.2">
      <c r="A30" s="397" t="s">
        <v>262</v>
      </c>
      <c r="B30" s="397"/>
      <c r="C30" s="397"/>
      <c r="D30" s="397"/>
      <c r="E30" s="397"/>
      <c r="F30" s="397"/>
      <c r="G30" s="397"/>
      <c r="H30" s="397"/>
      <c r="I30" s="397"/>
      <c r="J30" s="397"/>
      <c r="K30" s="397"/>
      <c r="L30" s="397"/>
      <c r="AE30" s="171" t="s">
        <v>262</v>
      </c>
    </row>
    <row r="31" spans="1:31" x14ac:dyDescent="0.2">
      <c r="A31" s="398" t="s">
        <v>38</v>
      </c>
      <c r="B31" s="399"/>
      <c r="C31" s="392" t="s">
        <v>39</v>
      </c>
      <c r="D31" s="392" t="s">
        <v>40</v>
      </c>
      <c r="E31" s="392" t="s">
        <v>75</v>
      </c>
      <c r="F31" s="392" t="s">
        <v>68</v>
      </c>
      <c r="G31" s="392" t="s">
        <v>69</v>
      </c>
      <c r="H31" s="392" t="s">
        <v>76</v>
      </c>
      <c r="I31" s="392" t="s">
        <v>77</v>
      </c>
      <c r="J31" s="392" t="s">
        <v>78</v>
      </c>
      <c r="K31" s="392" t="s">
        <v>79</v>
      </c>
      <c r="L31" s="392" t="s">
        <v>80</v>
      </c>
    </row>
    <row r="32" spans="1:31" x14ac:dyDescent="0.2">
      <c r="A32" s="400"/>
      <c r="B32" s="401"/>
      <c r="C32" s="393"/>
      <c r="D32" s="393"/>
      <c r="E32" s="393"/>
      <c r="F32" s="393"/>
      <c r="G32" s="393"/>
      <c r="H32" s="393"/>
      <c r="I32" s="393"/>
      <c r="J32" s="393"/>
      <c r="K32" s="393"/>
      <c r="L32" s="393"/>
    </row>
    <row r="33" spans="1:12" x14ac:dyDescent="0.2">
      <c r="A33" s="395" t="s">
        <v>41</v>
      </c>
      <c r="B33" s="395" t="s">
        <v>42</v>
      </c>
      <c r="C33" s="393"/>
      <c r="D33" s="393"/>
      <c r="E33" s="393"/>
      <c r="F33" s="393"/>
      <c r="G33" s="393"/>
      <c r="H33" s="393"/>
      <c r="I33" s="393"/>
      <c r="J33" s="393"/>
      <c r="K33" s="393"/>
      <c r="L33" s="393"/>
    </row>
    <row r="34" spans="1:12" x14ac:dyDescent="0.2">
      <c r="A34" s="395"/>
      <c r="B34" s="395"/>
      <c r="C34" s="393"/>
      <c r="D34" s="393"/>
      <c r="E34" s="393"/>
      <c r="F34" s="393"/>
      <c r="G34" s="393"/>
      <c r="H34" s="393"/>
      <c r="I34" s="393"/>
      <c r="J34" s="393"/>
      <c r="K34" s="393"/>
      <c r="L34" s="393"/>
    </row>
    <row r="35" spans="1:12" x14ac:dyDescent="0.2">
      <c r="A35" s="395"/>
      <c r="B35" s="395"/>
      <c r="C35" s="393"/>
      <c r="D35" s="393"/>
      <c r="E35" s="393"/>
      <c r="F35" s="393"/>
      <c r="G35" s="393"/>
      <c r="H35" s="393"/>
      <c r="I35" s="393"/>
      <c r="J35" s="393"/>
      <c r="K35" s="393"/>
      <c r="L35" s="393"/>
    </row>
    <row r="36" spans="1:12" x14ac:dyDescent="0.2">
      <c r="A36" s="395"/>
      <c r="B36" s="395"/>
      <c r="C36" s="393"/>
      <c r="D36" s="393"/>
      <c r="E36" s="393"/>
      <c r="F36" s="393"/>
      <c r="G36" s="393"/>
      <c r="H36" s="393"/>
      <c r="I36" s="393"/>
      <c r="J36" s="393"/>
      <c r="K36" s="393"/>
      <c r="L36" s="393"/>
    </row>
    <row r="37" spans="1:12" x14ac:dyDescent="0.2">
      <c r="A37" s="395"/>
      <c r="B37" s="395"/>
      <c r="C37" s="393"/>
      <c r="D37" s="393"/>
      <c r="E37" s="393"/>
      <c r="F37" s="393"/>
      <c r="G37" s="393"/>
      <c r="H37" s="393"/>
      <c r="I37" s="393"/>
      <c r="J37" s="393"/>
      <c r="K37" s="393"/>
      <c r="L37" s="393"/>
    </row>
    <row r="38" spans="1:12" x14ac:dyDescent="0.2">
      <c r="A38" s="395"/>
      <c r="B38" s="395"/>
      <c r="C38" s="394"/>
      <c r="D38" s="394"/>
      <c r="E38" s="394"/>
      <c r="F38" s="394"/>
      <c r="G38" s="394"/>
      <c r="H38" s="394"/>
      <c r="I38" s="394"/>
      <c r="J38" s="394"/>
      <c r="K38" s="394"/>
      <c r="L38" s="394"/>
    </row>
    <row r="39" spans="1:12" ht="14.25" x14ac:dyDescent="0.2">
      <c r="A39" s="175">
        <v>1</v>
      </c>
      <c r="B39" s="175">
        <v>2</v>
      </c>
      <c r="C39" s="175">
        <v>3</v>
      </c>
      <c r="D39" s="175">
        <v>4</v>
      </c>
      <c r="E39" s="175">
        <v>5</v>
      </c>
      <c r="F39" s="175">
        <v>6</v>
      </c>
      <c r="G39" s="175">
        <v>7</v>
      </c>
      <c r="H39" s="175">
        <v>8</v>
      </c>
      <c r="I39" s="175">
        <v>9</v>
      </c>
      <c r="J39" s="175">
        <v>10</v>
      </c>
      <c r="K39" s="175">
        <v>11</v>
      </c>
      <c r="L39" s="175">
        <v>12</v>
      </c>
    </row>
    <row r="41" spans="1:12" ht="32.25" customHeight="1" x14ac:dyDescent="0.25">
      <c r="A41" s="402" t="s">
        <v>263</v>
      </c>
      <c r="B41" s="402"/>
      <c r="C41" s="402"/>
      <c r="D41" s="402"/>
      <c r="E41" s="402"/>
      <c r="F41" s="402"/>
      <c r="G41" s="402"/>
      <c r="H41" s="402"/>
      <c r="I41" s="402"/>
      <c r="J41" s="402"/>
      <c r="K41" s="402"/>
      <c r="L41" s="402"/>
    </row>
    <row r="43" spans="1:12" ht="16.5" x14ac:dyDescent="0.25">
      <c r="A43" s="402" t="str">
        <f>CONCATENATE("Раздел: ",IF([81]Source!G24&lt;&gt;"Новый раздел", [81]Source!G24, ""))</f>
        <v>Раздел: Полы, стены, покрытие</v>
      </c>
      <c r="B43" s="402"/>
      <c r="C43" s="402"/>
      <c r="D43" s="402"/>
      <c r="E43" s="402"/>
      <c r="F43" s="402"/>
      <c r="G43" s="402"/>
      <c r="H43" s="402"/>
      <c r="I43" s="402"/>
      <c r="J43" s="402"/>
      <c r="K43" s="402"/>
      <c r="L43" s="402"/>
    </row>
    <row r="44" spans="1:12" hidden="1" x14ac:dyDescent="0.2"/>
    <row r="45" spans="1:12" ht="16.5" hidden="1" x14ac:dyDescent="0.25">
      <c r="A45" s="402" t="str">
        <f>CONCATENATE("Подраздел: ",IF([81]Source!G28&lt;&gt;"Новый подраздел", [81]Source!G28, ""))</f>
        <v>Подраздел: Тип Т01</v>
      </c>
      <c r="B45" s="402"/>
      <c r="C45" s="402"/>
      <c r="D45" s="402"/>
      <c r="E45" s="402"/>
      <c r="F45" s="402"/>
      <c r="G45" s="402"/>
      <c r="H45" s="402"/>
      <c r="I45" s="402"/>
      <c r="J45" s="402"/>
      <c r="K45" s="402"/>
      <c r="L45" s="402"/>
    </row>
    <row r="46" spans="1:12" hidden="1" x14ac:dyDescent="0.2"/>
    <row r="47" spans="1:12" ht="15" hidden="1" x14ac:dyDescent="0.25">
      <c r="A47" s="403" t="str">
        <f>CONCATENATE("Итого по подразделу: ",IF([81]Source!G65&lt;&gt;"Новый подраздел", [81]Source!G65, ""))</f>
        <v>Итого по подразделу: Тип Т01</v>
      </c>
      <c r="B47" s="403"/>
      <c r="C47" s="403"/>
      <c r="D47" s="403"/>
      <c r="E47" s="403"/>
      <c r="F47" s="403"/>
      <c r="G47" s="403"/>
      <c r="H47" s="403"/>
      <c r="I47" s="404">
        <f>SUM(O45:O46)</f>
        <v>0</v>
      </c>
      <c r="J47" s="405"/>
      <c r="K47" s="404">
        <f>SUM(P45:P46)</f>
        <v>0</v>
      </c>
      <c r="L47" s="405"/>
    </row>
    <row r="48" spans="1:12" hidden="1" x14ac:dyDescent="0.2">
      <c r="A48" s="47" t="s">
        <v>54</v>
      </c>
      <c r="J48" s="47">
        <f>SUM(W45:W47)</f>
        <v>0</v>
      </c>
      <c r="K48" s="47">
        <f>SUM(X45:X47)</f>
        <v>0</v>
      </c>
    </row>
    <row r="49" spans="1:22" hidden="1" x14ac:dyDescent="0.2">
      <c r="A49" s="47" t="s">
        <v>55</v>
      </c>
      <c r="J49" s="47">
        <f>SUM(Y45:Y48)</f>
        <v>0</v>
      </c>
      <c r="K49" s="47">
        <f>SUM(Z45:Z48)</f>
        <v>0</v>
      </c>
    </row>
    <row r="51" spans="1:22" ht="16.5" x14ac:dyDescent="0.25">
      <c r="A51" s="402" t="str">
        <f>CONCATENATE("Подраздел: ",IF([81]Source!G95&lt;&gt;"Новый подраздел", [81]Source!G95, ""))</f>
        <v>Подраздел: Тип Т01*</v>
      </c>
      <c r="B51" s="402"/>
      <c r="C51" s="402"/>
      <c r="D51" s="402"/>
      <c r="E51" s="402"/>
      <c r="F51" s="402"/>
      <c r="G51" s="402"/>
      <c r="H51" s="402"/>
      <c r="I51" s="402"/>
      <c r="J51" s="402"/>
      <c r="K51" s="402"/>
      <c r="L51" s="402"/>
    </row>
    <row r="52" spans="1:22" ht="65.25" x14ac:dyDescent="0.2">
      <c r="A52" s="84">
        <v>1</v>
      </c>
      <c r="B52" s="84" t="str">
        <f>[81]Source!E99</f>
        <v>1</v>
      </c>
      <c r="C52" s="85" t="s">
        <v>181</v>
      </c>
      <c r="D52" s="85" t="s">
        <v>182</v>
      </c>
      <c r="E52" s="86" t="str">
        <f>[81]Source!H99</f>
        <v>100 м3 в деле</v>
      </c>
      <c r="F52" s="87">
        <f>[81]Source!I99</f>
        <v>1.8200000000000001E-2</v>
      </c>
      <c r="G52" s="88"/>
      <c r="H52" s="89"/>
      <c r="I52" s="87"/>
      <c r="J52" s="176"/>
      <c r="K52" s="87"/>
      <c r="L52" s="176"/>
      <c r="Q52" s="47">
        <f>[81]Source!X99</f>
        <v>43.03</v>
      </c>
      <c r="R52" s="47">
        <f>[81]Source!X100</f>
        <v>954.99</v>
      </c>
      <c r="S52" s="47">
        <f>[81]Source!Y99</f>
        <v>30.74</v>
      </c>
      <c r="T52" s="47">
        <f>[81]Source!Y100</f>
        <v>674.72</v>
      </c>
      <c r="U52" s="47">
        <f>ROUND((175/100)*ROUND([81]Source!R99, 2), 2)</f>
        <v>0.12</v>
      </c>
      <c r="V52" s="47">
        <f>ROUND((157/100)*ROUND([81]Source!R100, 2), 2)</f>
        <v>2.59</v>
      </c>
    </row>
    <row r="53" spans="1:22" ht="14.25" x14ac:dyDescent="0.2">
      <c r="A53" s="84"/>
      <c r="B53" s="84"/>
      <c r="C53" s="85"/>
      <c r="D53" s="85" t="s">
        <v>43</v>
      </c>
      <c r="E53" s="86"/>
      <c r="F53" s="87"/>
      <c r="G53" s="88">
        <f>[81]Source!AO99</f>
        <v>1379.7</v>
      </c>
      <c r="H53" s="89" t="str">
        <f>[81]Source!DG99</f>
        <v>)*1,67</v>
      </c>
      <c r="I53" s="87">
        <f>[81]Source!AV100</f>
        <v>1.0469999999999999</v>
      </c>
      <c r="J53" s="176">
        <f>[81]Source!S99</f>
        <v>43.91</v>
      </c>
      <c r="K53" s="87">
        <f>IF([81]Source!BA100&lt;&gt; 0, [81]Source!BA100, 1)</f>
        <v>23.64</v>
      </c>
      <c r="L53" s="176">
        <f>[81]Source!S100</f>
        <v>1038.03</v>
      </c>
    </row>
    <row r="54" spans="1:22" ht="14.25" x14ac:dyDescent="0.2">
      <c r="A54" s="84"/>
      <c r="B54" s="84"/>
      <c r="C54" s="85"/>
      <c r="D54" s="85" t="s">
        <v>44</v>
      </c>
      <c r="E54" s="86"/>
      <c r="F54" s="87"/>
      <c r="G54" s="88">
        <f>[81]Source!AM99</f>
        <v>22.6</v>
      </c>
      <c r="H54" s="89" t="str">
        <f>[81]Source!DE99</f>
        <v/>
      </c>
      <c r="I54" s="87">
        <f>[81]Source!AV100</f>
        <v>1.0469999999999999</v>
      </c>
      <c r="J54" s="176">
        <f>[81]Source!Q99-J65</f>
        <v>0.43</v>
      </c>
      <c r="K54" s="87">
        <f>IF([81]Source!BB100&lt;&gt; 0, [81]Source!BB100, 1)</f>
        <v>5.54</v>
      </c>
      <c r="L54" s="176">
        <f>[81]Source!Q100-L65</f>
        <v>2.38</v>
      </c>
    </row>
    <row r="55" spans="1:22" ht="14.25" x14ac:dyDescent="0.2">
      <c r="A55" s="84"/>
      <c r="B55" s="84"/>
      <c r="C55" s="85"/>
      <c r="D55" s="85" t="s">
        <v>45</v>
      </c>
      <c r="E55" s="86"/>
      <c r="F55" s="87"/>
      <c r="G55" s="88">
        <f>[81]Source!AN99</f>
        <v>2.09</v>
      </c>
      <c r="H55" s="89" t="str">
        <f>[81]Source!DE99</f>
        <v/>
      </c>
      <c r="I55" s="87">
        <f>[81]Source!AV100</f>
        <v>1.0469999999999999</v>
      </c>
      <c r="J55" s="90">
        <f>[81]Source!R99-J66</f>
        <v>0.04</v>
      </c>
      <c r="K55" s="87">
        <f>IF([81]Source!BS100&lt;&gt; 0, [81]Source!BS100, 1)</f>
        <v>23.64</v>
      </c>
      <c r="L55" s="90">
        <f>[81]Source!R100-L66</f>
        <v>0.94</v>
      </c>
    </row>
    <row r="56" spans="1:22" ht="14.25" x14ac:dyDescent="0.2">
      <c r="A56" s="84"/>
      <c r="B56" s="84"/>
      <c r="C56" s="85"/>
      <c r="D56" s="85" t="s">
        <v>46</v>
      </c>
      <c r="E56" s="86"/>
      <c r="F56" s="87"/>
      <c r="G56" s="88">
        <f>[81]Source!AL99</f>
        <v>1859.87</v>
      </c>
      <c r="H56" s="89" t="str">
        <f>[81]Source!DD99</f>
        <v/>
      </c>
      <c r="I56" s="87">
        <f>[81]Source!AW100</f>
        <v>1.022</v>
      </c>
      <c r="J56" s="176">
        <f>[81]Source!P99</f>
        <v>34.590000000000003</v>
      </c>
      <c r="K56" s="87">
        <f>IF([81]Source!BC100&lt;&gt; 0, [81]Source!BC100, 1)</f>
        <v>2.95</v>
      </c>
      <c r="L56" s="176">
        <f>[81]Source!P100</f>
        <v>102.04</v>
      </c>
    </row>
    <row r="57" spans="1:22" ht="42.75" x14ac:dyDescent="0.2">
      <c r="A57" s="84">
        <v>2</v>
      </c>
      <c r="B57" s="84" t="str">
        <f>[81]Source!E101</f>
        <v>1,1</v>
      </c>
      <c r="C57" s="85" t="str">
        <f>[81]Source!F101</f>
        <v>1.3-1-34</v>
      </c>
      <c r="D57" s="85" t="s">
        <v>264</v>
      </c>
      <c r="E57" s="86" t="str">
        <f>[81]Source!H101</f>
        <v>м3</v>
      </c>
      <c r="F57" s="87">
        <f>[81]Source!I101</f>
        <v>1.8564000000000001</v>
      </c>
      <c r="G57" s="88">
        <f>[81]Source!AK101</f>
        <v>514.9</v>
      </c>
      <c r="H57" s="123" t="s">
        <v>20</v>
      </c>
      <c r="I57" s="87">
        <f>[81]Source!AW102</f>
        <v>1.022</v>
      </c>
      <c r="J57" s="176">
        <f>[81]Source!O101</f>
        <v>976.89</v>
      </c>
      <c r="K57" s="87">
        <f>IF([81]Source!BC102&lt;&gt; 0, [81]Source!BC102, 1)</f>
        <v>7.74</v>
      </c>
      <c r="L57" s="176">
        <f>[81]Source!O102</f>
        <v>7561.13</v>
      </c>
      <c r="Q57" s="47">
        <f>[81]Source!X101</f>
        <v>0</v>
      </c>
      <c r="R57" s="47">
        <f>[81]Source!X102</f>
        <v>0</v>
      </c>
      <c r="S57" s="47">
        <f>[81]Source!Y101</f>
        <v>0</v>
      </c>
      <c r="T57" s="47">
        <f>[81]Source!Y102</f>
        <v>0</v>
      </c>
      <c r="U57" s="47">
        <f>ROUND((175/100)*ROUND([81]Source!R101, 2), 2)</f>
        <v>0</v>
      </c>
      <c r="V57" s="47">
        <f>ROUND((157/100)*ROUND([81]Source!R102, 2), 2)</f>
        <v>0</v>
      </c>
    </row>
    <row r="58" spans="1:22" ht="14.25" x14ac:dyDescent="0.2">
      <c r="A58" s="84"/>
      <c r="B58" s="84"/>
      <c r="C58" s="85"/>
      <c r="D58" s="85" t="s">
        <v>47</v>
      </c>
      <c r="E58" s="86" t="s">
        <v>48</v>
      </c>
      <c r="F58" s="87">
        <f>[81]Source!DN100</f>
        <v>98</v>
      </c>
      <c r="G58" s="88"/>
      <c r="H58" s="89"/>
      <c r="I58" s="87"/>
      <c r="J58" s="176">
        <f>SUM(Q52:Q57)</f>
        <v>43.03</v>
      </c>
      <c r="K58" s="87">
        <f>[81]Source!BZ100</f>
        <v>92</v>
      </c>
      <c r="L58" s="176">
        <f>SUM(R52:R57)</f>
        <v>954.99</v>
      </c>
    </row>
    <row r="59" spans="1:22" ht="14.25" x14ac:dyDescent="0.2">
      <c r="A59" s="84"/>
      <c r="B59" s="84"/>
      <c r="C59" s="85"/>
      <c r="D59" s="85" t="s">
        <v>49</v>
      </c>
      <c r="E59" s="86" t="s">
        <v>48</v>
      </c>
      <c r="F59" s="87">
        <f>[81]Source!DO100</f>
        <v>70</v>
      </c>
      <c r="G59" s="88"/>
      <c r="H59" s="89"/>
      <c r="I59" s="87"/>
      <c r="J59" s="176">
        <f>SUM(S52:S58)</f>
        <v>30.74</v>
      </c>
      <c r="K59" s="87">
        <f>[81]Source!CA100</f>
        <v>65</v>
      </c>
      <c r="L59" s="176">
        <f>SUM(T52:T58)</f>
        <v>674.72</v>
      </c>
    </row>
    <row r="60" spans="1:22" ht="14.25" x14ac:dyDescent="0.2">
      <c r="A60" s="84"/>
      <c r="B60" s="84"/>
      <c r="C60" s="85"/>
      <c r="D60" s="85" t="s">
        <v>50</v>
      </c>
      <c r="E60" s="86" t="s">
        <v>48</v>
      </c>
      <c r="F60" s="87">
        <f>175</f>
        <v>175</v>
      </c>
      <c r="G60" s="88"/>
      <c r="H60" s="89"/>
      <c r="I60" s="87"/>
      <c r="J60" s="176">
        <f>SUM(U52:U59)-J67</f>
        <v>7.0000000000000007E-2</v>
      </c>
      <c r="K60" s="87">
        <f>157</f>
        <v>157</v>
      </c>
      <c r="L60" s="176">
        <f>SUM(V52:V59)-L67</f>
        <v>1.48</v>
      </c>
    </row>
    <row r="61" spans="1:22" ht="14.25" x14ac:dyDescent="0.2">
      <c r="A61" s="183"/>
      <c r="B61" s="183"/>
      <c r="C61" s="184"/>
      <c r="D61" s="184" t="s">
        <v>51</v>
      </c>
      <c r="E61" s="185" t="s">
        <v>52</v>
      </c>
      <c r="F61" s="186">
        <f>[81]Source!AQ99</f>
        <v>135</v>
      </c>
      <c r="G61" s="187"/>
      <c r="H61" s="188" t="str">
        <f>[81]Source!DI99</f>
        <v/>
      </c>
      <c r="I61" s="186">
        <f>[81]Source!AV100</f>
        <v>1.0469999999999999</v>
      </c>
      <c r="J61" s="189">
        <f>[81]Source!U99</f>
        <v>2.57</v>
      </c>
      <c r="K61" s="186"/>
      <c r="L61" s="189"/>
    </row>
    <row r="62" spans="1:22" ht="15" x14ac:dyDescent="0.25">
      <c r="D62" s="194" t="s">
        <v>81</v>
      </c>
      <c r="I62" s="408">
        <f>J53+J54+J56+J58+J59+J60+SUM(J57:J57)</f>
        <v>1129.6600000000001</v>
      </c>
      <c r="J62" s="408"/>
      <c r="K62" s="408">
        <f>L53+L54+L56+L58+L59+L60+SUM(L57:L57)</f>
        <v>10334.77</v>
      </c>
      <c r="L62" s="408"/>
      <c r="O62" s="92">
        <f>J53+J54+J56+J58+J59+J60+SUM(J57:J57)</f>
        <v>1129.6600000000001</v>
      </c>
      <c r="P62" s="92">
        <f>L53+L54+L56+L58+L59+L60+SUM(L57:L57)</f>
        <v>10334.77</v>
      </c>
    </row>
    <row r="64" spans="1:22" ht="65.25" x14ac:dyDescent="0.2">
      <c r="A64" s="84">
        <v>3</v>
      </c>
      <c r="B64" s="84" t="str">
        <f>CONCATENATE([81]Source!E99, "/1")</f>
        <v>1/1</v>
      </c>
      <c r="C64" s="85" t="s">
        <v>184</v>
      </c>
      <c r="D64" s="85" t="s">
        <v>82</v>
      </c>
      <c r="E64" s="86" t="str">
        <f>[81]Source!H99</f>
        <v>100 м3 в деле</v>
      </c>
      <c r="F64" s="87">
        <f>[81]Source!I99</f>
        <v>1.8200000000000001E-2</v>
      </c>
      <c r="G64" s="88"/>
      <c r="H64" s="89"/>
      <c r="I64" s="87"/>
      <c r="J64" s="176"/>
      <c r="K64" s="87"/>
      <c r="L64" s="176"/>
    </row>
    <row r="65" spans="1:22" ht="14.25" x14ac:dyDescent="0.2">
      <c r="A65" s="84"/>
      <c r="B65" s="84"/>
      <c r="C65" s="85"/>
      <c r="D65" s="85" t="s">
        <v>44</v>
      </c>
      <c r="E65" s="86"/>
      <c r="F65" s="87"/>
      <c r="G65" s="88">
        <f t="shared" ref="G65:L65" si="0">G66</f>
        <v>2.09</v>
      </c>
      <c r="H65" s="195" t="str">
        <f t="shared" si="0"/>
        <v>)*(1.67-1)</v>
      </c>
      <c r="I65" s="87">
        <f t="shared" si="0"/>
        <v>1.0469999999999999</v>
      </c>
      <c r="J65" s="176">
        <f t="shared" si="0"/>
        <v>0.03</v>
      </c>
      <c r="K65" s="87">
        <f t="shared" si="0"/>
        <v>23.64</v>
      </c>
      <c r="L65" s="176">
        <f t="shared" si="0"/>
        <v>0.71</v>
      </c>
    </row>
    <row r="66" spans="1:22" ht="14.25" x14ac:dyDescent="0.2">
      <c r="A66" s="84"/>
      <c r="B66" s="84"/>
      <c r="C66" s="85"/>
      <c r="D66" s="85" t="s">
        <v>45</v>
      </c>
      <c r="E66" s="86"/>
      <c r="F66" s="87"/>
      <c r="G66" s="88">
        <f>[81]Source!AN99</f>
        <v>2.09</v>
      </c>
      <c r="H66" s="195" t="s">
        <v>53</v>
      </c>
      <c r="I66" s="87">
        <f>[81]Source!AV100</f>
        <v>1.0469999999999999</v>
      </c>
      <c r="J66" s="90">
        <f>ROUND(F52*G66*I66*(1.67-1), 2)</f>
        <v>0.03</v>
      </c>
      <c r="K66" s="87">
        <f>IF([81]Source!BS100&lt;&gt; 0, [81]Source!BS100, 1)</f>
        <v>23.64</v>
      </c>
      <c r="L66" s="90">
        <f>ROUND(ROUND(F52*G66*I66*(1.67-1), 2)*K66, 2)</f>
        <v>0.71</v>
      </c>
    </row>
    <row r="67" spans="1:22" ht="14.25" x14ac:dyDescent="0.2">
      <c r="A67" s="84"/>
      <c r="B67" s="84"/>
      <c r="C67" s="85"/>
      <c r="D67" s="85" t="s">
        <v>50</v>
      </c>
      <c r="E67" s="86" t="s">
        <v>48</v>
      </c>
      <c r="F67" s="87">
        <f>175</f>
        <v>175</v>
      </c>
      <c r="G67" s="88"/>
      <c r="H67" s="89"/>
      <c r="I67" s="87"/>
      <c r="J67" s="176">
        <f>ROUND(J66*(F67/100), 2)</f>
        <v>0.05</v>
      </c>
      <c r="K67" s="87">
        <f>157</f>
        <v>157</v>
      </c>
      <c r="L67" s="176">
        <f>ROUND(L66*(K67/100), 2)</f>
        <v>1.1100000000000001</v>
      </c>
    </row>
    <row r="68" spans="1:22" ht="15" x14ac:dyDescent="0.25">
      <c r="A68" s="190"/>
      <c r="B68" s="190"/>
      <c r="C68" s="190"/>
      <c r="D68" s="191" t="s">
        <v>81</v>
      </c>
      <c r="E68" s="190"/>
      <c r="F68" s="190"/>
      <c r="G68" s="190"/>
      <c r="H68" s="190"/>
      <c r="I68" s="409">
        <f>J67+J66</f>
        <v>0.08</v>
      </c>
      <c r="J68" s="409"/>
      <c r="K68" s="409">
        <f>L67+L66</f>
        <v>1.82</v>
      </c>
      <c r="L68" s="409"/>
      <c r="O68" s="92">
        <f>I68</f>
        <v>0.08</v>
      </c>
      <c r="P68" s="92">
        <f>K68</f>
        <v>1.82</v>
      </c>
    </row>
    <row r="70" spans="1:22" ht="71.25" x14ac:dyDescent="0.2">
      <c r="A70" s="84">
        <v>4</v>
      </c>
      <c r="B70" s="84" t="str">
        <f>[81]Source!E103</f>
        <v>2</v>
      </c>
      <c r="C70" s="85" t="s">
        <v>185</v>
      </c>
      <c r="D70" s="85" t="s">
        <v>186</v>
      </c>
      <c r="E70" s="86" t="str">
        <f>[81]Source!H103</f>
        <v>100 м2 изолируемой поверхности</v>
      </c>
      <c r="F70" s="87">
        <f>[81]Source!I103</f>
        <v>0.1462</v>
      </c>
      <c r="G70" s="88"/>
      <c r="H70" s="89"/>
      <c r="I70" s="87"/>
      <c r="J70" s="176"/>
      <c r="K70" s="87"/>
      <c r="L70" s="176"/>
      <c r="Q70" s="47">
        <f>[81]Source!X103</f>
        <v>115.44</v>
      </c>
      <c r="R70" s="47">
        <f>[81]Source!X104</f>
        <v>1978.53</v>
      </c>
      <c r="S70" s="47">
        <f>[81]Source!Y103</f>
        <v>80.81</v>
      </c>
      <c r="T70" s="47">
        <f>[81]Source!Y104</f>
        <v>932.41</v>
      </c>
      <c r="U70" s="47">
        <f>ROUND((175/100)*ROUND([81]Source!R103, 2), 2)</f>
        <v>28.72</v>
      </c>
      <c r="V70" s="47">
        <f>ROUND((157/100)*ROUND([81]Source!R104, 2), 2)</f>
        <v>609.04999999999995</v>
      </c>
    </row>
    <row r="71" spans="1:22" ht="14.25" x14ac:dyDescent="0.2">
      <c r="A71" s="84"/>
      <c r="B71" s="84"/>
      <c r="C71" s="85"/>
      <c r="D71" s="85" t="s">
        <v>43</v>
      </c>
      <c r="E71" s="86"/>
      <c r="F71" s="87"/>
      <c r="G71" s="88">
        <f>[81]Source!AO103</f>
        <v>376.32</v>
      </c>
      <c r="H71" s="89" t="str">
        <f>[81]Source!DG103</f>
        <v>)*1,67</v>
      </c>
      <c r="I71" s="87">
        <f>[81]Source!AV104</f>
        <v>1.0469999999999999</v>
      </c>
      <c r="J71" s="176">
        <f>[81]Source!S103</f>
        <v>96.2</v>
      </c>
      <c r="K71" s="87">
        <f>IF([81]Source!BA104&lt;&gt; 0, [81]Source!BA104, 1)</f>
        <v>23.64</v>
      </c>
      <c r="L71" s="176">
        <f>[81]Source!S104</f>
        <v>2274.17</v>
      </c>
    </row>
    <row r="72" spans="1:22" ht="14.25" x14ac:dyDescent="0.2">
      <c r="A72" s="84"/>
      <c r="B72" s="84"/>
      <c r="C72" s="85"/>
      <c r="D72" s="85" t="s">
        <v>44</v>
      </c>
      <c r="E72" s="86"/>
      <c r="F72" s="87"/>
      <c r="G72" s="88">
        <f>[81]Source!AM103</f>
        <v>403.01</v>
      </c>
      <c r="H72" s="89" t="str">
        <f>[81]Source!DE103</f>
        <v/>
      </c>
      <c r="I72" s="87">
        <f>[81]Source!AV104</f>
        <v>1.0469999999999999</v>
      </c>
      <c r="J72" s="176">
        <f>[81]Source!Q103-J83</f>
        <v>61.69</v>
      </c>
      <c r="K72" s="87">
        <f>IF([81]Source!BB104&lt;&gt; 0, [81]Source!BB104, 1)</f>
        <v>8.2200000000000006</v>
      </c>
      <c r="L72" s="176">
        <f>[81]Source!Q104-L83</f>
        <v>507.09</v>
      </c>
    </row>
    <row r="73" spans="1:22" ht="14.25" x14ac:dyDescent="0.2">
      <c r="A73" s="84"/>
      <c r="B73" s="84"/>
      <c r="C73" s="85"/>
      <c r="D73" s="85" t="s">
        <v>45</v>
      </c>
      <c r="E73" s="86"/>
      <c r="F73" s="87"/>
      <c r="G73" s="88">
        <f>[81]Source!AN103</f>
        <v>64.180000000000007</v>
      </c>
      <c r="H73" s="89" t="str">
        <f>[81]Source!DE103</f>
        <v/>
      </c>
      <c r="I73" s="87">
        <f>[81]Source!AV104</f>
        <v>1.0469999999999999</v>
      </c>
      <c r="J73" s="90">
        <f>[81]Source!R103-J84</f>
        <v>9.83</v>
      </c>
      <c r="K73" s="87">
        <f>IF([81]Source!BS104&lt;&gt; 0, [81]Source!BS104, 1)</f>
        <v>23.64</v>
      </c>
      <c r="L73" s="90">
        <f>[81]Source!R104-L84</f>
        <v>232.38</v>
      </c>
    </row>
    <row r="74" spans="1:22" ht="14.25" x14ac:dyDescent="0.2">
      <c r="A74" s="84"/>
      <c r="B74" s="84"/>
      <c r="C74" s="85"/>
      <c r="D74" s="85" t="s">
        <v>46</v>
      </c>
      <c r="E74" s="86"/>
      <c r="F74" s="87"/>
      <c r="G74" s="88">
        <f>[81]Source!AL103</f>
        <v>10508.86</v>
      </c>
      <c r="H74" s="89" t="str">
        <f>[81]Source!DD103</f>
        <v/>
      </c>
      <c r="I74" s="87">
        <f>[81]Source!AW104</f>
        <v>1</v>
      </c>
      <c r="J74" s="176">
        <f>[81]Source!P103</f>
        <v>1536.4</v>
      </c>
      <c r="K74" s="87">
        <f>IF([81]Source!BC104&lt;&gt; 0, [81]Source!BC104, 1)</f>
        <v>2.58</v>
      </c>
      <c r="L74" s="176">
        <f>[81]Source!P104</f>
        <v>3963.91</v>
      </c>
    </row>
    <row r="75" spans="1:22" ht="57" x14ac:dyDescent="0.2">
      <c r="A75" s="84">
        <v>5</v>
      </c>
      <c r="B75" s="84" t="str">
        <f>[81]Source!E105</f>
        <v>2,1</v>
      </c>
      <c r="C75" s="85" t="str">
        <f>[81]Source!F105</f>
        <v>1.1-1-1794</v>
      </c>
      <c r="D75" s="85" t="s">
        <v>211</v>
      </c>
      <c r="E75" s="86" t="str">
        <f>[81]Source!H105</f>
        <v>м2</v>
      </c>
      <c r="F75" s="87">
        <f>[81]Source!I105</f>
        <v>16.374400000000001</v>
      </c>
      <c r="G75" s="88">
        <f>[81]Source!AK105</f>
        <v>40.380000000000003</v>
      </c>
      <c r="H75" s="123" t="s">
        <v>20</v>
      </c>
      <c r="I75" s="87">
        <f>[81]Source!AW106</f>
        <v>1</v>
      </c>
      <c r="J75" s="176">
        <f>[81]Source!O105</f>
        <v>661.2</v>
      </c>
      <c r="K75" s="87">
        <f>IF([81]Source!BC106&lt;&gt; 0, [81]Source!BC106, 1)</f>
        <v>4.45</v>
      </c>
      <c r="L75" s="176">
        <f>[81]Source!O106</f>
        <v>2942.34</v>
      </c>
      <c r="Q75" s="47">
        <f>[81]Source!X105</f>
        <v>0</v>
      </c>
      <c r="R75" s="47">
        <f>[81]Source!X106</f>
        <v>0</v>
      </c>
      <c r="S75" s="47">
        <f>[81]Source!Y105</f>
        <v>0</v>
      </c>
      <c r="T75" s="47">
        <f>[81]Source!Y106</f>
        <v>0</v>
      </c>
      <c r="U75" s="47">
        <f>ROUND((175/100)*ROUND([81]Source!R105, 2), 2)</f>
        <v>0</v>
      </c>
      <c r="V75" s="47">
        <f>ROUND((157/100)*ROUND([81]Source!R106, 2), 2)</f>
        <v>0</v>
      </c>
    </row>
    <row r="76" spans="1:22" ht="14.25" x14ac:dyDescent="0.2">
      <c r="A76" s="84"/>
      <c r="B76" s="84"/>
      <c r="C76" s="85"/>
      <c r="D76" s="85" t="s">
        <v>47</v>
      </c>
      <c r="E76" s="86" t="s">
        <v>48</v>
      </c>
      <c r="F76" s="87">
        <f>[81]Source!DN104</f>
        <v>120</v>
      </c>
      <c r="G76" s="88"/>
      <c r="H76" s="89"/>
      <c r="I76" s="87"/>
      <c r="J76" s="176">
        <f>SUM(Q70:Q75)</f>
        <v>115.44</v>
      </c>
      <c r="K76" s="87">
        <f>[81]Source!BZ104</f>
        <v>87</v>
      </c>
      <c r="L76" s="176">
        <f>SUM(R70:R75)</f>
        <v>1978.53</v>
      </c>
    </row>
    <row r="77" spans="1:22" ht="14.25" x14ac:dyDescent="0.2">
      <c r="A77" s="84"/>
      <c r="B77" s="84"/>
      <c r="C77" s="85"/>
      <c r="D77" s="85" t="s">
        <v>49</v>
      </c>
      <c r="E77" s="86" t="s">
        <v>48</v>
      </c>
      <c r="F77" s="87">
        <f>[81]Source!DO104</f>
        <v>84</v>
      </c>
      <c r="G77" s="88"/>
      <c r="H77" s="89"/>
      <c r="I77" s="87"/>
      <c r="J77" s="176">
        <f>SUM(S70:S76)</f>
        <v>80.81</v>
      </c>
      <c r="K77" s="87">
        <f>[81]Source!CA104</f>
        <v>41</v>
      </c>
      <c r="L77" s="176">
        <f>SUM(T70:T76)</f>
        <v>932.41</v>
      </c>
    </row>
    <row r="78" spans="1:22" ht="14.25" x14ac:dyDescent="0.2">
      <c r="A78" s="84"/>
      <c r="B78" s="84"/>
      <c r="C78" s="85"/>
      <c r="D78" s="85" t="s">
        <v>50</v>
      </c>
      <c r="E78" s="86" t="s">
        <v>48</v>
      </c>
      <c r="F78" s="87">
        <f>175</f>
        <v>175</v>
      </c>
      <c r="G78" s="88"/>
      <c r="H78" s="89"/>
      <c r="I78" s="87"/>
      <c r="J78" s="176">
        <f>SUM(U70:U77)-J85</f>
        <v>17.2</v>
      </c>
      <c r="K78" s="87">
        <f>157</f>
        <v>157</v>
      </c>
      <c r="L78" s="176">
        <f>SUM(V70:V77)-L85</f>
        <v>364.84</v>
      </c>
    </row>
    <row r="79" spans="1:22" ht="14.25" x14ac:dyDescent="0.2">
      <c r="A79" s="183"/>
      <c r="B79" s="183"/>
      <c r="C79" s="184"/>
      <c r="D79" s="184" t="s">
        <v>51</v>
      </c>
      <c r="E79" s="185" t="s">
        <v>52</v>
      </c>
      <c r="F79" s="186">
        <f>[81]Source!AQ103</f>
        <v>32</v>
      </c>
      <c r="G79" s="187"/>
      <c r="H79" s="188" t="str">
        <f>[81]Source!DI103</f>
        <v/>
      </c>
      <c r="I79" s="186">
        <f>[81]Source!AV104</f>
        <v>1.0469999999999999</v>
      </c>
      <c r="J79" s="189">
        <f>[81]Source!U103</f>
        <v>4.9000000000000004</v>
      </c>
      <c r="K79" s="186"/>
      <c r="L79" s="189"/>
    </row>
    <row r="80" spans="1:22" ht="15" x14ac:dyDescent="0.25">
      <c r="D80" s="194" t="s">
        <v>81</v>
      </c>
      <c r="I80" s="408">
        <f>J71+J72+J74+J76+J77+J78+SUM(J75:J75)</f>
        <v>2568.94</v>
      </c>
      <c r="J80" s="408"/>
      <c r="K80" s="408">
        <f>L71+L72+L74+L76+L77+L78+SUM(L75:L75)</f>
        <v>12963.29</v>
      </c>
      <c r="L80" s="408"/>
      <c r="O80" s="92">
        <f>J71+J72+J74+J76+J77+J78+SUM(J75:J75)</f>
        <v>2568.94</v>
      </c>
      <c r="P80" s="92">
        <f>L71+L72+L74+L76+L77+L78+SUM(L75:L75)</f>
        <v>12963.29</v>
      </c>
    </row>
    <row r="82" spans="1:22" ht="71.25" x14ac:dyDescent="0.2">
      <c r="A82" s="84">
        <v>6</v>
      </c>
      <c r="B82" s="84" t="str">
        <f>CONCATENATE([81]Source!E103, "/1")</f>
        <v>2/1</v>
      </c>
      <c r="C82" s="85" t="s">
        <v>187</v>
      </c>
      <c r="D82" s="85" t="s">
        <v>82</v>
      </c>
      <c r="E82" s="86" t="str">
        <f>[81]Source!H103</f>
        <v>100 м2 изолируемой поверхности</v>
      </c>
      <c r="F82" s="87">
        <f>[81]Source!I103</f>
        <v>0.1462</v>
      </c>
      <c r="G82" s="88"/>
      <c r="H82" s="89"/>
      <c r="I82" s="87"/>
      <c r="J82" s="176"/>
      <c r="K82" s="87"/>
      <c r="L82" s="176"/>
    </row>
    <row r="83" spans="1:22" ht="14.25" x14ac:dyDescent="0.2">
      <c r="A83" s="84"/>
      <c r="B83" s="84"/>
      <c r="C83" s="85"/>
      <c r="D83" s="85" t="s">
        <v>44</v>
      </c>
      <c r="E83" s="86"/>
      <c r="F83" s="87"/>
      <c r="G83" s="88">
        <f t="shared" ref="G83:L83" si="1">G84</f>
        <v>64.180000000000007</v>
      </c>
      <c r="H83" s="195" t="str">
        <f t="shared" si="1"/>
        <v>)*(1.67-1)</v>
      </c>
      <c r="I83" s="87">
        <f t="shared" si="1"/>
        <v>1.0469999999999999</v>
      </c>
      <c r="J83" s="176">
        <f t="shared" si="1"/>
        <v>6.58</v>
      </c>
      <c r="K83" s="87">
        <f t="shared" si="1"/>
        <v>23.64</v>
      </c>
      <c r="L83" s="176">
        <f t="shared" si="1"/>
        <v>155.55000000000001</v>
      </c>
    </row>
    <row r="84" spans="1:22" ht="14.25" x14ac:dyDescent="0.2">
      <c r="A84" s="84"/>
      <c r="B84" s="84"/>
      <c r="C84" s="85"/>
      <c r="D84" s="85" t="s">
        <v>45</v>
      </c>
      <c r="E84" s="86"/>
      <c r="F84" s="87"/>
      <c r="G84" s="88">
        <f>[81]Source!AN103</f>
        <v>64.180000000000007</v>
      </c>
      <c r="H84" s="195" t="s">
        <v>53</v>
      </c>
      <c r="I84" s="87">
        <f>[81]Source!AV104</f>
        <v>1.0469999999999999</v>
      </c>
      <c r="J84" s="90">
        <f>ROUND(F70*G84*I84*(1.67-1), 2)</f>
        <v>6.58</v>
      </c>
      <c r="K84" s="87">
        <f>IF([81]Source!BS104&lt;&gt; 0, [81]Source!BS104, 1)</f>
        <v>23.64</v>
      </c>
      <c r="L84" s="90">
        <f>ROUND(ROUND(F70*G84*I84*(1.67-1), 2)*K84, 2)</f>
        <v>155.55000000000001</v>
      </c>
    </row>
    <row r="85" spans="1:22" ht="14.25" x14ac:dyDescent="0.2">
      <c r="A85" s="84"/>
      <c r="B85" s="84"/>
      <c r="C85" s="85"/>
      <c r="D85" s="85" t="s">
        <v>50</v>
      </c>
      <c r="E85" s="86" t="s">
        <v>48</v>
      </c>
      <c r="F85" s="87">
        <f>175</f>
        <v>175</v>
      </c>
      <c r="G85" s="88"/>
      <c r="H85" s="89"/>
      <c r="I85" s="87"/>
      <c r="J85" s="176">
        <f>ROUND(J84*(F85/100), 2)</f>
        <v>11.52</v>
      </c>
      <c r="K85" s="87">
        <f>157</f>
        <v>157</v>
      </c>
      <c r="L85" s="176">
        <f>ROUND(L84*(K85/100), 2)</f>
        <v>244.21</v>
      </c>
    </row>
    <row r="86" spans="1:22" ht="15" x14ac:dyDescent="0.25">
      <c r="A86" s="190"/>
      <c r="B86" s="190"/>
      <c r="C86" s="190"/>
      <c r="D86" s="191" t="s">
        <v>81</v>
      </c>
      <c r="E86" s="190"/>
      <c r="F86" s="190"/>
      <c r="G86" s="190"/>
      <c r="H86" s="190"/>
      <c r="I86" s="409">
        <f>J85+J84</f>
        <v>18.100000000000001</v>
      </c>
      <c r="J86" s="409"/>
      <c r="K86" s="409">
        <f>L85+L84</f>
        <v>399.76</v>
      </c>
      <c r="L86" s="409"/>
      <c r="O86" s="92">
        <f>I86</f>
        <v>18.100000000000001</v>
      </c>
      <c r="P86" s="92">
        <f>K86</f>
        <v>399.76</v>
      </c>
    </row>
    <row r="88" spans="1:22" ht="71.25" x14ac:dyDescent="0.2">
      <c r="A88" s="84">
        <v>7</v>
      </c>
      <c r="B88" s="84" t="str">
        <f>[81]Source!E107</f>
        <v>3</v>
      </c>
      <c r="C88" s="85" t="s">
        <v>188</v>
      </c>
      <c r="D88" s="85" t="s">
        <v>189</v>
      </c>
      <c r="E88" s="86" t="str">
        <f>[81]Source!H107</f>
        <v>100 м2 изолируемой поверхности</v>
      </c>
      <c r="F88" s="87">
        <f>[81]Source!I107</f>
        <v>0.1462</v>
      </c>
      <c r="G88" s="88"/>
      <c r="H88" s="89"/>
      <c r="I88" s="87"/>
      <c r="J88" s="176"/>
      <c r="K88" s="87"/>
      <c r="L88" s="176"/>
      <c r="Q88" s="47">
        <f>[81]Source!X107</f>
        <v>72.14</v>
      </c>
      <c r="R88" s="47">
        <f>[81]Source!X108</f>
        <v>1236.48</v>
      </c>
      <c r="S88" s="47">
        <f>[81]Source!Y107</f>
        <v>50.5</v>
      </c>
      <c r="T88" s="47">
        <f>[81]Source!Y108</f>
        <v>582.71</v>
      </c>
      <c r="U88" s="47">
        <f>ROUND((175/100)*ROUND([81]Source!R107, 2), 2)</f>
        <v>14.12</v>
      </c>
      <c r="V88" s="47">
        <f>ROUND((157/100)*ROUND([81]Source!R108, 2), 2)</f>
        <v>299.51</v>
      </c>
    </row>
    <row r="89" spans="1:22" ht="14.25" x14ac:dyDescent="0.2">
      <c r="A89" s="84"/>
      <c r="B89" s="84"/>
      <c r="C89" s="85"/>
      <c r="D89" s="85" t="s">
        <v>43</v>
      </c>
      <c r="E89" s="86"/>
      <c r="F89" s="87"/>
      <c r="G89" s="88">
        <f>[81]Source!AO107</f>
        <v>235.2</v>
      </c>
      <c r="H89" s="89" t="str">
        <f>[81]Source!DG107</f>
        <v>)*1,67</v>
      </c>
      <c r="I89" s="87">
        <f>[81]Source!AV108</f>
        <v>1.0469999999999999</v>
      </c>
      <c r="J89" s="176">
        <f>[81]Source!S107</f>
        <v>60.12</v>
      </c>
      <c r="K89" s="87">
        <f>IF([81]Source!BA108&lt;&gt; 0, [81]Source!BA108, 1)</f>
        <v>23.64</v>
      </c>
      <c r="L89" s="176">
        <f>[81]Source!S108</f>
        <v>1421.24</v>
      </c>
    </row>
    <row r="90" spans="1:22" ht="14.25" x14ac:dyDescent="0.2">
      <c r="A90" s="84"/>
      <c r="B90" s="84"/>
      <c r="C90" s="85"/>
      <c r="D90" s="85" t="s">
        <v>44</v>
      </c>
      <c r="E90" s="86"/>
      <c r="F90" s="87"/>
      <c r="G90" s="88">
        <f>[81]Source!AM107</f>
        <v>214.16</v>
      </c>
      <c r="H90" s="89" t="str">
        <f>[81]Source!DE107</f>
        <v/>
      </c>
      <c r="I90" s="87">
        <f>[81]Source!AV108</f>
        <v>1.0469999999999999</v>
      </c>
      <c r="J90" s="176">
        <f>[81]Source!Q107-J101</f>
        <v>32.78</v>
      </c>
      <c r="K90" s="87">
        <f>IF([81]Source!BB108&lt;&gt; 0, [81]Source!BB108, 1)</f>
        <v>8</v>
      </c>
      <c r="L90" s="176">
        <f>[81]Source!Q108-L101</f>
        <v>262.24</v>
      </c>
    </row>
    <row r="91" spans="1:22" ht="14.25" x14ac:dyDescent="0.2">
      <c r="A91" s="84"/>
      <c r="B91" s="84"/>
      <c r="C91" s="85"/>
      <c r="D91" s="85" t="s">
        <v>45</v>
      </c>
      <c r="E91" s="86"/>
      <c r="F91" s="87"/>
      <c r="G91" s="88">
        <f>[81]Source!AN107</f>
        <v>31.56</v>
      </c>
      <c r="H91" s="89" t="str">
        <f>[81]Source!DE107</f>
        <v/>
      </c>
      <c r="I91" s="87">
        <f>[81]Source!AV108</f>
        <v>1.0469999999999999</v>
      </c>
      <c r="J91" s="90">
        <f>[81]Source!R107-J102</f>
        <v>4.83</v>
      </c>
      <c r="K91" s="87">
        <f>IF([81]Source!BS108&lt;&gt; 0, [81]Source!BS108, 1)</f>
        <v>23.64</v>
      </c>
      <c r="L91" s="90">
        <f>[81]Source!R108-L102</f>
        <v>114.18</v>
      </c>
    </row>
    <row r="92" spans="1:22" ht="14.25" x14ac:dyDescent="0.2">
      <c r="A92" s="84"/>
      <c r="B92" s="84"/>
      <c r="C92" s="85"/>
      <c r="D92" s="85" t="s">
        <v>46</v>
      </c>
      <c r="E92" s="86"/>
      <c r="F92" s="87"/>
      <c r="G92" s="88">
        <f>[81]Source!AL107</f>
        <v>4538.59</v>
      </c>
      <c r="H92" s="89" t="str">
        <f>[81]Source!DD107</f>
        <v/>
      </c>
      <c r="I92" s="87">
        <f>[81]Source!AW108</f>
        <v>1</v>
      </c>
      <c r="J92" s="176">
        <f>[81]Source!P107</f>
        <v>663.54</v>
      </c>
      <c r="K92" s="87">
        <f>IF([81]Source!BC108&lt;&gt; 0, [81]Source!BC108, 1)</f>
        <v>2.44</v>
      </c>
      <c r="L92" s="176">
        <f>[81]Source!P108</f>
        <v>1619.04</v>
      </c>
    </row>
    <row r="93" spans="1:22" ht="57" x14ac:dyDescent="0.2">
      <c r="A93" s="84">
        <v>8</v>
      </c>
      <c r="B93" s="84" t="str">
        <f>[81]Source!E109</f>
        <v>3,2</v>
      </c>
      <c r="C93" s="85" t="str">
        <f>[81]Source!F109</f>
        <v>1.1-1-1794</v>
      </c>
      <c r="D93" s="85" t="s">
        <v>211</v>
      </c>
      <c r="E93" s="86" t="str">
        <f>[81]Source!H109</f>
        <v>м2</v>
      </c>
      <c r="F93" s="87">
        <f>[81]Source!I109</f>
        <v>16.374400000000001</v>
      </c>
      <c r="G93" s="88">
        <f>[81]Source!AK109</f>
        <v>40.380000000000003</v>
      </c>
      <c r="H93" s="123" t="s">
        <v>20</v>
      </c>
      <c r="I93" s="87">
        <f>[81]Source!AW110</f>
        <v>1</v>
      </c>
      <c r="J93" s="176">
        <f>[81]Source!O109</f>
        <v>661.2</v>
      </c>
      <c r="K93" s="87">
        <f>IF([81]Source!BC110&lt;&gt; 0, [81]Source!BC110, 1)</f>
        <v>4.45</v>
      </c>
      <c r="L93" s="176">
        <f>[81]Source!O110</f>
        <v>2942.34</v>
      </c>
      <c r="Q93" s="47">
        <f>[81]Source!X109</f>
        <v>0</v>
      </c>
      <c r="R93" s="47">
        <f>[81]Source!X110</f>
        <v>0</v>
      </c>
      <c r="S93" s="47">
        <f>[81]Source!Y109</f>
        <v>0</v>
      </c>
      <c r="T93" s="47">
        <f>[81]Source!Y110</f>
        <v>0</v>
      </c>
      <c r="U93" s="47">
        <f>ROUND((175/100)*ROUND([81]Source!R109, 2), 2)</f>
        <v>0</v>
      </c>
      <c r="V93" s="47">
        <f>ROUND((157/100)*ROUND([81]Source!R110, 2), 2)</f>
        <v>0</v>
      </c>
    </row>
    <row r="94" spans="1:22" ht="14.25" x14ac:dyDescent="0.2">
      <c r="A94" s="84"/>
      <c r="B94" s="84"/>
      <c r="C94" s="85"/>
      <c r="D94" s="85" t="s">
        <v>47</v>
      </c>
      <c r="E94" s="86" t="s">
        <v>48</v>
      </c>
      <c r="F94" s="87">
        <f>[81]Source!DN108</f>
        <v>120</v>
      </c>
      <c r="G94" s="88"/>
      <c r="H94" s="89"/>
      <c r="I94" s="87"/>
      <c r="J94" s="176">
        <f>SUM(Q88:Q93)</f>
        <v>72.14</v>
      </c>
      <c r="K94" s="87">
        <f>[81]Source!BZ108</f>
        <v>87</v>
      </c>
      <c r="L94" s="176">
        <f>SUM(R88:R93)</f>
        <v>1236.48</v>
      </c>
    </row>
    <row r="95" spans="1:22" ht="14.25" x14ac:dyDescent="0.2">
      <c r="A95" s="84"/>
      <c r="B95" s="84"/>
      <c r="C95" s="85"/>
      <c r="D95" s="85" t="s">
        <v>49</v>
      </c>
      <c r="E95" s="86" t="s">
        <v>48</v>
      </c>
      <c r="F95" s="87">
        <f>[81]Source!DO108</f>
        <v>84</v>
      </c>
      <c r="G95" s="88"/>
      <c r="H95" s="89"/>
      <c r="I95" s="87"/>
      <c r="J95" s="176">
        <f>SUM(S88:S94)</f>
        <v>50.5</v>
      </c>
      <c r="K95" s="87">
        <f>[81]Source!CA108</f>
        <v>41</v>
      </c>
      <c r="L95" s="176">
        <f>SUM(T88:T94)</f>
        <v>582.71</v>
      </c>
    </row>
    <row r="96" spans="1:22" ht="14.25" x14ac:dyDescent="0.2">
      <c r="A96" s="84"/>
      <c r="B96" s="84"/>
      <c r="C96" s="85"/>
      <c r="D96" s="85" t="s">
        <v>50</v>
      </c>
      <c r="E96" s="86" t="s">
        <v>48</v>
      </c>
      <c r="F96" s="87">
        <f>175</f>
        <v>175</v>
      </c>
      <c r="G96" s="88"/>
      <c r="H96" s="89"/>
      <c r="I96" s="87"/>
      <c r="J96" s="176">
        <f>SUM(U88:U95)-J103</f>
        <v>8.4499999999999993</v>
      </c>
      <c r="K96" s="87">
        <f>157</f>
        <v>157</v>
      </c>
      <c r="L96" s="176">
        <f>SUM(V88:V95)-L103</f>
        <v>179.26</v>
      </c>
    </row>
    <row r="97" spans="1:22" ht="14.25" x14ac:dyDescent="0.2">
      <c r="A97" s="183"/>
      <c r="B97" s="183"/>
      <c r="C97" s="184"/>
      <c r="D97" s="184" t="s">
        <v>51</v>
      </c>
      <c r="E97" s="185" t="s">
        <v>52</v>
      </c>
      <c r="F97" s="186">
        <f>[81]Source!AQ107</f>
        <v>20</v>
      </c>
      <c r="G97" s="187"/>
      <c r="H97" s="188" t="str">
        <f>[81]Source!DI107</f>
        <v/>
      </c>
      <c r="I97" s="186">
        <f>[81]Source!AV108</f>
        <v>1.0469999999999999</v>
      </c>
      <c r="J97" s="189">
        <f>[81]Source!U107</f>
        <v>3.06</v>
      </c>
      <c r="K97" s="186"/>
      <c r="L97" s="189"/>
    </row>
    <row r="98" spans="1:22" ht="15" x14ac:dyDescent="0.25">
      <c r="D98" s="194" t="s">
        <v>81</v>
      </c>
      <c r="I98" s="408">
        <f>J89+J90+J92+J94+J95+J96+SUM(J93:J93)</f>
        <v>1548.73</v>
      </c>
      <c r="J98" s="408"/>
      <c r="K98" s="408">
        <f>L89+L90+L92+L94+L95+L96+SUM(L93:L93)</f>
        <v>8243.31</v>
      </c>
      <c r="L98" s="408"/>
      <c r="O98" s="92">
        <f>J89+J90+J92+J94+J95+J96+SUM(J93:J93)</f>
        <v>1548.73</v>
      </c>
      <c r="P98" s="92">
        <f>L89+L90+L92+L94+L95+L96+SUM(L93:L93)</f>
        <v>8243.31</v>
      </c>
    </row>
    <row r="100" spans="1:22" ht="71.25" x14ac:dyDescent="0.2">
      <c r="A100" s="84">
        <v>9</v>
      </c>
      <c r="B100" s="84" t="str">
        <f>CONCATENATE([81]Source!E107, "/1")</f>
        <v>3/1</v>
      </c>
      <c r="C100" s="85" t="s">
        <v>190</v>
      </c>
      <c r="D100" s="85" t="s">
        <v>82</v>
      </c>
      <c r="E100" s="86" t="str">
        <f>[81]Source!H107</f>
        <v>100 м2 изолируемой поверхности</v>
      </c>
      <c r="F100" s="87">
        <f>[81]Source!I107</f>
        <v>0.1462</v>
      </c>
      <c r="G100" s="88"/>
      <c r="H100" s="89"/>
      <c r="I100" s="87"/>
      <c r="J100" s="176"/>
      <c r="K100" s="87"/>
      <c r="L100" s="176"/>
    </row>
    <row r="101" spans="1:22" ht="14.25" x14ac:dyDescent="0.2">
      <c r="A101" s="84"/>
      <c r="B101" s="84"/>
      <c r="C101" s="85"/>
      <c r="D101" s="85" t="s">
        <v>44</v>
      </c>
      <c r="E101" s="86"/>
      <c r="F101" s="87"/>
      <c r="G101" s="88">
        <f t="shared" ref="G101:L101" si="2">G102</f>
        <v>31.56</v>
      </c>
      <c r="H101" s="195" t="str">
        <f t="shared" si="2"/>
        <v>)*(1.67-1)</v>
      </c>
      <c r="I101" s="87">
        <f t="shared" si="2"/>
        <v>1.0469999999999999</v>
      </c>
      <c r="J101" s="176">
        <f t="shared" si="2"/>
        <v>3.24</v>
      </c>
      <c r="K101" s="87">
        <f t="shared" si="2"/>
        <v>23.64</v>
      </c>
      <c r="L101" s="176">
        <f t="shared" si="2"/>
        <v>76.59</v>
      </c>
    </row>
    <row r="102" spans="1:22" ht="14.25" x14ac:dyDescent="0.2">
      <c r="A102" s="84"/>
      <c r="B102" s="84"/>
      <c r="C102" s="85"/>
      <c r="D102" s="85" t="s">
        <v>45</v>
      </c>
      <c r="E102" s="86"/>
      <c r="F102" s="87"/>
      <c r="G102" s="88">
        <f>[81]Source!AN107</f>
        <v>31.56</v>
      </c>
      <c r="H102" s="195" t="s">
        <v>53</v>
      </c>
      <c r="I102" s="87">
        <f>[81]Source!AV108</f>
        <v>1.0469999999999999</v>
      </c>
      <c r="J102" s="90">
        <f>ROUND(F88*G102*I102*(1.67-1), 2)</f>
        <v>3.24</v>
      </c>
      <c r="K102" s="87">
        <f>IF([81]Source!BS108&lt;&gt; 0, [81]Source!BS108, 1)</f>
        <v>23.64</v>
      </c>
      <c r="L102" s="90">
        <f>ROUND(ROUND(F88*G102*I102*(1.67-1), 2)*K102, 2)</f>
        <v>76.59</v>
      </c>
    </row>
    <row r="103" spans="1:22" ht="14.25" x14ac:dyDescent="0.2">
      <c r="A103" s="84"/>
      <c r="B103" s="84"/>
      <c r="C103" s="85"/>
      <c r="D103" s="85" t="s">
        <v>50</v>
      </c>
      <c r="E103" s="86" t="s">
        <v>48</v>
      </c>
      <c r="F103" s="87">
        <f>175</f>
        <v>175</v>
      </c>
      <c r="G103" s="88"/>
      <c r="H103" s="89"/>
      <c r="I103" s="87"/>
      <c r="J103" s="176">
        <f>ROUND(J102*(F103/100), 2)</f>
        <v>5.67</v>
      </c>
      <c r="K103" s="87">
        <f>157</f>
        <v>157</v>
      </c>
      <c r="L103" s="176">
        <f>ROUND(L102*(K103/100), 2)</f>
        <v>120.25</v>
      </c>
    </row>
    <row r="104" spans="1:22" ht="15" x14ac:dyDescent="0.25">
      <c r="A104" s="190"/>
      <c r="B104" s="190"/>
      <c r="C104" s="190"/>
      <c r="D104" s="191" t="s">
        <v>81</v>
      </c>
      <c r="E104" s="190"/>
      <c r="F104" s="190"/>
      <c r="G104" s="190"/>
      <c r="H104" s="190"/>
      <c r="I104" s="409">
        <f>J103+J102</f>
        <v>8.91</v>
      </c>
      <c r="J104" s="409"/>
      <c r="K104" s="409">
        <f>L103+L102</f>
        <v>196.84</v>
      </c>
      <c r="L104" s="409"/>
      <c r="O104" s="92">
        <f>I104</f>
        <v>8.91</v>
      </c>
      <c r="P104" s="92">
        <f>K104</f>
        <v>196.84</v>
      </c>
    </row>
    <row r="106" spans="1:22" ht="65.25" x14ac:dyDescent="0.2">
      <c r="A106" s="84">
        <v>10</v>
      </c>
      <c r="B106" s="84" t="str">
        <f>[81]Source!E111</f>
        <v>4</v>
      </c>
      <c r="C106" s="85" t="s">
        <v>198</v>
      </c>
      <c r="D106" s="85" t="s">
        <v>199</v>
      </c>
      <c r="E106" s="86" t="str">
        <f>[81]Source!H111</f>
        <v>1 Т</v>
      </c>
      <c r="F106" s="87">
        <f>[81]Source!I111</f>
        <v>7.5999999999999998E-2</v>
      </c>
      <c r="G106" s="88"/>
      <c r="H106" s="89"/>
      <c r="I106" s="87"/>
      <c r="J106" s="176"/>
      <c r="K106" s="87"/>
      <c r="L106" s="176"/>
      <c r="Q106" s="47">
        <f>[81]Source!X111</f>
        <v>17.54</v>
      </c>
      <c r="R106" s="47">
        <f>[81]Source!X112</f>
        <v>389.31</v>
      </c>
      <c r="S106" s="47">
        <f>[81]Source!Y111</f>
        <v>12.53</v>
      </c>
      <c r="T106" s="47">
        <f>[81]Source!Y112</f>
        <v>275.05</v>
      </c>
      <c r="U106" s="47">
        <f>ROUND((175/100)*ROUND([81]Source!R111, 2), 2)</f>
        <v>1.3</v>
      </c>
      <c r="V106" s="47">
        <f>ROUND((157/100)*ROUND([81]Source!R112, 2), 2)</f>
        <v>27.46</v>
      </c>
    </row>
    <row r="107" spans="1:22" ht="14.25" x14ac:dyDescent="0.2">
      <c r="A107" s="84"/>
      <c r="B107" s="84"/>
      <c r="C107" s="85"/>
      <c r="D107" s="85" t="s">
        <v>43</v>
      </c>
      <c r="E107" s="86"/>
      <c r="F107" s="87"/>
      <c r="G107" s="88">
        <f>[81]Source!AO111</f>
        <v>134.68</v>
      </c>
      <c r="H107" s="89" t="str">
        <f>[81]Source!DG111</f>
        <v>)*1,67</v>
      </c>
      <c r="I107" s="87">
        <f>[81]Source!AV112</f>
        <v>1.0469999999999999</v>
      </c>
      <c r="J107" s="176">
        <f>[81]Source!S111</f>
        <v>17.899999999999999</v>
      </c>
      <c r="K107" s="87">
        <f>IF([81]Source!BA112&lt;&gt; 0, [81]Source!BA112, 1)</f>
        <v>23.64</v>
      </c>
      <c r="L107" s="176">
        <f>[81]Source!S112</f>
        <v>423.16</v>
      </c>
    </row>
    <row r="108" spans="1:22" ht="14.25" x14ac:dyDescent="0.2">
      <c r="A108" s="84"/>
      <c r="B108" s="84"/>
      <c r="C108" s="85"/>
      <c r="D108" s="85" t="s">
        <v>44</v>
      </c>
      <c r="E108" s="86"/>
      <c r="F108" s="87"/>
      <c r="G108" s="88">
        <f>[81]Source!AM111</f>
        <v>44</v>
      </c>
      <c r="H108" s="89" t="str">
        <f>[81]Source!DE111</f>
        <v/>
      </c>
      <c r="I108" s="87">
        <f>[81]Source!AV112</f>
        <v>1.0469999999999999</v>
      </c>
      <c r="J108" s="176">
        <f>[81]Source!Q111-J119</f>
        <v>3.5</v>
      </c>
      <c r="K108" s="87">
        <f>IF([81]Source!BB112&lt;&gt; 0, [81]Source!BB112, 1)</f>
        <v>8.2899999999999991</v>
      </c>
      <c r="L108" s="176">
        <f>[81]Source!Q112-L119</f>
        <v>29.02</v>
      </c>
    </row>
    <row r="109" spans="1:22" ht="14.25" x14ac:dyDescent="0.2">
      <c r="A109" s="84"/>
      <c r="B109" s="84"/>
      <c r="C109" s="85"/>
      <c r="D109" s="85" t="s">
        <v>45</v>
      </c>
      <c r="E109" s="86"/>
      <c r="F109" s="87"/>
      <c r="G109" s="88">
        <f>[81]Source!AN111</f>
        <v>5.59</v>
      </c>
      <c r="H109" s="89" t="str">
        <f>[81]Source!DE111</f>
        <v/>
      </c>
      <c r="I109" s="87">
        <f>[81]Source!AV112</f>
        <v>1.0469999999999999</v>
      </c>
      <c r="J109" s="90">
        <f>[81]Source!R111-J120</f>
        <v>0.44</v>
      </c>
      <c r="K109" s="87">
        <f>IF([81]Source!BS112&lt;&gt; 0, [81]Source!BS112, 1)</f>
        <v>23.64</v>
      </c>
      <c r="L109" s="90">
        <f>[81]Source!R112-L120</f>
        <v>10.4</v>
      </c>
    </row>
    <row r="110" spans="1:22" ht="14.25" x14ac:dyDescent="0.2">
      <c r="A110" s="84"/>
      <c r="B110" s="84"/>
      <c r="C110" s="85"/>
      <c r="D110" s="85" t="s">
        <v>46</v>
      </c>
      <c r="E110" s="86"/>
      <c r="F110" s="87"/>
      <c r="G110" s="88">
        <f>[81]Source!AL111</f>
        <v>258.91000000000003</v>
      </c>
      <c r="H110" s="89" t="str">
        <f>[81]Source!DD111</f>
        <v/>
      </c>
      <c r="I110" s="87">
        <f>[81]Source!AW112</f>
        <v>1.022</v>
      </c>
      <c r="J110" s="176">
        <f>[81]Source!P111</f>
        <v>20.11</v>
      </c>
      <c r="K110" s="87">
        <f>IF([81]Source!BC112&lt;&gt; 0, [81]Source!BC112, 1)</f>
        <v>4.8600000000000003</v>
      </c>
      <c r="L110" s="176">
        <f>[81]Source!P112</f>
        <v>97.73</v>
      </c>
    </row>
    <row r="111" spans="1:22" ht="57" x14ac:dyDescent="0.2">
      <c r="A111" s="84">
        <v>11</v>
      </c>
      <c r="B111" s="84" t="str">
        <f>[81]Source!E113</f>
        <v>4,1</v>
      </c>
      <c r="C111" s="85" t="str">
        <f>[81]Source!F113</f>
        <v>1.3-4-75</v>
      </c>
      <c r="D111" s="85" t="s">
        <v>200</v>
      </c>
      <c r="E111" s="86" t="str">
        <f>[81]Source!H113</f>
        <v>т</v>
      </c>
      <c r="F111" s="87">
        <f>[81]Source!I113</f>
        <v>7.5999999999999998E-2</v>
      </c>
      <c r="G111" s="88">
        <f>[81]Source!AK113</f>
        <v>9733.52</v>
      </c>
      <c r="H111" s="123" t="s">
        <v>20</v>
      </c>
      <c r="I111" s="87">
        <f>[81]Source!AW114</f>
        <v>1.022</v>
      </c>
      <c r="J111" s="176">
        <f>[81]Source!O113</f>
        <v>756.02</v>
      </c>
      <c r="K111" s="87">
        <f>IF([81]Source!BC114&lt;&gt; 0, [81]Source!BC114, 1)</f>
        <v>3.19</v>
      </c>
      <c r="L111" s="176">
        <f>[81]Source!O114</f>
        <v>2411.6999999999998</v>
      </c>
      <c r="Q111" s="47">
        <f>[81]Source!X113</f>
        <v>0</v>
      </c>
      <c r="R111" s="47">
        <f>[81]Source!X114</f>
        <v>0</v>
      </c>
      <c r="S111" s="47">
        <f>[81]Source!Y113</f>
        <v>0</v>
      </c>
      <c r="T111" s="47">
        <f>[81]Source!Y114</f>
        <v>0</v>
      </c>
      <c r="U111" s="47">
        <f>ROUND((175/100)*ROUND([81]Source!R113, 2), 2)</f>
        <v>0</v>
      </c>
      <c r="V111" s="47">
        <f>ROUND((157/100)*ROUND([81]Source!R114, 2), 2)</f>
        <v>0</v>
      </c>
    </row>
    <row r="112" spans="1:22" ht="14.25" x14ac:dyDescent="0.2">
      <c r="A112" s="84"/>
      <c r="B112" s="84"/>
      <c r="C112" s="85"/>
      <c r="D112" s="85" t="s">
        <v>47</v>
      </c>
      <c r="E112" s="86" t="s">
        <v>48</v>
      </c>
      <c r="F112" s="87">
        <f>[81]Source!DN112</f>
        <v>98</v>
      </c>
      <c r="G112" s="88"/>
      <c r="H112" s="89"/>
      <c r="I112" s="87"/>
      <c r="J112" s="176">
        <f>SUM(Q106:Q111)</f>
        <v>17.54</v>
      </c>
      <c r="K112" s="87">
        <f>[81]Source!BZ112</f>
        <v>92</v>
      </c>
      <c r="L112" s="176">
        <f>SUM(R106:R111)</f>
        <v>389.31</v>
      </c>
    </row>
    <row r="113" spans="1:22" ht="14.25" x14ac:dyDescent="0.2">
      <c r="A113" s="84"/>
      <c r="B113" s="84"/>
      <c r="C113" s="85"/>
      <c r="D113" s="85" t="s">
        <v>49</v>
      </c>
      <c r="E113" s="86" t="s">
        <v>48</v>
      </c>
      <c r="F113" s="87">
        <f>[81]Source!DO112</f>
        <v>70</v>
      </c>
      <c r="G113" s="88"/>
      <c r="H113" s="89"/>
      <c r="I113" s="87"/>
      <c r="J113" s="176">
        <f>SUM(S106:S112)</f>
        <v>12.53</v>
      </c>
      <c r="K113" s="87">
        <f>[81]Source!CA112</f>
        <v>65</v>
      </c>
      <c r="L113" s="176">
        <f>SUM(T106:T112)</f>
        <v>275.05</v>
      </c>
    </row>
    <row r="114" spans="1:22" ht="14.25" x14ac:dyDescent="0.2">
      <c r="A114" s="84"/>
      <c r="B114" s="84"/>
      <c r="C114" s="85"/>
      <c r="D114" s="85" t="s">
        <v>50</v>
      </c>
      <c r="E114" s="86" t="s">
        <v>48</v>
      </c>
      <c r="F114" s="87">
        <f>175</f>
        <v>175</v>
      </c>
      <c r="G114" s="88"/>
      <c r="H114" s="89"/>
      <c r="I114" s="87"/>
      <c r="J114" s="176">
        <f>SUM(U106:U113)-J121</f>
        <v>0.77</v>
      </c>
      <c r="K114" s="87">
        <f>157</f>
        <v>157</v>
      </c>
      <c r="L114" s="176">
        <f>SUM(V106:V113)-L121</f>
        <v>16.329999999999998</v>
      </c>
    </row>
    <row r="115" spans="1:22" ht="14.25" x14ac:dyDescent="0.2">
      <c r="A115" s="183"/>
      <c r="B115" s="183"/>
      <c r="C115" s="184"/>
      <c r="D115" s="184" t="s">
        <v>51</v>
      </c>
      <c r="E115" s="185" t="s">
        <v>52</v>
      </c>
      <c r="F115" s="186">
        <f>[81]Source!AQ111</f>
        <v>11.6</v>
      </c>
      <c r="G115" s="187"/>
      <c r="H115" s="188" t="str">
        <f>[81]Source!DI111</f>
        <v/>
      </c>
      <c r="I115" s="186">
        <f>[81]Source!AV112</f>
        <v>1.0469999999999999</v>
      </c>
      <c r="J115" s="189">
        <f>[81]Source!U111</f>
        <v>0.92</v>
      </c>
      <c r="K115" s="186"/>
      <c r="L115" s="189"/>
    </row>
    <row r="116" spans="1:22" ht="15" x14ac:dyDescent="0.25">
      <c r="D116" s="194" t="s">
        <v>81</v>
      </c>
      <c r="I116" s="408">
        <f>J107+J108+J110+J112+J113+J114+SUM(J111:J111)</f>
        <v>828.37</v>
      </c>
      <c r="J116" s="408"/>
      <c r="K116" s="408">
        <f>L107+L108+L110+L112+L113+L114+SUM(L111:L111)</f>
        <v>3642.3</v>
      </c>
      <c r="L116" s="408"/>
      <c r="O116" s="92">
        <f>J107+J108+J110+J112+J113+J114+SUM(J111:J111)</f>
        <v>828.37</v>
      </c>
      <c r="P116" s="92">
        <f>L107+L108+L110+L112+L113+L114+SUM(L111:L111)</f>
        <v>3642.3</v>
      </c>
    </row>
    <row r="118" spans="1:22" ht="65.25" x14ac:dyDescent="0.2">
      <c r="A118" s="84">
        <v>12</v>
      </c>
      <c r="B118" s="84" t="str">
        <f>CONCATENATE([81]Source!E111, "/1")</f>
        <v>4/1</v>
      </c>
      <c r="C118" s="85" t="s">
        <v>201</v>
      </c>
      <c r="D118" s="85" t="s">
        <v>82</v>
      </c>
      <c r="E118" s="86" t="str">
        <f>[81]Source!H111</f>
        <v>1 Т</v>
      </c>
      <c r="F118" s="87">
        <f>[81]Source!I111</f>
        <v>7.5999999999999998E-2</v>
      </c>
      <c r="G118" s="88"/>
      <c r="H118" s="89"/>
      <c r="I118" s="87"/>
      <c r="J118" s="176"/>
      <c r="K118" s="87"/>
      <c r="L118" s="176"/>
    </row>
    <row r="119" spans="1:22" ht="14.25" x14ac:dyDescent="0.2">
      <c r="A119" s="84"/>
      <c r="B119" s="84"/>
      <c r="C119" s="85"/>
      <c r="D119" s="85" t="s">
        <v>44</v>
      </c>
      <c r="E119" s="86"/>
      <c r="F119" s="87"/>
      <c r="G119" s="88">
        <f t="shared" ref="G119:L119" si="3">G120</f>
        <v>5.59</v>
      </c>
      <c r="H119" s="195" t="str">
        <f t="shared" si="3"/>
        <v>)*(1.67-1)</v>
      </c>
      <c r="I119" s="87">
        <f t="shared" si="3"/>
        <v>1.0469999999999999</v>
      </c>
      <c r="J119" s="176">
        <f t="shared" si="3"/>
        <v>0.3</v>
      </c>
      <c r="K119" s="87">
        <f t="shared" si="3"/>
        <v>23.64</v>
      </c>
      <c r="L119" s="176">
        <f t="shared" si="3"/>
        <v>7.09</v>
      </c>
    </row>
    <row r="120" spans="1:22" ht="14.25" x14ac:dyDescent="0.2">
      <c r="A120" s="84"/>
      <c r="B120" s="84"/>
      <c r="C120" s="85"/>
      <c r="D120" s="85" t="s">
        <v>45</v>
      </c>
      <c r="E120" s="86"/>
      <c r="F120" s="87"/>
      <c r="G120" s="88">
        <f>[81]Source!AN111</f>
        <v>5.59</v>
      </c>
      <c r="H120" s="195" t="s">
        <v>53</v>
      </c>
      <c r="I120" s="87">
        <f>[81]Source!AV112</f>
        <v>1.0469999999999999</v>
      </c>
      <c r="J120" s="90">
        <f>ROUND(F106*G120*I120*(1.67-1), 2)</f>
        <v>0.3</v>
      </c>
      <c r="K120" s="87">
        <f>IF([81]Source!BS112&lt;&gt; 0, [81]Source!BS112, 1)</f>
        <v>23.64</v>
      </c>
      <c r="L120" s="90">
        <f>ROUND(ROUND(F106*G120*I120*(1.67-1), 2)*K120, 2)</f>
        <v>7.09</v>
      </c>
    </row>
    <row r="121" spans="1:22" ht="14.25" x14ac:dyDescent="0.2">
      <c r="A121" s="84"/>
      <c r="B121" s="84"/>
      <c r="C121" s="85"/>
      <c r="D121" s="85" t="s">
        <v>50</v>
      </c>
      <c r="E121" s="86" t="s">
        <v>48</v>
      </c>
      <c r="F121" s="87">
        <f>175</f>
        <v>175</v>
      </c>
      <c r="G121" s="88"/>
      <c r="H121" s="89"/>
      <c r="I121" s="87"/>
      <c r="J121" s="176">
        <f>ROUND(J120*(F121/100), 2)</f>
        <v>0.53</v>
      </c>
      <c r="K121" s="87">
        <f>157</f>
        <v>157</v>
      </c>
      <c r="L121" s="176">
        <f>ROUND(L120*(K121/100), 2)</f>
        <v>11.13</v>
      </c>
    </row>
    <row r="122" spans="1:22" ht="15" x14ac:dyDescent="0.25">
      <c r="A122" s="190"/>
      <c r="B122" s="190"/>
      <c r="C122" s="190"/>
      <c r="D122" s="191" t="s">
        <v>81</v>
      </c>
      <c r="E122" s="190"/>
      <c r="F122" s="190"/>
      <c r="G122" s="190"/>
      <c r="H122" s="190"/>
      <c r="I122" s="409">
        <f>J121+J120</f>
        <v>0.83</v>
      </c>
      <c r="J122" s="409"/>
      <c r="K122" s="409">
        <f>L121+L120</f>
        <v>18.22</v>
      </c>
      <c r="L122" s="409"/>
      <c r="O122" s="92">
        <f>I122</f>
        <v>0.83</v>
      </c>
      <c r="P122" s="92">
        <f>K122</f>
        <v>18.22</v>
      </c>
    </row>
    <row r="124" spans="1:22" ht="65.25" x14ac:dyDescent="0.2">
      <c r="A124" s="84">
        <v>13</v>
      </c>
      <c r="B124" s="84" t="str">
        <f>[81]Source!E115</f>
        <v>5</v>
      </c>
      <c r="C124" s="85" t="s">
        <v>191</v>
      </c>
      <c r="D124" s="85" t="s">
        <v>192</v>
      </c>
      <c r="E124" s="86" t="str">
        <f>[81]Source!H115</f>
        <v>100 м2 стяжки</v>
      </c>
      <c r="F124" s="87">
        <f>[81]Source!I115</f>
        <v>0.1462</v>
      </c>
      <c r="G124" s="88"/>
      <c r="H124" s="89"/>
      <c r="I124" s="87"/>
      <c r="J124" s="176"/>
      <c r="K124" s="87"/>
      <c r="L124" s="176"/>
      <c r="Q124" s="47">
        <f>[81]Source!X115</f>
        <v>74.5</v>
      </c>
      <c r="R124" s="47">
        <f>[81]Source!X116</f>
        <v>1276.79</v>
      </c>
      <c r="S124" s="47">
        <f>[81]Source!Y115</f>
        <v>52.15</v>
      </c>
      <c r="T124" s="47">
        <f>[81]Source!Y116</f>
        <v>601.70000000000005</v>
      </c>
      <c r="U124" s="47">
        <f>ROUND((175/100)*ROUND([81]Source!R115, 2), 2)</f>
        <v>0.14000000000000001</v>
      </c>
      <c r="V124" s="47">
        <f>ROUND((157/100)*ROUND([81]Source!R116, 2), 2)</f>
        <v>2.97</v>
      </c>
    </row>
    <row r="125" spans="1:22" ht="14.25" x14ac:dyDescent="0.2">
      <c r="A125" s="84"/>
      <c r="B125" s="84"/>
      <c r="C125" s="85"/>
      <c r="D125" s="85" t="s">
        <v>43</v>
      </c>
      <c r="E125" s="86"/>
      <c r="F125" s="87"/>
      <c r="G125" s="88">
        <f>[81]Source!AO115</f>
        <v>242.87</v>
      </c>
      <c r="H125" s="89" t="str">
        <f>[81]Source!DG115</f>
        <v>)*1,67</v>
      </c>
      <c r="I125" s="87">
        <f>[81]Source!AV116</f>
        <v>1.0469999999999999</v>
      </c>
      <c r="J125" s="176">
        <f>[81]Source!S115</f>
        <v>62.08</v>
      </c>
      <c r="K125" s="87">
        <f>IF([81]Source!BA116&lt;&gt; 0, [81]Source!BA116, 1)</f>
        <v>23.64</v>
      </c>
      <c r="L125" s="176">
        <f>[81]Source!S116</f>
        <v>1467.57</v>
      </c>
    </row>
    <row r="126" spans="1:22" ht="14.25" x14ac:dyDescent="0.2">
      <c r="A126" s="84"/>
      <c r="B126" s="84"/>
      <c r="C126" s="85"/>
      <c r="D126" s="85" t="s">
        <v>44</v>
      </c>
      <c r="E126" s="86"/>
      <c r="F126" s="87"/>
      <c r="G126" s="88">
        <f>[81]Source!AM115</f>
        <v>12.59</v>
      </c>
      <c r="H126" s="89" t="str">
        <f>[81]Source!DE115</f>
        <v/>
      </c>
      <c r="I126" s="87">
        <f>[81]Source!AV116</f>
        <v>1.0469999999999999</v>
      </c>
      <c r="J126" s="176">
        <f>[81]Source!Q115-J137</f>
        <v>1.93</v>
      </c>
      <c r="K126" s="87">
        <f>IF([81]Source!BB116&lt;&gt; 0, [81]Source!BB116, 1)</f>
        <v>1.58</v>
      </c>
      <c r="L126" s="176">
        <f>[81]Source!Q116-L137</f>
        <v>3.05</v>
      </c>
    </row>
    <row r="127" spans="1:22" ht="14.25" x14ac:dyDescent="0.2">
      <c r="A127" s="84"/>
      <c r="B127" s="84"/>
      <c r="C127" s="85"/>
      <c r="D127" s="85" t="s">
        <v>45</v>
      </c>
      <c r="E127" s="86"/>
      <c r="F127" s="87"/>
      <c r="G127" s="88">
        <f>[81]Source!AN115</f>
        <v>0.31</v>
      </c>
      <c r="H127" s="89" t="str">
        <f>[81]Source!DE115</f>
        <v/>
      </c>
      <c r="I127" s="87">
        <f>[81]Source!AV116</f>
        <v>1.0469999999999999</v>
      </c>
      <c r="J127" s="90">
        <f>[81]Source!R115-J138</f>
        <v>0.05</v>
      </c>
      <c r="K127" s="87">
        <f>IF([81]Source!BS116&lt;&gt; 0, [81]Source!BS116, 1)</f>
        <v>23.64</v>
      </c>
      <c r="L127" s="90">
        <f>[81]Source!R116-L138</f>
        <v>1.18</v>
      </c>
    </row>
    <row r="128" spans="1:22" ht="14.25" x14ac:dyDescent="0.2">
      <c r="A128" s="84"/>
      <c r="B128" s="84"/>
      <c r="C128" s="85"/>
      <c r="D128" s="85" t="s">
        <v>46</v>
      </c>
      <c r="E128" s="86"/>
      <c r="F128" s="87"/>
      <c r="G128" s="88">
        <f>[81]Source!AL115</f>
        <v>24.75</v>
      </c>
      <c r="H128" s="89" t="str">
        <f>[81]Source!DD115</f>
        <v/>
      </c>
      <c r="I128" s="87">
        <f>[81]Source!AW116</f>
        <v>1</v>
      </c>
      <c r="J128" s="176">
        <f>[81]Source!P115</f>
        <v>3.62</v>
      </c>
      <c r="K128" s="87">
        <f>IF([81]Source!BC116&lt;&gt; 0, [81]Source!BC116, 1)</f>
        <v>4.7699999999999996</v>
      </c>
      <c r="L128" s="176">
        <f>[81]Source!P116</f>
        <v>17.27</v>
      </c>
    </row>
    <row r="129" spans="1:22" ht="14.25" x14ac:dyDescent="0.2">
      <c r="A129" s="84">
        <v>14</v>
      </c>
      <c r="B129" s="84" t="str">
        <f>[81]Source!E117</f>
        <v>5,1</v>
      </c>
      <c r="C129" s="85" t="str">
        <f>[81]Source!F117</f>
        <v>1.3-2-6</v>
      </c>
      <c r="D129" s="85" t="s">
        <v>193</v>
      </c>
      <c r="E129" s="86" t="str">
        <f>[81]Source!H117</f>
        <v>м3</v>
      </c>
      <c r="F129" s="87">
        <f>[81]Source!I117</f>
        <v>0.29824800000000001</v>
      </c>
      <c r="G129" s="88">
        <f>[81]Source!AK117</f>
        <v>478.96</v>
      </c>
      <c r="H129" s="123" t="s">
        <v>20</v>
      </c>
      <c r="I129" s="87">
        <f>[81]Source!AW118</f>
        <v>1</v>
      </c>
      <c r="J129" s="176">
        <f>[81]Source!O117</f>
        <v>142.85</v>
      </c>
      <c r="K129" s="87">
        <f>IF([81]Source!BC118&lt;&gt; 0, [81]Source!BC118, 1)</f>
        <v>6.91</v>
      </c>
      <c r="L129" s="176">
        <f>[81]Source!O118</f>
        <v>987.09</v>
      </c>
      <c r="Q129" s="47">
        <f>[81]Source!X117</f>
        <v>0</v>
      </c>
      <c r="R129" s="47">
        <f>[81]Source!X118</f>
        <v>0</v>
      </c>
      <c r="S129" s="47">
        <f>[81]Source!Y117</f>
        <v>0</v>
      </c>
      <c r="T129" s="47">
        <f>[81]Source!Y118</f>
        <v>0</v>
      </c>
      <c r="U129" s="47">
        <f>ROUND((175/100)*ROUND([81]Source!R117, 2), 2)</f>
        <v>0</v>
      </c>
      <c r="V129" s="47">
        <f>ROUND((157/100)*ROUND([81]Source!R118, 2), 2)</f>
        <v>0</v>
      </c>
    </row>
    <row r="130" spans="1:22" ht="14.25" x14ac:dyDescent="0.2">
      <c r="A130" s="84"/>
      <c r="B130" s="84"/>
      <c r="C130" s="85"/>
      <c r="D130" s="85" t="s">
        <v>47</v>
      </c>
      <c r="E130" s="86" t="s">
        <v>48</v>
      </c>
      <c r="F130" s="87">
        <f>[81]Source!DN116</f>
        <v>120</v>
      </c>
      <c r="G130" s="88"/>
      <c r="H130" s="89"/>
      <c r="I130" s="87"/>
      <c r="J130" s="176">
        <f>SUM(Q124:Q129)</f>
        <v>74.5</v>
      </c>
      <c r="K130" s="87">
        <f>[81]Source!BZ116</f>
        <v>87</v>
      </c>
      <c r="L130" s="176">
        <f>SUM(R124:R129)</f>
        <v>1276.79</v>
      </c>
    </row>
    <row r="131" spans="1:22" ht="14.25" x14ac:dyDescent="0.2">
      <c r="A131" s="84"/>
      <c r="B131" s="84"/>
      <c r="C131" s="85"/>
      <c r="D131" s="85" t="s">
        <v>49</v>
      </c>
      <c r="E131" s="86" t="s">
        <v>48</v>
      </c>
      <c r="F131" s="87">
        <f>[81]Source!DO116</f>
        <v>84</v>
      </c>
      <c r="G131" s="88"/>
      <c r="H131" s="89"/>
      <c r="I131" s="87"/>
      <c r="J131" s="176">
        <f>SUM(S124:S130)</f>
        <v>52.15</v>
      </c>
      <c r="K131" s="87">
        <f>[81]Source!CA116</f>
        <v>41</v>
      </c>
      <c r="L131" s="176">
        <f>SUM(T124:T130)</f>
        <v>601.70000000000005</v>
      </c>
    </row>
    <row r="132" spans="1:22" ht="14.25" x14ac:dyDescent="0.2">
      <c r="A132" s="84"/>
      <c r="B132" s="84"/>
      <c r="C132" s="85"/>
      <c r="D132" s="85" t="s">
        <v>50</v>
      </c>
      <c r="E132" s="86" t="s">
        <v>48</v>
      </c>
      <c r="F132" s="87">
        <f>175</f>
        <v>175</v>
      </c>
      <c r="G132" s="88"/>
      <c r="H132" s="89"/>
      <c r="I132" s="87"/>
      <c r="J132" s="176">
        <f>SUM(U124:U131)-J139</f>
        <v>0.09</v>
      </c>
      <c r="K132" s="87">
        <f>157</f>
        <v>157</v>
      </c>
      <c r="L132" s="176">
        <f>SUM(V124:V131)-L139</f>
        <v>1.86</v>
      </c>
    </row>
    <row r="133" spans="1:22" ht="14.25" x14ac:dyDescent="0.2">
      <c r="A133" s="183"/>
      <c r="B133" s="183"/>
      <c r="C133" s="184"/>
      <c r="D133" s="184" t="s">
        <v>51</v>
      </c>
      <c r="E133" s="185" t="s">
        <v>52</v>
      </c>
      <c r="F133" s="186">
        <f>[81]Source!AQ115</f>
        <v>23.33</v>
      </c>
      <c r="G133" s="187"/>
      <c r="H133" s="188" t="str">
        <f>[81]Source!DI115</f>
        <v/>
      </c>
      <c r="I133" s="186">
        <f>[81]Source!AV116</f>
        <v>1.0469999999999999</v>
      </c>
      <c r="J133" s="189">
        <f>[81]Source!U115</f>
        <v>3.57</v>
      </c>
      <c r="K133" s="186"/>
      <c r="L133" s="189"/>
    </row>
    <row r="134" spans="1:22" ht="15" x14ac:dyDescent="0.25">
      <c r="D134" s="194" t="s">
        <v>81</v>
      </c>
      <c r="I134" s="408">
        <f>J125+J126+J128+J130+J131+J132+SUM(J129:J129)</f>
        <v>337.22</v>
      </c>
      <c r="J134" s="408"/>
      <c r="K134" s="408">
        <f>L125+L126+L128+L130+L131+L132+SUM(L129:L129)</f>
        <v>4355.33</v>
      </c>
      <c r="L134" s="408"/>
      <c r="O134" s="92">
        <f>J125+J126+J128+J130+J131+J132+SUM(J129:J129)</f>
        <v>337.22</v>
      </c>
      <c r="P134" s="92">
        <f>L125+L126+L128+L130+L131+L132+SUM(L129:L129)</f>
        <v>4355.33</v>
      </c>
    </row>
    <row r="136" spans="1:22" ht="79.5" x14ac:dyDescent="0.2">
      <c r="A136" s="84">
        <v>15</v>
      </c>
      <c r="B136" s="84" t="str">
        <f>CONCATENATE([81]Source!E115, "/1")</f>
        <v>5/1</v>
      </c>
      <c r="C136" s="85" t="s">
        <v>194</v>
      </c>
      <c r="D136" s="85" t="s">
        <v>82</v>
      </c>
      <c r="E136" s="86" t="str">
        <f>[81]Source!H115</f>
        <v>100 м2 стяжки</v>
      </c>
      <c r="F136" s="87">
        <f>[81]Source!I115</f>
        <v>0.1462</v>
      </c>
      <c r="G136" s="88"/>
      <c r="H136" s="89"/>
      <c r="I136" s="87"/>
      <c r="J136" s="176"/>
      <c r="K136" s="87"/>
      <c r="L136" s="176"/>
    </row>
    <row r="137" spans="1:22" ht="14.25" x14ac:dyDescent="0.2">
      <c r="A137" s="84"/>
      <c r="B137" s="84"/>
      <c r="C137" s="85"/>
      <c r="D137" s="85" t="s">
        <v>44</v>
      </c>
      <c r="E137" s="86"/>
      <c r="F137" s="87"/>
      <c r="G137" s="88">
        <f t="shared" ref="G137:L137" si="4">G138</f>
        <v>0.31</v>
      </c>
      <c r="H137" s="195" t="str">
        <f t="shared" si="4"/>
        <v>)*(1.67-1)</v>
      </c>
      <c r="I137" s="87">
        <f t="shared" si="4"/>
        <v>1.0469999999999999</v>
      </c>
      <c r="J137" s="176">
        <f t="shared" si="4"/>
        <v>0.03</v>
      </c>
      <c r="K137" s="87">
        <f t="shared" si="4"/>
        <v>23.64</v>
      </c>
      <c r="L137" s="176">
        <f t="shared" si="4"/>
        <v>0.71</v>
      </c>
    </row>
    <row r="138" spans="1:22" ht="14.25" x14ac:dyDescent="0.2">
      <c r="A138" s="84"/>
      <c r="B138" s="84"/>
      <c r="C138" s="85"/>
      <c r="D138" s="85" t="s">
        <v>45</v>
      </c>
      <c r="E138" s="86"/>
      <c r="F138" s="87"/>
      <c r="G138" s="88">
        <f>[81]Source!AN115</f>
        <v>0.31</v>
      </c>
      <c r="H138" s="195" t="s">
        <v>53</v>
      </c>
      <c r="I138" s="87">
        <f>[81]Source!AV116</f>
        <v>1.0469999999999999</v>
      </c>
      <c r="J138" s="90">
        <f>ROUND(F124*G138*I138*(1.67-1), 2)</f>
        <v>0.03</v>
      </c>
      <c r="K138" s="87">
        <f>IF([81]Source!BS116&lt;&gt; 0, [81]Source!BS116, 1)</f>
        <v>23.64</v>
      </c>
      <c r="L138" s="90">
        <f>ROUND(ROUND(F124*G138*I138*(1.67-1), 2)*K138, 2)</f>
        <v>0.71</v>
      </c>
    </row>
    <row r="139" spans="1:22" ht="14.25" x14ac:dyDescent="0.2">
      <c r="A139" s="84"/>
      <c r="B139" s="84"/>
      <c r="C139" s="85"/>
      <c r="D139" s="85" t="s">
        <v>50</v>
      </c>
      <c r="E139" s="86" t="s">
        <v>48</v>
      </c>
      <c r="F139" s="87">
        <f>175</f>
        <v>175</v>
      </c>
      <c r="G139" s="88"/>
      <c r="H139" s="89"/>
      <c r="I139" s="87"/>
      <c r="J139" s="176">
        <f>ROUND(J138*(F139/100), 2)</f>
        <v>0.05</v>
      </c>
      <c r="K139" s="87">
        <f>157</f>
        <v>157</v>
      </c>
      <c r="L139" s="176">
        <f>ROUND(L138*(K139/100), 2)</f>
        <v>1.1100000000000001</v>
      </c>
    </row>
    <row r="140" spans="1:22" ht="15" x14ac:dyDescent="0.25">
      <c r="A140" s="190"/>
      <c r="B140" s="190"/>
      <c r="C140" s="190"/>
      <c r="D140" s="191" t="s">
        <v>81</v>
      </c>
      <c r="E140" s="190"/>
      <c r="F140" s="190"/>
      <c r="G140" s="190"/>
      <c r="H140" s="190"/>
      <c r="I140" s="409">
        <f>J139+J138</f>
        <v>0.08</v>
      </c>
      <c r="J140" s="409"/>
      <c r="K140" s="409">
        <f>L139+L138</f>
        <v>1.82</v>
      </c>
      <c r="L140" s="409"/>
      <c r="O140" s="92">
        <f>I140</f>
        <v>0.08</v>
      </c>
      <c r="P140" s="92">
        <f>K140</f>
        <v>1.82</v>
      </c>
    </row>
    <row r="142" spans="1:22" ht="65.25" x14ac:dyDescent="0.2">
      <c r="A142" s="84">
        <v>16</v>
      </c>
      <c r="B142" s="84" t="str">
        <f>[81]Source!E119</f>
        <v>6</v>
      </c>
      <c r="C142" s="85" t="s">
        <v>195</v>
      </c>
      <c r="D142" s="85" t="s">
        <v>196</v>
      </c>
      <c r="E142" s="86" t="str">
        <f>[81]Source!H119</f>
        <v>100 м2 стяжки</v>
      </c>
      <c r="F142" s="87">
        <f>[81]Source!I119</f>
        <v>0.1462</v>
      </c>
      <c r="G142" s="88"/>
      <c r="H142" s="89"/>
      <c r="I142" s="87"/>
      <c r="J142" s="176"/>
      <c r="K142" s="87"/>
      <c r="L142" s="176"/>
      <c r="Q142" s="47">
        <f>[81]Source!X119</f>
        <v>8.2799999999999994</v>
      </c>
      <c r="R142" s="47">
        <f>[81]Source!X120</f>
        <v>141.91</v>
      </c>
      <c r="S142" s="47">
        <f>[81]Source!Y119</f>
        <v>5.8</v>
      </c>
      <c r="T142" s="47">
        <f>[81]Source!Y120</f>
        <v>66.88</v>
      </c>
      <c r="U142" s="47">
        <f>ROUND((175/100)*ROUND([81]Source!R119, 2), 2)</f>
        <v>0.21</v>
      </c>
      <c r="V142" s="47">
        <f>ROUND((157/100)*ROUND([81]Source!R120, 2), 2)</f>
        <v>4.46</v>
      </c>
    </row>
    <row r="143" spans="1:22" ht="14.25" x14ac:dyDescent="0.2">
      <c r="A143" s="84"/>
      <c r="B143" s="84"/>
      <c r="C143" s="85"/>
      <c r="D143" s="85" t="s">
        <v>43</v>
      </c>
      <c r="E143" s="86"/>
      <c r="F143" s="87"/>
      <c r="G143" s="88">
        <f>[81]Source!AO119</f>
        <v>4.5</v>
      </c>
      <c r="H143" s="89" t="str">
        <f>[81]Source!DG119</f>
        <v>)*1,67)*6</v>
      </c>
      <c r="I143" s="87">
        <f>[81]Source!AV120</f>
        <v>1.0469999999999999</v>
      </c>
      <c r="J143" s="176">
        <f>[81]Source!S119</f>
        <v>6.9</v>
      </c>
      <c r="K143" s="87">
        <f>IF([81]Source!BA120&lt;&gt; 0, [81]Source!BA120, 1)</f>
        <v>23.64</v>
      </c>
      <c r="L143" s="176">
        <f>[81]Source!S120</f>
        <v>163.12</v>
      </c>
    </row>
    <row r="144" spans="1:22" ht="14.25" x14ac:dyDescent="0.2">
      <c r="A144" s="84"/>
      <c r="B144" s="84"/>
      <c r="C144" s="85"/>
      <c r="D144" s="85" t="s">
        <v>44</v>
      </c>
      <c r="E144" s="86"/>
      <c r="F144" s="87"/>
      <c r="G144" s="88">
        <f>[81]Source!AM119</f>
        <v>3.22</v>
      </c>
      <c r="H144" s="89" t="str">
        <f>[81]Source!DE119</f>
        <v>)*6</v>
      </c>
      <c r="I144" s="87">
        <f>[81]Source!AV120</f>
        <v>1.0469999999999999</v>
      </c>
      <c r="J144" s="176">
        <f>[81]Source!Q119-J154</f>
        <v>2.96</v>
      </c>
      <c r="K144" s="87">
        <f>IF([81]Source!BB120&lt;&gt; 0, [81]Source!BB120, 1)</f>
        <v>1.58</v>
      </c>
      <c r="L144" s="176">
        <f>[81]Source!Q120-L154</f>
        <v>4.68</v>
      </c>
    </row>
    <row r="145" spans="1:22" ht="14.25" x14ac:dyDescent="0.2">
      <c r="A145" s="84"/>
      <c r="B145" s="84"/>
      <c r="C145" s="85"/>
      <c r="D145" s="85" t="s">
        <v>45</v>
      </c>
      <c r="E145" s="86"/>
      <c r="F145" s="87"/>
      <c r="G145" s="88">
        <f>[81]Source!AN119</f>
        <v>0.08</v>
      </c>
      <c r="H145" s="89" t="str">
        <f>[81]Source!DE119</f>
        <v>)*6</v>
      </c>
      <c r="I145" s="87">
        <f>[81]Source!AV120</f>
        <v>1.0469999999999999</v>
      </c>
      <c r="J145" s="90">
        <f>[81]Source!R119-J155</f>
        <v>7.0000000000000007E-2</v>
      </c>
      <c r="K145" s="87">
        <f>IF([81]Source!BS120&lt;&gt; 0, [81]Source!BS120, 1)</f>
        <v>23.64</v>
      </c>
      <c r="L145" s="90">
        <f>[81]Source!R120-L155</f>
        <v>1.66</v>
      </c>
    </row>
    <row r="146" spans="1:22" ht="14.25" x14ac:dyDescent="0.2">
      <c r="A146" s="84">
        <v>17</v>
      </c>
      <c r="B146" s="84" t="str">
        <f>[81]Source!E121</f>
        <v>6,1</v>
      </c>
      <c r="C146" s="85" t="str">
        <f>[81]Source!F121</f>
        <v>1.3-2-6</v>
      </c>
      <c r="D146" s="85" t="s">
        <v>193</v>
      </c>
      <c r="E146" s="86" t="str">
        <f>[81]Source!H121</f>
        <v>м3</v>
      </c>
      <c r="F146" s="87">
        <f>[81]Source!I121</f>
        <v>7.4562000000000003E-2</v>
      </c>
      <c r="G146" s="88">
        <f>[81]Source!AK121</f>
        <v>478.96</v>
      </c>
      <c r="H146" s="123" t="s">
        <v>265</v>
      </c>
      <c r="I146" s="87">
        <f>[81]Source!AW122</f>
        <v>1</v>
      </c>
      <c r="J146" s="176">
        <f>[81]Source!O121</f>
        <v>214.27</v>
      </c>
      <c r="K146" s="87">
        <f>IF([81]Source!BC122&lt;&gt; 0, [81]Source!BC122, 1)</f>
        <v>6.91</v>
      </c>
      <c r="L146" s="176">
        <f>[81]Source!O122</f>
        <v>1480.61</v>
      </c>
      <c r="Q146" s="47">
        <f>[81]Source!X121</f>
        <v>0</v>
      </c>
      <c r="R146" s="47">
        <f>[81]Source!X122</f>
        <v>0</v>
      </c>
      <c r="S146" s="47">
        <f>[81]Source!Y121</f>
        <v>0</v>
      </c>
      <c r="T146" s="47">
        <f>[81]Source!Y122</f>
        <v>0</v>
      </c>
      <c r="U146" s="47">
        <f>ROUND((175/100)*ROUND([81]Source!R121, 2), 2)</f>
        <v>0</v>
      </c>
      <c r="V146" s="47">
        <f>ROUND((157/100)*ROUND([81]Source!R122, 2), 2)</f>
        <v>0</v>
      </c>
    </row>
    <row r="147" spans="1:22" ht="14.25" x14ac:dyDescent="0.2">
      <c r="A147" s="84"/>
      <c r="B147" s="84"/>
      <c r="C147" s="85"/>
      <c r="D147" s="85" t="s">
        <v>47</v>
      </c>
      <c r="E147" s="86" t="s">
        <v>48</v>
      </c>
      <c r="F147" s="87">
        <f>[81]Source!DN120</f>
        <v>120</v>
      </c>
      <c r="G147" s="88"/>
      <c r="H147" s="89"/>
      <c r="I147" s="87"/>
      <c r="J147" s="176">
        <f>SUM(Q142:Q146)</f>
        <v>8.2799999999999994</v>
      </c>
      <c r="K147" s="87">
        <f>[81]Source!BZ120</f>
        <v>87</v>
      </c>
      <c r="L147" s="176">
        <f>SUM(R142:R146)</f>
        <v>141.91</v>
      </c>
    </row>
    <row r="148" spans="1:22" ht="14.25" x14ac:dyDescent="0.2">
      <c r="A148" s="84"/>
      <c r="B148" s="84"/>
      <c r="C148" s="85"/>
      <c r="D148" s="85" t="s">
        <v>49</v>
      </c>
      <c r="E148" s="86" t="s">
        <v>48</v>
      </c>
      <c r="F148" s="87">
        <f>[81]Source!DO120</f>
        <v>84</v>
      </c>
      <c r="G148" s="88"/>
      <c r="H148" s="89"/>
      <c r="I148" s="87"/>
      <c r="J148" s="176">
        <f>SUM(S142:S147)</f>
        <v>5.8</v>
      </c>
      <c r="K148" s="87">
        <f>[81]Source!CA120</f>
        <v>41</v>
      </c>
      <c r="L148" s="176">
        <f>SUM(T142:T147)</f>
        <v>66.88</v>
      </c>
    </row>
    <row r="149" spans="1:22" ht="14.25" x14ac:dyDescent="0.2">
      <c r="A149" s="84"/>
      <c r="B149" s="84"/>
      <c r="C149" s="85"/>
      <c r="D149" s="85" t="s">
        <v>50</v>
      </c>
      <c r="E149" s="86" t="s">
        <v>48</v>
      </c>
      <c r="F149" s="87">
        <f>175</f>
        <v>175</v>
      </c>
      <c r="G149" s="88"/>
      <c r="H149" s="89"/>
      <c r="I149" s="87"/>
      <c r="J149" s="176">
        <f>SUM(U142:U148)-J156</f>
        <v>0.12</v>
      </c>
      <c r="K149" s="87">
        <f>157</f>
        <v>157</v>
      </c>
      <c r="L149" s="176">
        <f>SUM(V142:V148)-L156</f>
        <v>2.61</v>
      </c>
    </row>
    <row r="150" spans="1:22" ht="14.25" x14ac:dyDescent="0.2">
      <c r="A150" s="183"/>
      <c r="B150" s="183"/>
      <c r="C150" s="184"/>
      <c r="D150" s="184" t="s">
        <v>51</v>
      </c>
      <c r="E150" s="185" t="s">
        <v>52</v>
      </c>
      <c r="F150" s="186">
        <f>[81]Source!AQ119</f>
        <v>0.44</v>
      </c>
      <c r="G150" s="187"/>
      <c r="H150" s="188" t="str">
        <f>[81]Source!DI119</f>
        <v>)*6</v>
      </c>
      <c r="I150" s="186">
        <f>[81]Source!AV120</f>
        <v>1.0469999999999999</v>
      </c>
      <c r="J150" s="189">
        <f>[81]Source!U119</f>
        <v>0.4</v>
      </c>
      <c r="K150" s="186"/>
      <c r="L150" s="189"/>
    </row>
    <row r="151" spans="1:22" ht="15" x14ac:dyDescent="0.25">
      <c r="D151" s="194" t="s">
        <v>81</v>
      </c>
      <c r="I151" s="408">
        <f>J143+J144+J147+J148+J149+SUM(J146:J146)</f>
        <v>238.33</v>
      </c>
      <c r="J151" s="408"/>
      <c r="K151" s="408">
        <f>L143+L144+L147+L148+L149+SUM(L146:L146)</f>
        <v>1859.81</v>
      </c>
      <c r="L151" s="408"/>
      <c r="O151" s="92">
        <f>J143+J144+J147+J148+J149+SUM(J146:J146)</f>
        <v>238.33</v>
      </c>
      <c r="P151" s="92">
        <f>L143+L144+L147+L148+L149+SUM(L146:L146)</f>
        <v>1859.81</v>
      </c>
    </row>
    <row r="153" spans="1:22" ht="79.5" x14ac:dyDescent="0.2">
      <c r="A153" s="84">
        <v>18</v>
      </c>
      <c r="B153" s="84" t="str">
        <f>CONCATENATE([81]Source!E119, "/1")</f>
        <v>6/1</v>
      </c>
      <c r="C153" s="85" t="s">
        <v>197</v>
      </c>
      <c r="D153" s="85" t="s">
        <v>82</v>
      </c>
      <c r="E153" s="86" t="str">
        <f>[81]Source!H119</f>
        <v>100 м2 стяжки</v>
      </c>
      <c r="F153" s="87">
        <f>[81]Source!I119</f>
        <v>0.1462</v>
      </c>
      <c r="G153" s="88"/>
      <c r="H153" s="89"/>
      <c r="I153" s="87"/>
      <c r="J153" s="176"/>
      <c r="K153" s="87"/>
      <c r="L153" s="176"/>
    </row>
    <row r="154" spans="1:22" ht="14.25" x14ac:dyDescent="0.2">
      <c r="A154" s="84"/>
      <c r="B154" s="84"/>
      <c r="C154" s="85"/>
      <c r="D154" s="85" t="s">
        <v>44</v>
      </c>
      <c r="E154" s="86"/>
      <c r="F154" s="87"/>
      <c r="G154" s="88">
        <f t="shared" ref="G154:L154" si="5">G155</f>
        <v>0.08</v>
      </c>
      <c r="H154" s="195" t="str">
        <f t="shared" si="5"/>
        <v>)*(1.67-1)*6</v>
      </c>
      <c r="I154" s="87">
        <f t="shared" si="5"/>
        <v>1.0469999999999999</v>
      </c>
      <c r="J154" s="176">
        <f t="shared" si="5"/>
        <v>0.05</v>
      </c>
      <c r="K154" s="87">
        <f t="shared" si="5"/>
        <v>23.64</v>
      </c>
      <c r="L154" s="176">
        <f t="shared" si="5"/>
        <v>1.18</v>
      </c>
    </row>
    <row r="155" spans="1:22" ht="14.25" x14ac:dyDescent="0.2">
      <c r="A155" s="84"/>
      <c r="B155" s="84"/>
      <c r="C155" s="85"/>
      <c r="D155" s="85" t="s">
        <v>45</v>
      </c>
      <c r="E155" s="86"/>
      <c r="F155" s="87"/>
      <c r="G155" s="88">
        <f>[81]Source!AN119</f>
        <v>0.08</v>
      </c>
      <c r="H155" s="195" t="s">
        <v>210</v>
      </c>
      <c r="I155" s="87">
        <f>[81]Source!AV120</f>
        <v>1.0469999999999999</v>
      </c>
      <c r="J155" s="90">
        <f>ROUND(F142*G155*I155*(1.67-1)*6, 2)</f>
        <v>0.05</v>
      </c>
      <c r="K155" s="87">
        <f>IF([81]Source!BS120&lt;&gt; 0, [81]Source!BS120, 1)</f>
        <v>23.64</v>
      </c>
      <c r="L155" s="90">
        <f>ROUND(ROUND(F142*G155*I155*(1.67-1)*6, 2)*K155, 2)</f>
        <v>1.18</v>
      </c>
    </row>
    <row r="156" spans="1:22" ht="14.25" x14ac:dyDescent="0.2">
      <c r="A156" s="84"/>
      <c r="B156" s="84"/>
      <c r="C156" s="85"/>
      <c r="D156" s="85" t="s">
        <v>50</v>
      </c>
      <c r="E156" s="86" t="s">
        <v>48</v>
      </c>
      <c r="F156" s="87">
        <f>175</f>
        <v>175</v>
      </c>
      <c r="G156" s="88"/>
      <c r="H156" s="89"/>
      <c r="I156" s="87"/>
      <c r="J156" s="176">
        <f>ROUND(J155*(F156/100), 2)</f>
        <v>0.09</v>
      </c>
      <c r="K156" s="87">
        <f>157</f>
        <v>157</v>
      </c>
      <c r="L156" s="176">
        <f>ROUND(L155*(K156/100), 2)</f>
        <v>1.85</v>
      </c>
    </row>
    <row r="157" spans="1:22" ht="15" x14ac:dyDescent="0.25">
      <c r="A157" s="190"/>
      <c r="B157" s="190"/>
      <c r="C157" s="190"/>
      <c r="D157" s="191" t="s">
        <v>81</v>
      </c>
      <c r="E157" s="190"/>
      <c r="F157" s="190"/>
      <c r="G157" s="190"/>
      <c r="H157" s="190"/>
      <c r="I157" s="409">
        <f>J156+J155</f>
        <v>0.14000000000000001</v>
      </c>
      <c r="J157" s="409"/>
      <c r="K157" s="409">
        <f>L156+L155</f>
        <v>3.03</v>
      </c>
      <c r="L157" s="409"/>
      <c r="O157" s="92">
        <f>I157</f>
        <v>0.14000000000000001</v>
      </c>
      <c r="P157" s="92">
        <f>K157</f>
        <v>3.03</v>
      </c>
    </row>
    <row r="159" spans="1:22" ht="65.25" x14ac:dyDescent="0.2">
      <c r="A159" s="84">
        <v>19</v>
      </c>
      <c r="B159" s="84" t="str">
        <f>[81]Source!E123</f>
        <v>7</v>
      </c>
      <c r="C159" s="85" t="s">
        <v>141</v>
      </c>
      <c r="D159" s="85" t="s">
        <v>142</v>
      </c>
      <c r="E159" s="86" t="str">
        <f>[81]Source!H123</f>
        <v>100 м2 пола</v>
      </c>
      <c r="F159" s="87">
        <f>[81]Source!I123</f>
        <v>0.14779999999999999</v>
      </c>
      <c r="G159" s="88"/>
      <c r="H159" s="89"/>
      <c r="I159" s="87"/>
      <c r="J159" s="176"/>
      <c r="K159" s="87"/>
      <c r="L159" s="176"/>
      <c r="Q159" s="47">
        <f>[81]Source!X123</f>
        <v>306.07</v>
      </c>
      <c r="R159" s="47">
        <f>[81]Source!X124</f>
        <v>5245.77</v>
      </c>
      <c r="S159" s="47">
        <f>[81]Source!Y123</f>
        <v>214.25</v>
      </c>
      <c r="T159" s="47">
        <f>[81]Source!Y124</f>
        <v>2472.14</v>
      </c>
      <c r="U159" s="47">
        <f>ROUND((175/100)*ROUND([81]Source!R123, 2), 2)</f>
        <v>5.65</v>
      </c>
      <c r="V159" s="47">
        <f>ROUND((157/100)*ROUND([81]Source!R124, 2), 2)</f>
        <v>119.89</v>
      </c>
    </row>
    <row r="160" spans="1:22" ht="14.25" x14ac:dyDescent="0.2">
      <c r="A160" s="84"/>
      <c r="B160" s="84"/>
      <c r="C160" s="85"/>
      <c r="D160" s="85" t="s">
        <v>43</v>
      </c>
      <c r="E160" s="86"/>
      <c r="F160" s="87"/>
      <c r="G160" s="88">
        <f>[81]Source!AO123</f>
        <v>986.98</v>
      </c>
      <c r="H160" s="89" t="str">
        <f>[81]Source!DG123</f>
        <v>)*1,67</v>
      </c>
      <c r="I160" s="87">
        <f>[81]Source!AV124</f>
        <v>1.0469999999999999</v>
      </c>
      <c r="J160" s="176">
        <f>[81]Source!S123</f>
        <v>255.06</v>
      </c>
      <c r="K160" s="87">
        <f>IF([81]Source!BA124&lt;&gt; 0, [81]Source!BA124, 1)</f>
        <v>23.64</v>
      </c>
      <c r="L160" s="176">
        <f>[81]Source!S124</f>
        <v>6029.62</v>
      </c>
    </row>
    <row r="161" spans="1:22" ht="14.25" x14ac:dyDescent="0.2">
      <c r="A161" s="84"/>
      <c r="B161" s="84"/>
      <c r="C161" s="85"/>
      <c r="D161" s="85" t="s">
        <v>44</v>
      </c>
      <c r="E161" s="86"/>
      <c r="F161" s="87"/>
      <c r="G161" s="88">
        <f>[81]Source!AM123</f>
        <v>99.77</v>
      </c>
      <c r="H161" s="89" t="str">
        <f>[81]Source!DE123</f>
        <v/>
      </c>
      <c r="I161" s="87">
        <f>[81]Source!AV124</f>
        <v>1.0469999999999999</v>
      </c>
      <c r="J161" s="176">
        <f>[81]Source!Q123-J174</f>
        <v>15.44</v>
      </c>
      <c r="K161" s="87">
        <f>IF([81]Source!BB124&lt;&gt; 0, [81]Source!BB124, 1)</f>
        <v>11.8</v>
      </c>
      <c r="L161" s="176">
        <f>[81]Source!Q124-L174</f>
        <v>182.19</v>
      </c>
    </row>
    <row r="162" spans="1:22" ht="14.25" x14ac:dyDescent="0.2">
      <c r="A162" s="84"/>
      <c r="B162" s="84"/>
      <c r="C162" s="85"/>
      <c r="D162" s="85" t="s">
        <v>45</v>
      </c>
      <c r="E162" s="86"/>
      <c r="F162" s="87"/>
      <c r="G162" s="88">
        <f>[81]Source!AN123</f>
        <v>12.51</v>
      </c>
      <c r="H162" s="89" t="str">
        <f>[81]Source!DE123</f>
        <v/>
      </c>
      <c r="I162" s="87">
        <f>[81]Source!AV124</f>
        <v>1.0469999999999999</v>
      </c>
      <c r="J162" s="90">
        <f>[81]Source!R123-J175</f>
        <v>1.93</v>
      </c>
      <c r="K162" s="87">
        <f>IF([81]Source!BS124&lt;&gt; 0, [81]Source!BS124, 1)</f>
        <v>23.64</v>
      </c>
      <c r="L162" s="90">
        <f>[81]Source!R124-L175</f>
        <v>45.63</v>
      </c>
    </row>
    <row r="163" spans="1:22" ht="14.25" x14ac:dyDescent="0.2">
      <c r="A163" s="84"/>
      <c r="B163" s="84"/>
      <c r="C163" s="85"/>
      <c r="D163" s="85" t="s">
        <v>46</v>
      </c>
      <c r="E163" s="86"/>
      <c r="F163" s="87"/>
      <c r="G163" s="88">
        <f>[81]Source!AL123</f>
        <v>699.78</v>
      </c>
      <c r="H163" s="89" t="str">
        <f>[81]Source!DD123</f>
        <v/>
      </c>
      <c r="I163" s="87">
        <f>[81]Source!AW124</f>
        <v>1</v>
      </c>
      <c r="J163" s="176">
        <f>[81]Source!P123</f>
        <v>103.43</v>
      </c>
      <c r="K163" s="87">
        <f>IF([81]Source!BC124&lt;&gt; 0, [81]Source!BC124, 1)</f>
        <v>0.9</v>
      </c>
      <c r="L163" s="176">
        <f>[81]Source!P124</f>
        <v>93.09</v>
      </c>
    </row>
    <row r="164" spans="1:22" ht="28.5" x14ac:dyDescent="0.2">
      <c r="A164" s="84">
        <v>20</v>
      </c>
      <c r="B164" s="84" t="str">
        <f>[81]Source!E125</f>
        <v>7,1</v>
      </c>
      <c r="C164" s="85" t="str">
        <f>[81]Source!F125</f>
        <v>1.3-2-138</v>
      </c>
      <c r="D164" s="85" t="s">
        <v>143</v>
      </c>
      <c r="E164" s="86" t="str">
        <f>[81]Source!H125</f>
        <v>т</v>
      </c>
      <c r="F164" s="87">
        <f>[81]Source!I125</f>
        <v>5.2909999999999997E-3</v>
      </c>
      <c r="G164" s="88">
        <f>[81]Source!AK125</f>
        <v>27362.67</v>
      </c>
      <c r="H164" s="123" t="s">
        <v>20</v>
      </c>
      <c r="I164" s="87">
        <f>[81]Source!AW126</f>
        <v>1</v>
      </c>
      <c r="J164" s="176">
        <f>[81]Source!O125</f>
        <v>144.78</v>
      </c>
      <c r="K164" s="87">
        <f>IF([81]Source!BC126&lt;&gt; 0, [81]Source!BC126, 1)</f>
        <v>1.01</v>
      </c>
      <c r="L164" s="176">
        <f>[81]Source!O126</f>
        <v>146.22999999999999</v>
      </c>
      <c r="Q164" s="47">
        <f>[81]Source!X125</f>
        <v>0</v>
      </c>
      <c r="R164" s="47">
        <f>[81]Source!X126</f>
        <v>0</v>
      </c>
      <c r="S164" s="47">
        <f>[81]Source!Y125</f>
        <v>0</v>
      </c>
      <c r="T164" s="47">
        <f>[81]Source!Y126</f>
        <v>0</v>
      </c>
      <c r="U164" s="47">
        <f>ROUND((175/100)*ROUND([81]Source!R125, 2), 2)</f>
        <v>0</v>
      </c>
      <c r="V164" s="47">
        <f>ROUND((157/100)*ROUND([81]Source!R126, 2), 2)</f>
        <v>0</v>
      </c>
    </row>
    <row r="165" spans="1:22" ht="85.5" x14ac:dyDescent="0.2">
      <c r="A165" s="84">
        <v>21</v>
      </c>
      <c r="B165" s="84" t="str">
        <f>[81]Source!E127</f>
        <v>7,2</v>
      </c>
      <c r="C165" s="85" t="str">
        <f>[81]Source!F127</f>
        <v>1.3-2-168</v>
      </c>
      <c r="D165" s="85" t="s">
        <v>144</v>
      </c>
      <c r="E165" s="86" t="str">
        <f>[81]Source!H127</f>
        <v>т</v>
      </c>
      <c r="F165" s="87">
        <f>[81]Source!I127</f>
        <v>6.9466E-2</v>
      </c>
      <c r="G165" s="88">
        <f>[81]Source!AK127</f>
        <v>6529.05</v>
      </c>
      <c r="H165" s="123" t="s">
        <v>20</v>
      </c>
      <c r="I165" s="87">
        <f>[81]Source!AW128</f>
        <v>1</v>
      </c>
      <c r="J165" s="176">
        <f>[81]Source!O127</f>
        <v>453.55</v>
      </c>
      <c r="K165" s="87">
        <f>IF([81]Source!BC128&lt;&gt; 0, [81]Source!BC128, 1)</f>
        <v>1.76</v>
      </c>
      <c r="L165" s="176">
        <f>[81]Source!O128</f>
        <v>798.25</v>
      </c>
      <c r="Q165" s="47">
        <f>[81]Source!X127</f>
        <v>0</v>
      </c>
      <c r="R165" s="47">
        <f>[81]Source!X128</f>
        <v>0</v>
      </c>
      <c r="S165" s="47">
        <f>[81]Source!Y127</f>
        <v>0</v>
      </c>
      <c r="T165" s="47">
        <f>[81]Source!Y128</f>
        <v>0</v>
      </c>
      <c r="U165" s="47">
        <f>ROUND((175/100)*ROUND([81]Source!R127, 2), 2)</f>
        <v>0</v>
      </c>
      <c r="V165" s="47">
        <f>ROUND((157/100)*ROUND([81]Source!R128, 2), 2)</f>
        <v>0</v>
      </c>
    </row>
    <row r="166" spans="1:22" ht="57" x14ac:dyDescent="0.2">
      <c r="A166" s="84">
        <v>22</v>
      </c>
      <c r="B166" s="84" t="str">
        <f>[81]Source!E129</f>
        <v>7,4</v>
      </c>
      <c r="C166" s="85" t="str">
        <f>[81]Source!F129</f>
        <v>1.1-1-2399</v>
      </c>
      <c r="D166" s="85" t="s">
        <v>145</v>
      </c>
      <c r="E166" s="86" t="str">
        <f>[81]Source!H129</f>
        <v>м2</v>
      </c>
      <c r="F166" s="87">
        <f>[81]Source!I129</f>
        <v>15.0756</v>
      </c>
      <c r="G166" s="88">
        <f>[81]Source!AK129</f>
        <v>114.81</v>
      </c>
      <c r="H166" s="123" t="s">
        <v>20</v>
      </c>
      <c r="I166" s="87">
        <f>[81]Source!AW130</f>
        <v>1</v>
      </c>
      <c r="J166" s="176">
        <f>[81]Source!O129</f>
        <v>1730.83</v>
      </c>
      <c r="K166" s="87">
        <f>IF([81]Source!BC130&lt;&gt; 0, [81]Source!BC130, 1)</f>
        <v>4.6399999999999997</v>
      </c>
      <c r="L166" s="176">
        <f>[81]Source!O130</f>
        <v>8031.05</v>
      </c>
      <c r="Q166" s="47">
        <f>[81]Source!X129</f>
        <v>0</v>
      </c>
      <c r="R166" s="47">
        <f>[81]Source!X130</f>
        <v>0</v>
      </c>
      <c r="S166" s="47">
        <f>[81]Source!Y129</f>
        <v>0</v>
      </c>
      <c r="T166" s="47">
        <f>[81]Source!Y130</f>
        <v>0</v>
      </c>
      <c r="U166" s="47">
        <f>ROUND((175/100)*ROUND([81]Source!R129, 2), 2)</f>
        <v>0</v>
      </c>
      <c r="V166" s="47">
        <f>ROUND((157/100)*ROUND([81]Source!R130, 2), 2)</f>
        <v>0</v>
      </c>
    </row>
    <row r="167" spans="1:22" ht="14.25" x14ac:dyDescent="0.2">
      <c r="A167" s="84"/>
      <c r="B167" s="84"/>
      <c r="C167" s="85"/>
      <c r="D167" s="85" t="s">
        <v>47</v>
      </c>
      <c r="E167" s="86" t="s">
        <v>48</v>
      </c>
      <c r="F167" s="87">
        <f>[81]Source!DN124</f>
        <v>120</v>
      </c>
      <c r="G167" s="88"/>
      <c r="H167" s="89"/>
      <c r="I167" s="87"/>
      <c r="J167" s="176">
        <f>SUM(Q159:Q166)</f>
        <v>306.07</v>
      </c>
      <c r="K167" s="87">
        <f>[81]Source!BZ124</f>
        <v>87</v>
      </c>
      <c r="L167" s="176">
        <f>SUM(R159:R166)</f>
        <v>5245.77</v>
      </c>
    </row>
    <row r="168" spans="1:22" ht="14.25" x14ac:dyDescent="0.2">
      <c r="A168" s="84"/>
      <c r="B168" s="84"/>
      <c r="C168" s="85"/>
      <c r="D168" s="85" t="s">
        <v>49</v>
      </c>
      <c r="E168" s="86" t="s">
        <v>48</v>
      </c>
      <c r="F168" s="87">
        <f>[81]Source!DO124</f>
        <v>84</v>
      </c>
      <c r="G168" s="88"/>
      <c r="H168" s="89"/>
      <c r="I168" s="87"/>
      <c r="J168" s="176">
        <f>SUM(S159:S167)</f>
        <v>214.25</v>
      </c>
      <c r="K168" s="87">
        <f>[81]Source!CA124</f>
        <v>41</v>
      </c>
      <c r="L168" s="176">
        <f>SUM(T159:T167)</f>
        <v>2472.14</v>
      </c>
    </row>
    <row r="169" spans="1:22" ht="14.25" x14ac:dyDescent="0.2">
      <c r="A169" s="84"/>
      <c r="B169" s="84"/>
      <c r="C169" s="85"/>
      <c r="D169" s="85" t="s">
        <v>50</v>
      </c>
      <c r="E169" s="86" t="s">
        <v>48</v>
      </c>
      <c r="F169" s="87">
        <f>175</f>
        <v>175</v>
      </c>
      <c r="G169" s="88"/>
      <c r="H169" s="89"/>
      <c r="I169" s="87"/>
      <c r="J169" s="176">
        <f>SUM(U159:U168)-J176</f>
        <v>3.37</v>
      </c>
      <c r="K169" s="87">
        <f>157</f>
        <v>157</v>
      </c>
      <c r="L169" s="176">
        <f>SUM(V159:V168)-L176</f>
        <v>71.64</v>
      </c>
    </row>
    <row r="170" spans="1:22" ht="14.25" x14ac:dyDescent="0.2">
      <c r="A170" s="183"/>
      <c r="B170" s="183"/>
      <c r="C170" s="184"/>
      <c r="D170" s="184" t="s">
        <v>51</v>
      </c>
      <c r="E170" s="185" t="s">
        <v>52</v>
      </c>
      <c r="F170" s="186">
        <f>[81]Source!AQ123</f>
        <v>84.08</v>
      </c>
      <c r="G170" s="187"/>
      <c r="H170" s="188" t="str">
        <f>[81]Source!DI123</f>
        <v/>
      </c>
      <c r="I170" s="186">
        <f>[81]Source!AV124</f>
        <v>1.0469999999999999</v>
      </c>
      <c r="J170" s="189">
        <f>[81]Source!U123</f>
        <v>13.01</v>
      </c>
      <c r="K170" s="186"/>
      <c r="L170" s="189"/>
    </row>
    <row r="171" spans="1:22" ht="15" x14ac:dyDescent="0.25">
      <c r="D171" s="194" t="s">
        <v>81</v>
      </c>
      <c r="I171" s="408">
        <f>J160+J161+J163+J167+J168+J169+SUM(J164:J166)</f>
        <v>3226.78</v>
      </c>
      <c r="J171" s="408"/>
      <c r="K171" s="408">
        <f>L160+L161+L163+L167+L168+L169+SUM(L164:L166)</f>
        <v>23069.98</v>
      </c>
      <c r="L171" s="408"/>
      <c r="O171" s="92">
        <f>J160+J161+J163+J167+J168+J169+SUM(J164:J166)</f>
        <v>3226.78</v>
      </c>
      <c r="P171" s="92">
        <f>L160+L161+L163+L167+L168+L169+SUM(L164:L166)</f>
        <v>23069.98</v>
      </c>
    </row>
    <row r="173" spans="1:22" ht="79.5" x14ac:dyDescent="0.2">
      <c r="A173" s="84">
        <v>23</v>
      </c>
      <c r="B173" s="84" t="str">
        <f>CONCATENATE([81]Source!E123, "/1")</f>
        <v>7/1</v>
      </c>
      <c r="C173" s="85" t="s">
        <v>202</v>
      </c>
      <c r="D173" s="85" t="s">
        <v>82</v>
      </c>
      <c r="E173" s="86" t="str">
        <f>[81]Source!H123</f>
        <v>100 м2 пола</v>
      </c>
      <c r="F173" s="87">
        <f>[81]Source!I123</f>
        <v>0.14779999999999999</v>
      </c>
      <c r="G173" s="88"/>
      <c r="H173" s="89"/>
      <c r="I173" s="87"/>
      <c r="J173" s="176"/>
      <c r="K173" s="87"/>
      <c r="L173" s="176"/>
    </row>
    <row r="174" spans="1:22" ht="14.25" x14ac:dyDescent="0.2">
      <c r="A174" s="84"/>
      <c r="B174" s="84"/>
      <c r="C174" s="85"/>
      <c r="D174" s="85" t="s">
        <v>44</v>
      </c>
      <c r="E174" s="86"/>
      <c r="F174" s="87"/>
      <c r="G174" s="88">
        <f t="shared" ref="G174:L174" si="6">G175</f>
        <v>12.51</v>
      </c>
      <c r="H174" s="195" t="str">
        <f t="shared" si="6"/>
        <v>)*(1.67-1)</v>
      </c>
      <c r="I174" s="87">
        <f t="shared" si="6"/>
        <v>1.0469999999999999</v>
      </c>
      <c r="J174" s="176">
        <f t="shared" si="6"/>
        <v>1.3</v>
      </c>
      <c r="K174" s="87">
        <f t="shared" si="6"/>
        <v>23.64</v>
      </c>
      <c r="L174" s="176">
        <f t="shared" si="6"/>
        <v>30.73</v>
      </c>
    </row>
    <row r="175" spans="1:22" ht="14.25" x14ac:dyDescent="0.2">
      <c r="A175" s="84"/>
      <c r="B175" s="84"/>
      <c r="C175" s="85"/>
      <c r="D175" s="85" t="s">
        <v>45</v>
      </c>
      <c r="E175" s="86"/>
      <c r="F175" s="87"/>
      <c r="G175" s="88">
        <f>[81]Source!AN123</f>
        <v>12.51</v>
      </c>
      <c r="H175" s="195" t="s">
        <v>53</v>
      </c>
      <c r="I175" s="87">
        <f>[81]Source!AV124</f>
        <v>1.0469999999999999</v>
      </c>
      <c r="J175" s="90">
        <f>ROUND(F159*G175*I175*(1.67-1), 2)</f>
        <v>1.3</v>
      </c>
      <c r="K175" s="87">
        <f>IF([81]Source!BS124&lt;&gt; 0, [81]Source!BS124, 1)</f>
        <v>23.64</v>
      </c>
      <c r="L175" s="90">
        <f>ROUND(ROUND(F159*G175*I175*(1.67-1), 2)*K175, 2)</f>
        <v>30.73</v>
      </c>
    </row>
    <row r="176" spans="1:22" ht="14.25" x14ac:dyDescent="0.2">
      <c r="A176" s="84"/>
      <c r="B176" s="84"/>
      <c r="C176" s="85"/>
      <c r="D176" s="85" t="s">
        <v>50</v>
      </c>
      <c r="E176" s="86" t="s">
        <v>48</v>
      </c>
      <c r="F176" s="87">
        <f>175</f>
        <v>175</v>
      </c>
      <c r="G176" s="88"/>
      <c r="H176" s="89"/>
      <c r="I176" s="87"/>
      <c r="J176" s="176">
        <f>ROUND(J175*(F176/100), 2)</f>
        <v>2.2799999999999998</v>
      </c>
      <c r="K176" s="87">
        <f>157</f>
        <v>157</v>
      </c>
      <c r="L176" s="176">
        <f>ROUND(L175*(K176/100), 2)</f>
        <v>48.25</v>
      </c>
    </row>
    <row r="177" spans="1:22" ht="15" x14ac:dyDescent="0.25">
      <c r="A177" s="190"/>
      <c r="B177" s="190"/>
      <c r="C177" s="190"/>
      <c r="D177" s="191" t="s">
        <v>81</v>
      </c>
      <c r="E177" s="190"/>
      <c r="F177" s="190"/>
      <c r="G177" s="190"/>
      <c r="H177" s="190"/>
      <c r="I177" s="409">
        <f>J176+J175</f>
        <v>3.58</v>
      </c>
      <c r="J177" s="409"/>
      <c r="K177" s="409">
        <f>L176+L175</f>
        <v>78.98</v>
      </c>
      <c r="L177" s="409"/>
      <c r="O177" s="92">
        <f>I177</f>
        <v>3.58</v>
      </c>
      <c r="P177" s="92">
        <f>K177</f>
        <v>78.98</v>
      </c>
    </row>
    <row r="180" spans="1:22" ht="15" x14ac:dyDescent="0.25">
      <c r="A180" s="403" t="str">
        <f>CONCATENATE("Итого по подразделу: ",IF([81]Source!G132&lt;&gt;"Новый подраздел", [81]Source!G132, ""))</f>
        <v>Итого по подразделу: Тип Т01*</v>
      </c>
      <c r="B180" s="403"/>
      <c r="C180" s="403"/>
      <c r="D180" s="403"/>
      <c r="E180" s="403"/>
      <c r="F180" s="403"/>
      <c r="G180" s="403"/>
      <c r="H180" s="403"/>
      <c r="I180" s="404">
        <f>SUM(O51:O179)</f>
        <v>9909.75</v>
      </c>
      <c r="J180" s="405"/>
      <c r="K180" s="404">
        <f>SUM(P51:P179)</f>
        <v>65169.26</v>
      </c>
      <c r="L180" s="405"/>
    </row>
    <row r="181" spans="1:22" hidden="1" x14ac:dyDescent="0.2">
      <c r="A181" s="47" t="s">
        <v>54</v>
      </c>
      <c r="J181" s="47">
        <f>SUM(W51:W180)</f>
        <v>0</v>
      </c>
      <c r="K181" s="47">
        <f>SUM(X51:X180)</f>
        <v>0</v>
      </c>
    </row>
    <row r="182" spans="1:22" hidden="1" x14ac:dyDescent="0.2">
      <c r="A182" s="47" t="s">
        <v>55</v>
      </c>
      <c r="J182" s="47">
        <f>SUM(Y51:Y181)</f>
        <v>0</v>
      </c>
      <c r="K182" s="47">
        <f>SUM(Z51:Z181)</f>
        <v>0</v>
      </c>
    </row>
    <row r="184" spans="1:22" ht="16.5" x14ac:dyDescent="0.25">
      <c r="A184" s="402" t="str">
        <f>CONCATENATE("Подраздел: ",IF([81]Source!G162&lt;&gt;"Новый подраздел", [81]Source!G162, ""))</f>
        <v>Подраздел: Тип Т02*</v>
      </c>
      <c r="B184" s="402"/>
      <c r="C184" s="402"/>
      <c r="D184" s="402"/>
      <c r="E184" s="402"/>
      <c r="F184" s="402"/>
      <c r="G184" s="402"/>
      <c r="H184" s="402"/>
      <c r="I184" s="402"/>
      <c r="J184" s="402"/>
      <c r="K184" s="402"/>
      <c r="L184" s="402"/>
    </row>
    <row r="185" spans="1:22" ht="65.25" x14ac:dyDescent="0.2">
      <c r="A185" s="84">
        <v>24</v>
      </c>
      <c r="B185" s="84" t="str">
        <f>[81]Source!E166</f>
        <v>1</v>
      </c>
      <c r="C185" s="85" t="s">
        <v>181</v>
      </c>
      <c r="D185" s="85" t="s">
        <v>182</v>
      </c>
      <c r="E185" s="86" t="str">
        <f>[81]Source!H166</f>
        <v>100 м3 в деле</v>
      </c>
      <c r="F185" s="87">
        <f>[81]Source!I166</f>
        <v>6.0000000000000001E-3</v>
      </c>
      <c r="G185" s="88"/>
      <c r="H185" s="89"/>
      <c r="I185" s="87"/>
      <c r="J185" s="176"/>
      <c r="K185" s="87"/>
      <c r="L185" s="176"/>
      <c r="Q185" s="47">
        <f>[81]Source!X166</f>
        <v>14.18</v>
      </c>
      <c r="R185" s="47">
        <f>[81]Source!X167</f>
        <v>314.7</v>
      </c>
      <c r="S185" s="47">
        <f>[81]Source!Y166</f>
        <v>10.130000000000001</v>
      </c>
      <c r="T185" s="47">
        <f>[81]Source!Y167</f>
        <v>222.35</v>
      </c>
      <c r="U185" s="47">
        <f>ROUND((175/100)*ROUND([81]Source!R166, 2), 2)</f>
        <v>0.04</v>
      </c>
      <c r="V185" s="47">
        <f>ROUND((157/100)*ROUND([81]Source!R167, 2), 2)</f>
        <v>0.74</v>
      </c>
    </row>
    <row r="186" spans="1:22" ht="14.25" x14ac:dyDescent="0.2">
      <c r="A186" s="84"/>
      <c r="B186" s="84"/>
      <c r="C186" s="85"/>
      <c r="D186" s="85" t="s">
        <v>43</v>
      </c>
      <c r="E186" s="86"/>
      <c r="F186" s="87"/>
      <c r="G186" s="88">
        <f>[81]Source!AO166</f>
        <v>1379.7</v>
      </c>
      <c r="H186" s="89" t="str">
        <f>[81]Source!DG166</f>
        <v>)*1,67</v>
      </c>
      <c r="I186" s="87">
        <f>[81]Source!AV167</f>
        <v>1.0469999999999999</v>
      </c>
      <c r="J186" s="176">
        <f>[81]Source!S166</f>
        <v>14.47</v>
      </c>
      <c r="K186" s="87">
        <f>IF([81]Source!BA167&lt;&gt; 0, [81]Source!BA167, 1)</f>
        <v>23.64</v>
      </c>
      <c r="L186" s="176">
        <f>[81]Source!S167</f>
        <v>342.07</v>
      </c>
    </row>
    <row r="187" spans="1:22" ht="14.25" x14ac:dyDescent="0.2">
      <c r="A187" s="84"/>
      <c r="B187" s="84"/>
      <c r="C187" s="85"/>
      <c r="D187" s="85" t="s">
        <v>44</v>
      </c>
      <c r="E187" s="86"/>
      <c r="F187" s="87"/>
      <c r="G187" s="88">
        <f>[81]Source!AM166</f>
        <v>22.6</v>
      </c>
      <c r="H187" s="89" t="str">
        <f>[81]Source!DE166</f>
        <v/>
      </c>
      <c r="I187" s="87">
        <f>[81]Source!AV167</f>
        <v>1.0469999999999999</v>
      </c>
      <c r="J187" s="176">
        <f>[81]Source!Q166-J198</f>
        <v>0.14000000000000001</v>
      </c>
      <c r="K187" s="87">
        <f>IF([81]Source!BB167&lt;&gt; 0, [81]Source!BB167, 1)</f>
        <v>5.54</v>
      </c>
      <c r="L187" s="176">
        <f>[81]Source!Q167-L198</f>
        <v>0.78</v>
      </c>
    </row>
    <row r="188" spans="1:22" ht="14.25" x14ac:dyDescent="0.2">
      <c r="A188" s="84"/>
      <c r="B188" s="84"/>
      <c r="C188" s="85"/>
      <c r="D188" s="85" t="s">
        <v>45</v>
      </c>
      <c r="E188" s="86"/>
      <c r="F188" s="87"/>
      <c r="G188" s="88">
        <f>[81]Source!AN166</f>
        <v>2.09</v>
      </c>
      <c r="H188" s="89" t="str">
        <f>[81]Source!DE166</f>
        <v/>
      </c>
      <c r="I188" s="87">
        <f>[81]Source!AV167</f>
        <v>1.0469999999999999</v>
      </c>
      <c r="J188" s="90">
        <f>[81]Source!R166-J199</f>
        <v>0.01</v>
      </c>
      <c r="K188" s="87">
        <f>IF([81]Source!BS167&lt;&gt; 0, [81]Source!BS167, 1)</f>
        <v>23.64</v>
      </c>
      <c r="L188" s="90">
        <f>[81]Source!R167-L199</f>
        <v>0.23</v>
      </c>
    </row>
    <row r="189" spans="1:22" ht="14.25" x14ac:dyDescent="0.2">
      <c r="A189" s="84"/>
      <c r="B189" s="84"/>
      <c r="C189" s="85"/>
      <c r="D189" s="85" t="s">
        <v>46</v>
      </c>
      <c r="E189" s="86"/>
      <c r="F189" s="87"/>
      <c r="G189" s="88">
        <f>[81]Source!AL166</f>
        <v>1859.87</v>
      </c>
      <c r="H189" s="89" t="str">
        <f>[81]Source!DD166</f>
        <v/>
      </c>
      <c r="I189" s="87">
        <f>[81]Source!AW167</f>
        <v>1.022</v>
      </c>
      <c r="J189" s="176">
        <f>[81]Source!P166</f>
        <v>11.4</v>
      </c>
      <c r="K189" s="87">
        <f>IF([81]Source!BC167&lt;&gt; 0, [81]Source!BC167, 1)</f>
        <v>2.95</v>
      </c>
      <c r="L189" s="176">
        <f>[81]Source!P167</f>
        <v>33.630000000000003</v>
      </c>
    </row>
    <row r="190" spans="1:22" ht="42.75" x14ac:dyDescent="0.2">
      <c r="A190" s="84">
        <v>25</v>
      </c>
      <c r="B190" s="84" t="str">
        <f>[81]Source!E168</f>
        <v>1,1</v>
      </c>
      <c r="C190" s="85" t="str">
        <f>[81]Source!F168</f>
        <v>1.3-1-34</v>
      </c>
      <c r="D190" s="85" t="s">
        <v>264</v>
      </c>
      <c r="E190" s="86" t="str">
        <f>[81]Source!H168</f>
        <v>м3</v>
      </c>
      <c r="F190" s="87">
        <f>[81]Source!I168</f>
        <v>0.61199999999999999</v>
      </c>
      <c r="G190" s="88">
        <f>[81]Source!AK168</f>
        <v>514.9</v>
      </c>
      <c r="H190" s="123" t="s">
        <v>20</v>
      </c>
      <c r="I190" s="87">
        <f>[81]Source!AW169</f>
        <v>1.022</v>
      </c>
      <c r="J190" s="176">
        <f>[81]Source!O168</f>
        <v>322.05</v>
      </c>
      <c r="K190" s="87">
        <f>IF([81]Source!BC169&lt;&gt; 0, [81]Source!BC169, 1)</f>
        <v>7.74</v>
      </c>
      <c r="L190" s="176">
        <f>[81]Source!O169</f>
        <v>2492.67</v>
      </c>
      <c r="Q190" s="47">
        <f>[81]Source!X168</f>
        <v>0</v>
      </c>
      <c r="R190" s="47">
        <f>[81]Source!X169</f>
        <v>0</v>
      </c>
      <c r="S190" s="47">
        <f>[81]Source!Y168</f>
        <v>0</v>
      </c>
      <c r="T190" s="47">
        <f>[81]Source!Y169</f>
        <v>0</v>
      </c>
      <c r="U190" s="47">
        <f>ROUND((175/100)*ROUND([81]Source!R168, 2), 2)</f>
        <v>0</v>
      </c>
      <c r="V190" s="47">
        <f>ROUND((157/100)*ROUND([81]Source!R169, 2), 2)</f>
        <v>0</v>
      </c>
    </row>
    <row r="191" spans="1:22" ht="14.25" x14ac:dyDescent="0.2">
      <c r="A191" s="84"/>
      <c r="B191" s="84"/>
      <c r="C191" s="85"/>
      <c r="D191" s="85" t="s">
        <v>47</v>
      </c>
      <c r="E191" s="86" t="s">
        <v>48</v>
      </c>
      <c r="F191" s="87">
        <f>[81]Source!DN167</f>
        <v>98</v>
      </c>
      <c r="G191" s="88"/>
      <c r="H191" s="89"/>
      <c r="I191" s="87"/>
      <c r="J191" s="176">
        <f>SUM(Q185:Q190)</f>
        <v>14.18</v>
      </c>
      <c r="K191" s="87">
        <f>[81]Source!BZ167</f>
        <v>92</v>
      </c>
      <c r="L191" s="176">
        <f>SUM(R185:R190)</f>
        <v>314.7</v>
      </c>
    </row>
    <row r="192" spans="1:22" ht="14.25" x14ac:dyDescent="0.2">
      <c r="A192" s="84"/>
      <c r="B192" s="84"/>
      <c r="C192" s="85"/>
      <c r="D192" s="85" t="s">
        <v>49</v>
      </c>
      <c r="E192" s="86" t="s">
        <v>48</v>
      </c>
      <c r="F192" s="87">
        <f>[81]Source!DO167</f>
        <v>70</v>
      </c>
      <c r="G192" s="88"/>
      <c r="H192" s="89"/>
      <c r="I192" s="87"/>
      <c r="J192" s="176">
        <f>SUM(S185:S191)</f>
        <v>10.130000000000001</v>
      </c>
      <c r="K192" s="87">
        <f>[81]Source!CA167</f>
        <v>65</v>
      </c>
      <c r="L192" s="176">
        <f>SUM(T185:T191)</f>
        <v>222.35</v>
      </c>
    </row>
    <row r="193" spans="1:22" ht="14.25" x14ac:dyDescent="0.2">
      <c r="A193" s="84"/>
      <c r="B193" s="84"/>
      <c r="C193" s="85"/>
      <c r="D193" s="85" t="s">
        <v>50</v>
      </c>
      <c r="E193" s="86" t="s">
        <v>48</v>
      </c>
      <c r="F193" s="87">
        <f>175</f>
        <v>175</v>
      </c>
      <c r="G193" s="88"/>
      <c r="H193" s="89"/>
      <c r="I193" s="87"/>
      <c r="J193" s="176">
        <f>SUM(U185:U192)-J200</f>
        <v>0.02</v>
      </c>
      <c r="K193" s="87">
        <f>157</f>
        <v>157</v>
      </c>
      <c r="L193" s="176">
        <f>SUM(V185:V192)-L200</f>
        <v>0.36</v>
      </c>
    </row>
    <row r="194" spans="1:22" ht="14.25" x14ac:dyDescent="0.2">
      <c r="A194" s="183"/>
      <c r="B194" s="183"/>
      <c r="C194" s="184"/>
      <c r="D194" s="184" t="s">
        <v>51</v>
      </c>
      <c r="E194" s="185" t="s">
        <v>52</v>
      </c>
      <c r="F194" s="186">
        <f>[81]Source!AQ166</f>
        <v>135</v>
      </c>
      <c r="G194" s="187"/>
      <c r="H194" s="188" t="str">
        <f>[81]Source!DI166</f>
        <v/>
      </c>
      <c r="I194" s="186">
        <f>[81]Source!AV167</f>
        <v>1.0469999999999999</v>
      </c>
      <c r="J194" s="189">
        <f>[81]Source!U166</f>
        <v>0.85</v>
      </c>
      <c r="K194" s="186"/>
      <c r="L194" s="189"/>
    </row>
    <row r="195" spans="1:22" ht="15" x14ac:dyDescent="0.25">
      <c r="D195" s="194" t="s">
        <v>81</v>
      </c>
      <c r="I195" s="408">
        <f>J186+J187+J189+J191+J192+J193+SUM(J190:J190)</f>
        <v>372.39</v>
      </c>
      <c r="J195" s="408"/>
      <c r="K195" s="408">
        <f>L186+L187+L189+L191+L192+L193+SUM(L190:L190)</f>
        <v>3406.56</v>
      </c>
      <c r="L195" s="408"/>
      <c r="O195" s="92">
        <f>J186+J187+J189+J191+J192+J193+SUM(J190:J190)</f>
        <v>372.39</v>
      </c>
      <c r="P195" s="92">
        <f>L186+L187+L189+L191+L192+L193+SUM(L190:L190)</f>
        <v>3406.56</v>
      </c>
    </row>
    <row r="197" spans="1:22" ht="65.25" x14ac:dyDescent="0.2">
      <c r="A197" s="84">
        <v>26</v>
      </c>
      <c r="B197" s="84" t="str">
        <f>CONCATENATE([81]Source!E166, "/1")</f>
        <v>1/1</v>
      </c>
      <c r="C197" s="85" t="s">
        <v>184</v>
      </c>
      <c r="D197" s="85" t="s">
        <v>82</v>
      </c>
      <c r="E197" s="86" t="str">
        <f>[81]Source!H166</f>
        <v>100 м3 в деле</v>
      </c>
      <c r="F197" s="87">
        <f>[81]Source!I166</f>
        <v>6.0000000000000001E-3</v>
      </c>
      <c r="G197" s="88"/>
      <c r="H197" s="89"/>
      <c r="I197" s="87"/>
      <c r="J197" s="176"/>
      <c r="K197" s="87"/>
      <c r="L197" s="176"/>
    </row>
    <row r="198" spans="1:22" ht="14.25" x14ac:dyDescent="0.2">
      <c r="A198" s="84"/>
      <c r="B198" s="84"/>
      <c r="C198" s="85"/>
      <c r="D198" s="85" t="s">
        <v>44</v>
      </c>
      <c r="E198" s="86"/>
      <c r="F198" s="87"/>
      <c r="G198" s="88">
        <f t="shared" ref="G198:L198" si="7">G199</f>
        <v>2.09</v>
      </c>
      <c r="H198" s="195" t="str">
        <f t="shared" si="7"/>
        <v>)*(1.67-1)</v>
      </c>
      <c r="I198" s="87">
        <f t="shared" si="7"/>
        <v>1.0469999999999999</v>
      </c>
      <c r="J198" s="176">
        <f t="shared" si="7"/>
        <v>0.01</v>
      </c>
      <c r="K198" s="87">
        <f t="shared" si="7"/>
        <v>23.64</v>
      </c>
      <c r="L198" s="176">
        <f t="shared" si="7"/>
        <v>0.24</v>
      </c>
    </row>
    <row r="199" spans="1:22" ht="14.25" x14ac:dyDescent="0.2">
      <c r="A199" s="84"/>
      <c r="B199" s="84"/>
      <c r="C199" s="85"/>
      <c r="D199" s="85" t="s">
        <v>45</v>
      </c>
      <c r="E199" s="86"/>
      <c r="F199" s="87"/>
      <c r="G199" s="88">
        <f>[81]Source!AN166</f>
        <v>2.09</v>
      </c>
      <c r="H199" s="195" t="s">
        <v>53</v>
      </c>
      <c r="I199" s="87">
        <f>[81]Source!AV167</f>
        <v>1.0469999999999999</v>
      </c>
      <c r="J199" s="90">
        <f>ROUND(F185*G199*I199*(1.67-1), 2)</f>
        <v>0.01</v>
      </c>
      <c r="K199" s="87">
        <f>IF([81]Source!BS167&lt;&gt; 0, [81]Source!BS167, 1)</f>
        <v>23.64</v>
      </c>
      <c r="L199" s="90">
        <f>ROUND(ROUND(F185*G199*I199*(1.67-1), 2)*K199, 2)</f>
        <v>0.24</v>
      </c>
    </row>
    <row r="200" spans="1:22" ht="14.25" x14ac:dyDescent="0.2">
      <c r="A200" s="84"/>
      <c r="B200" s="84"/>
      <c r="C200" s="85"/>
      <c r="D200" s="85" t="s">
        <v>50</v>
      </c>
      <c r="E200" s="86" t="s">
        <v>48</v>
      </c>
      <c r="F200" s="87">
        <f>175</f>
        <v>175</v>
      </c>
      <c r="G200" s="88"/>
      <c r="H200" s="89"/>
      <c r="I200" s="87"/>
      <c r="J200" s="176">
        <f>ROUND(J199*(F200/100), 2)</f>
        <v>0.02</v>
      </c>
      <c r="K200" s="87">
        <f>157</f>
        <v>157</v>
      </c>
      <c r="L200" s="176">
        <f>ROUND(L199*(K200/100), 2)</f>
        <v>0.38</v>
      </c>
    </row>
    <row r="201" spans="1:22" ht="15" x14ac:dyDescent="0.25">
      <c r="A201" s="190"/>
      <c r="B201" s="190"/>
      <c r="C201" s="190"/>
      <c r="D201" s="191" t="s">
        <v>81</v>
      </c>
      <c r="E201" s="190"/>
      <c r="F201" s="190"/>
      <c r="G201" s="190"/>
      <c r="H201" s="190"/>
      <c r="I201" s="409">
        <f>J200+J199</f>
        <v>0.03</v>
      </c>
      <c r="J201" s="409"/>
      <c r="K201" s="409">
        <f>L200+L199</f>
        <v>0.62</v>
      </c>
      <c r="L201" s="409"/>
      <c r="O201" s="92">
        <f>I201</f>
        <v>0.03</v>
      </c>
      <c r="P201" s="92">
        <f>K201</f>
        <v>0.62</v>
      </c>
    </row>
    <row r="203" spans="1:22" ht="71.25" x14ac:dyDescent="0.2">
      <c r="A203" s="84">
        <v>27</v>
      </c>
      <c r="B203" s="84" t="str">
        <f>[81]Source!E170</f>
        <v>2</v>
      </c>
      <c r="C203" s="85" t="s">
        <v>185</v>
      </c>
      <c r="D203" s="85" t="s">
        <v>186</v>
      </c>
      <c r="E203" s="86" t="str">
        <f>[81]Source!H170</f>
        <v>100 м2 изолируемой поверхности</v>
      </c>
      <c r="F203" s="87">
        <f>[81]Source!I170</f>
        <v>8.0799999999999997E-2</v>
      </c>
      <c r="G203" s="88"/>
      <c r="H203" s="89"/>
      <c r="I203" s="87"/>
      <c r="J203" s="176"/>
      <c r="K203" s="87"/>
      <c r="L203" s="176"/>
      <c r="Q203" s="47">
        <f>[81]Source!X170</f>
        <v>63.8</v>
      </c>
      <c r="R203" s="47">
        <f>[81]Source!X171</f>
        <v>1093.54</v>
      </c>
      <c r="S203" s="47">
        <f>[81]Source!Y170</f>
        <v>44.66</v>
      </c>
      <c r="T203" s="47">
        <f>[81]Source!Y171</f>
        <v>515.35</v>
      </c>
      <c r="U203" s="47">
        <f>ROUND((175/100)*ROUND([81]Source!R170, 2), 2)</f>
        <v>15.87</v>
      </c>
      <c r="V203" s="47">
        <f>ROUND((157/100)*ROUND([81]Source!R171, 2), 2)</f>
        <v>336.62</v>
      </c>
    </row>
    <row r="204" spans="1:22" ht="14.25" x14ac:dyDescent="0.2">
      <c r="A204" s="84"/>
      <c r="B204" s="84"/>
      <c r="C204" s="85"/>
      <c r="D204" s="85" t="s">
        <v>43</v>
      </c>
      <c r="E204" s="86"/>
      <c r="F204" s="87"/>
      <c r="G204" s="88">
        <f>[81]Source!AO170</f>
        <v>376.32</v>
      </c>
      <c r="H204" s="89" t="str">
        <f>[81]Source!DG170</f>
        <v>)*1,67</v>
      </c>
      <c r="I204" s="87">
        <f>[81]Source!AV171</f>
        <v>1.0469999999999999</v>
      </c>
      <c r="J204" s="176">
        <f>[81]Source!S170</f>
        <v>53.17</v>
      </c>
      <c r="K204" s="87">
        <f>IF([81]Source!BA171&lt;&gt; 0, [81]Source!BA171, 1)</f>
        <v>23.64</v>
      </c>
      <c r="L204" s="176">
        <f>[81]Source!S171</f>
        <v>1256.94</v>
      </c>
    </row>
    <row r="205" spans="1:22" ht="14.25" x14ac:dyDescent="0.2">
      <c r="A205" s="84"/>
      <c r="B205" s="84"/>
      <c r="C205" s="85"/>
      <c r="D205" s="85" t="s">
        <v>44</v>
      </c>
      <c r="E205" s="86"/>
      <c r="F205" s="87"/>
      <c r="G205" s="88">
        <f>[81]Source!AM170</f>
        <v>403.01</v>
      </c>
      <c r="H205" s="89" t="str">
        <f>[81]Source!DE170</f>
        <v/>
      </c>
      <c r="I205" s="87">
        <f>[81]Source!AV171</f>
        <v>1.0469999999999999</v>
      </c>
      <c r="J205" s="176">
        <f>[81]Source!Q170-J216</f>
        <v>34.090000000000003</v>
      </c>
      <c r="K205" s="87">
        <f>IF([81]Source!BB171&lt;&gt; 0, [81]Source!BB171, 1)</f>
        <v>8.2200000000000006</v>
      </c>
      <c r="L205" s="176">
        <f>[81]Source!Q171-L216</f>
        <v>280.22000000000003</v>
      </c>
    </row>
    <row r="206" spans="1:22" ht="14.25" x14ac:dyDescent="0.2">
      <c r="A206" s="84"/>
      <c r="B206" s="84"/>
      <c r="C206" s="85"/>
      <c r="D206" s="85" t="s">
        <v>45</v>
      </c>
      <c r="E206" s="86"/>
      <c r="F206" s="87"/>
      <c r="G206" s="88">
        <f>[81]Source!AN170</f>
        <v>64.180000000000007</v>
      </c>
      <c r="H206" s="89" t="str">
        <f>[81]Source!DE170</f>
        <v/>
      </c>
      <c r="I206" s="87">
        <f>[81]Source!AV171</f>
        <v>1.0469999999999999</v>
      </c>
      <c r="J206" s="90">
        <f>[81]Source!R170-J217</f>
        <v>5.43</v>
      </c>
      <c r="K206" s="87">
        <f>IF([81]Source!BS171&lt;&gt; 0, [81]Source!BS171, 1)</f>
        <v>23.64</v>
      </c>
      <c r="L206" s="90">
        <f>[81]Source!R171-L217</f>
        <v>128.36000000000001</v>
      </c>
    </row>
    <row r="207" spans="1:22" ht="14.25" x14ac:dyDescent="0.2">
      <c r="A207" s="84"/>
      <c r="B207" s="84"/>
      <c r="C207" s="85"/>
      <c r="D207" s="85" t="s">
        <v>46</v>
      </c>
      <c r="E207" s="86"/>
      <c r="F207" s="87"/>
      <c r="G207" s="88">
        <f>[81]Source!AL170</f>
        <v>10508.86</v>
      </c>
      <c r="H207" s="89" t="str">
        <f>[81]Source!DD170</f>
        <v/>
      </c>
      <c r="I207" s="87">
        <f>[81]Source!AW171</f>
        <v>1</v>
      </c>
      <c r="J207" s="176">
        <f>[81]Source!P170</f>
        <v>849.12</v>
      </c>
      <c r="K207" s="87">
        <f>IF([81]Source!BC171&lt;&gt; 0, [81]Source!BC171, 1)</f>
        <v>2.58</v>
      </c>
      <c r="L207" s="176">
        <f>[81]Source!P171</f>
        <v>2190.73</v>
      </c>
    </row>
    <row r="208" spans="1:22" ht="57" x14ac:dyDescent="0.2">
      <c r="A208" s="84">
        <v>28</v>
      </c>
      <c r="B208" s="84" t="str">
        <f>[81]Source!E172</f>
        <v>2,1</v>
      </c>
      <c r="C208" s="85" t="str">
        <f>[81]Source!F172</f>
        <v>1.1-1-1794</v>
      </c>
      <c r="D208" s="85" t="s">
        <v>211</v>
      </c>
      <c r="E208" s="86" t="str">
        <f>[81]Source!H172</f>
        <v>м2</v>
      </c>
      <c r="F208" s="87">
        <f>[81]Source!I172</f>
        <v>9.0495999999999999</v>
      </c>
      <c r="G208" s="88">
        <f>[81]Source!AK172</f>
        <v>40.380000000000003</v>
      </c>
      <c r="H208" s="123" t="s">
        <v>20</v>
      </c>
      <c r="I208" s="87">
        <f>[81]Source!AW173</f>
        <v>1</v>
      </c>
      <c r="J208" s="176">
        <f>[81]Source!O172</f>
        <v>365.42</v>
      </c>
      <c r="K208" s="87">
        <f>IF([81]Source!BC173&lt;&gt; 0, [81]Source!BC173, 1)</f>
        <v>4.45</v>
      </c>
      <c r="L208" s="176">
        <f>[81]Source!O173</f>
        <v>1626.12</v>
      </c>
      <c r="Q208" s="47">
        <f>[81]Source!X172</f>
        <v>0</v>
      </c>
      <c r="R208" s="47">
        <f>[81]Source!X173</f>
        <v>0</v>
      </c>
      <c r="S208" s="47">
        <f>[81]Source!Y172</f>
        <v>0</v>
      </c>
      <c r="T208" s="47">
        <f>[81]Source!Y173</f>
        <v>0</v>
      </c>
      <c r="U208" s="47">
        <f>ROUND((175/100)*ROUND([81]Source!R172, 2), 2)</f>
        <v>0</v>
      </c>
      <c r="V208" s="47">
        <f>ROUND((157/100)*ROUND([81]Source!R173, 2), 2)</f>
        <v>0</v>
      </c>
    </row>
    <row r="209" spans="1:22" ht="14.25" x14ac:dyDescent="0.2">
      <c r="A209" s="84"/>
      <c r="B209" s="84"/>
      <c r="C209" s="85"/>
      <c r="D209" s="85" t="s">
        <v>47</v>
      </c>
      <c r="E209" s="86" t="s">
        <v>48</v>
      </c>
      <c r="F209" s="87">
        <f>[81]Source!DN171</f>
        <v>120</v>
      </c>
      <c r="G209" s="88"/>
      <c r="H209" s="89"/>
      <c r="I209" s="87"/>
      <c r="J209" s="176">
        <f>SUM(Q203:Q208)</f>
        <v>63.8</v>
      </c>
      <c r="K209" s="87">
        <f>[81]Source!BZ171</f>
        <v>87</v>
      </c>
      <c r="L209" s="176">
        <f>SUM(R203:R208)</f>
        <v>1093.54</v>
      </c>
    </row>
    <row r="210" spans="1:22" ht="14.25" x14ac:dyDescent="0.2">
      <c r="A210" s="84"/>
      <c r="B210" s="84"/>
      <c r="C210" s="85"/>
      <c r="D210" s="85" t="s">
        <v>49</v>
      </c>
      <c r="E210" s="86" t="s">
        <v>48</v>
      </c>
      <c r="F210" s="87">
        <f>[81]Source!DO171</f>
        <v>84</v>
      </c>
      <c r="G210" s="88"/>
      <c r="H210" s="89"/>
      <c r="I210" s="87"/>
      <c r="J210" s="176">
        <f>SUM(S203:S209)</f>
        <v>44.66</v>
      </c>
      <c r="K210" s="87">
        <f>[81]Source!CA171</f>
        <v>41</v>
      </c>
      <c r="L210" s="176">
        <f>SUM(T203:T209)</f>
        <v>515.35</v>
      </c>
    </row>
    <row r="211" spans="1:22" ht="14.25" x14ac:dyDescent="0.2">
      <c r="A211" s="84"/>
      <c r="B211" s="84"/>
      <c r="C211" s="85"/>
      <c r="D211" s="85" t="s">
        <v>50</v>
      </c>
      <c r="E211" s="86" t="s">
        <v>48</v>
      </c>
      <c r="F211" s="87">
        <f>175</f>
        <v>175</v>
      </c>
      <c r="G211" s="88"/>
      <c r="H211" s="89"/>
      <c r="I211" s="87"/>
      <c r="J211" s="176">
        <f>SUM(U203:U210)-J218</f>
        <v>9.5</v>
      </c>
      <c r="K211" s="87">
        <f>157</f>
        <v>157</v>
      </c>
      <c r="L211" s="176">
        <f>SUM(V203:V210)-L218</f>
        <v>201.52</v>
      </c>
    </row>
    <row r="212" spans="1:22" ht="14.25" x14ac:dyDescent="0.2">
      <c r="A212" s="183"/>
      <c r="B212" s="183"/>
      <c r="C212" s="184"/>
      <c r="D212" s="184" t="s">
        <v>51</v>
      </c>
      <c r="E212" s="185" t="s">
        <v>52</v>
      </c>
      <c r="F212" s="186">
        <f>[81]Source!AQ170</f>
        <v>32</v>
      </c>
      <c r="G212" s="187"/>
      <c r="H212" s="188" t="str">
        <f>[81]Source!DI170</f>
        <v/>
      </c>
      <c r="I212" s="186">
        <f>[81]Source!AV171</f>
        <v>1.0469999999999999</v>
      </c>
      <c r="J212" s="189">
        <f>[81]Source!U170</f>
        <v>2.71</v>
      </c>
      <c r="K212" s="186"/>
      <c r="L212" s="189"/>
    </row>
    <row r="213" spans="1:22" ht="15" x14ac:dyDescent="0.25">
      <c r="D213" s="194" t="s">
        <v>81</v>
      </c>
      <c r="I213" s="408">
        <f>J204+J205+J207+J209+J210+J211+SUM(J208:J208)</f>
        <v>1419.76</v>
      </c>
      <c r="J213" s="408"/>
      <c r="K213" s="408">
        <f>L204+L205+L207+L209+L210+L211+SUM(L208:L208)</f>
        <v>7164.42</v>
      </c>
      <c r="L213" s="408"/>
      <c r="O213" s="92">
        <f>J204+J205+J207+J209+J210+J211+SUM(J208:J208)</f>
        <v>1419.76</v>
      </c>
      <c r="P213" s="92">
        <f>L204+L205+L207+L209+L210+L211+SUM(L208:L208)</f>
        <v>7164.42</v>
      </c>
    </row>
    <row r="215" spans="1:22" ht="71.25" x14ac:dyDescent="0.2">
      <c r="A215" s="84">
        <v>29</v>
      </c>
      <c r="B215" s="84" t="str">
        <f>CONCATENATE([81]Source!E170, "/1")</f>
        <v>2/1</v>
      </c>
      <c r="C215" s="85" t="s">
        <v>187</v>
      </c>
      <c r="D215" s="85" t="s">
        <v>82</v>
      </c>
      <c r="E215" s="86" t="str">
        <f>[81]Source!H170</f>
        <v>100 м2 изолируемой поверхности</v>
      </c>
      <c r="F215" s="87">
        <f>[81]Source!I170</f>
        <v>8.0799999999999997E-2</v>
      </c>
      <c r="G215" s="88"/>
      <c r="H215" s="89"/>
      <c r="I215" s="87"/>
      <c r="J215" s="176"/>
      <c r="K215" s="87"/>
      <c r="L215" s="176"/>
    </row>
    <row r="216" spans="1:22" ht="14.25" x14ac:dyDescent="0.2">
      <c r="A216" s="84"/>
      <c r="B216" s="84"/>
      <c r="C216" s="85"/>
      <c r="D216" s="85" t="s">
        <v>44</v>
      </c>
      <c r="E216" s="86"/>
      <c r="F216" s="87"/>
      <c r="G216" s="88">
        <f t="shared" ref="G216:L216" si="8">G217</f>
        <v>64.180000000000007</v>
      </c>
      <c r="H216" s="195" t="str">
        <f t="shared" si="8"/>
        <v>)*(1.67-1)</v>
      </c>
      <c r="I216" s="87">
        <f t="shared" si="8"/>
        <v>1.0469999999999999</v>
      </c>
      <c r="J216" s="176">
        <f t="shared" si="8"/>
        <v>3.64</v>
      </c>
      <c r="K216" s="87">
        <f t="shared" si="8"/>
        <v>23.64</v>
      </c>
      <c r="L216" s="176">
        <f t="shared" si="8"/>
        <v>86.05</v>
      </c>
    </row>
    <row r="217" spans="1:22" ht="14.25" x14ac:dyDescent="0.2">
      <c r="A217" s="84"/>
      <c r="B217" s="84"/>
      <c r="C217" s="85"/>
      <c r="D217" s="85" t="s">
        <v>45</v>
      </c>
      <c r="E217" s="86"/>
      <c r="F217" s="87"/>
      <c r="G217" s="88">
        <f>[81]Source!AN170</f>
        <v>64.180000000000007</v>
      </c>
      <c r="H217" s="195" t="s">
        <v>53</v>
      </c>
      <c r="I217" s="87">
        <f>[81]Source!AV171</f>
        <v>1.0469999999999999</v>
      </c>
      <c r="J217" s="90">
        <f>ROUND(F203*G217*I217*(1.67-1), 2)</f>
        <v>3.64</v>
      </c>
      <c r="K217" s="87">
        <f>IF([81]Source!BS171&lt;&gt; 0, [81]Source!BS171, 1)</f>
        <v>23.64</v>
      </c>
      <c r="L217" s="90">
        <f>ROUND(ROUND(F203*G217*I217*(1.67-1), 2)*K217, 2)</f>
        <v>86.05</v>
      </c>
    </row>
    <row r="218" spans="1:22" ht="14.25" x14ac:dyDescent="0.2">
      <c r="A218" s="84"/>
      <c r="B218" s="84"/>
      <c r="C218" s="85"/>
      <c r="D218" s="85" t="s">
        <v>50</v>
      </c>
      <c r="E218" s="86" t="s">
        <v>48</v>
      </c>
      <c r="F218" s="87">
        <f>175</f>
        <v>175</v>
      </c>
      <c r="G218" s="88"/>
      <c r="H218" s="89"/>
      <c r="I218" s="87"/>
      <c r="J218" s="176">
        <f>ROUND(J217*(F218/100), 2)</f>
        <v>6.37</v>
      </c>
      <c r="K218" s="87">
        <f>157</f>
        <v>157</v>
      </c>
      <c r="L218" s="176">
        <f>ROUND(L217*(K218/100), 2)</f>
        <v>135.1</v>
      </c>
    </row>
    <row r="219" spans="1:22" ht="15" x14ac:dyDescent="0.25">
      <c r="A219" s="190"/>
      <c r="B219" s="190"/>
      <c r="C219" s="190"/>
      <c r="D219" s="191" t="s">
        <v>81</v>
      </c>
      <c r="E219" s="190"/>
      <c r="F219" s="190"/>
      <c r="G219" s="190"/>
      <c r="H219" s="190"/>
      <c r="I219" s="409">
        <f>J218+J217</f>
        <v>10.01</v>
      </c>
      <c r="J219" s="409"/>
      <c r="K219" s="409">
        <f>L218+L217</f>
        <v>221.15</v>
      </c>
      <c r="L219" s="409"/>
      <c r="O219" s="92">
        <f>I219</f>
        <v>10.01</v>
      </c>
      <c r="P219" s="92">
        <f>K219</f>
        <v>221.15</v>
      </c>
    </row>
    <row r="221" spans="1:22" ht="71.25" x14ac:dyDescent="0.2">
      <c r="A221" s="84">
        <v>30</v>
      </c>
      <c r="B221" s="84" t="str">
        <f>[81]Source!E174</f>
        <v>3</v>
      </c>
      <c r="C221" s="85" t="s">
        <v>188</v>
      </c>
      <c r="D221" s="85" t="s">
        <v>189</v>
      </c>
      <c r="E221" s="86" t="str">
        <f>[81]Source!H174</f>
        <v>100 м2 изолируемой поверхности</v>
      </c>
      <c r="F221" s="87">
        <f>[81]Source!I174</f>
        <v>8.0799999999999997E-2</v>
      </c>
      <c r="G221" s="88"/>
      <c r="H221" s="89"/>
      <c r="I221" s="87"/>
      <c r="J221" s="176"/>
      <c r="K221" s="87"/>
      <c r="L221" s="176"/>
      <c r="Q221" s="47">
        <f>[81]Source!X174</f>
        <v>39.880000000000003</v>
      </c>
      <c r="R221" s="47">
        <f>[81]Source!X175</f>
        <v>683.44</v>
      </c>
      <c r="S221" s="47">
        <f>[81]Source!Y174</f>
        <v>27.91</v>
      </c>
      <c r="T221" s="47">
        <f>[81]Source!Y175</f>
        <v>322.08</v>
      </c>
      <c r="U221" s="47">
        <f>ROUND((175/100)*ROUND([81]Source!R174, 2), 2)</f>
        <v>7.81</v>
      </c>
      <c r="V221" s="47">
        <f>ROUND((157/100)*ROUND([81]Source!R175, 2), 2)</f>
        <v>165.53</v>
      </c>
    </row>
    <row r="222" spans="1:22" ht="14.25" x14ac:dyDescent="0.2">
      <c r="A222" s="84"/>
      <c r="B222" s="84"/>
      <c r="C222" s="85"/>
      <c r="D222" s="85" t="s">
        <v>43</v>
      </c>
      <c r="E222" s="86"/>
      <c r="F222" s="87"/>
      <c r="G222" s="88">
        <f>[81]Source!AO174</f>
        <v>235.2</v>
      </c>
      <c r="H222" s="89" t="str">
        <f>[81]Source!DG174</f>
        <v>)*1,67</v>
      </c>
      <c r="I222" s="87">
        <f>[81]Source!AV175</f>
        <v>1.0469999999999999</v>
      </c>
      <c r="J222" s="176">
        <f>[81]Source!S174</f>
        <v>33.229999999999997</v>
      </c>
      <c r="K222" s="87">
        <f>IF([81]Source!BA175&lt;&gt; 0, [81]Source!BA175, 1)</f>
        <v>23.64</v>
      </c>
      <c r="L222" s="176">
        <f>[81]Source!S175</f>
        <v>785.56</v>
      </c>
    </row>
    <row r="223" spans="1:22" ht="14.25" x14ac:dyDescent="0.2">
      <c r="A223" s="84"/>
      <c r="B223" s="84"/>
      <c r="C223" s="85"/>
      <c r="D223" s="85" t="s">
        <v>44</v>
      </c>
      <c r="E223" s="86"/>
      <c r="F223" s="87"/>
      <c r="G223" s="88">
        <f>[81]Source!AM174</f>
        <v>214.16</v>
      </c>
      <c r="H223" s="89" t="str">
        <f>[81]Source!DE174</f>
        <v/>
      </c>
      <c r="I223" s="87">
        <f>[81]Source!AV175</f>
        <v>1.0469999999999999</v>
      </c>
      <c r="J223" s="176">
        <f>[81]Source!Q174-J234</f>
        <v>18.12</v>
      </c>
      <c r="K223" s="87">
        <f>IF([81]Source!BB175&lt;&gt; 0, [81]Source!BB175, 1)</f>
        <v>8</v>
      </c>
      <c r="L223" s="176">
        <f>[81]Source!Q175-L234</f>
        <v>144.96</v>
      </c>
    </row>
    <row r="224" spans="1:22" ht="14.25" x14ac:dyDescent="0.2">
      <c r="A224" s="84"/>
      <c r="B224" s="84"/>
      <c r="C224" s="85"/>
      <c r="D224" s="85" t="s">
        <v>45</v>
      </c>
      <c r="E224" s="86"/>
      <c r="F224" s="87"/>
      <c r="G224" s="88">
        <f>[81]Source!AN174</f>
        <v>31.56</v>
      </c>
      <c r="H224" s="89" t="str">
        <f>[81]Source!DE174</f>
        <v/>
      </c>
      <c r="I224" s="87">
        <f>[81]Source!AV175</f>
        <v>1.0469999999999999</v>
      </c>
      <c r="J224" s="90">
        <f>[81]Source!R174-J235</f>
        <v>2.67</v>
      </c>
      <c r="K224" s="87">
        <f>IF([81]Source!BS175&lt;&gt; 0, [81]Source!BS175, 1)</f>
        <v>23.64</v>
      </c>
      <c r="L224" s="90">
        <f>[81]Source!R175-L235</f>
        <v>63.11</v>
      </c>
    </row>
    <row r="225" spans="1:22" ht="14.25" x14ac:dyDescent="0.2">
      <c r="A225" s="84"/>
      <c r="B225" s="84"/>
      <c r="C225" s="85"/>
      <c r="D225" s="85" t="s">
        <v>46</v>
      </c>
      <c r="E225" s="86"/>
      <c r="F225" s="87"/>
      <c r="G225" s="88">
        <f>[81]Source!AL174</f>
        <v>4538.59</v>
      </c>
      <c r="H225" s="89" t="str">
        <f>[81]Source!DD174</f>
        <v/>
      </c>
      <c r="I225" s="87">
        <f>[81]Source!AW175</f>
        <v>1</v>
      </c>
      <c r="J225" s="176">
        <f>[81]Source!P174</f>
        <v>366.72</v>
      </c>
      <c r="K225" s="87">
        <f>IF([81]Source!BC175&lt;&gt; 0, [81]Source!BC175, 1)</f>
        <v>2.44</v>
      </c>
      <c r="L225" s="176">
        <f>[81]Source!P175</f>
        <v>894.8</v>
      </c>
    </row>
    <row r="226" spans="1:22" ht="57" x14ac:dyDescent="0.2">
      <c r="A226" s="84">
        <v>31</v>
      </c>
      <c r="B226" s="84" t="str">
        <f>[81]Source!E176</f>
        <v>3,2</v>
      </c>
      <c r="C226" s="85" t="str">
        <f>[81]Source!F176</f>
        <v>1.1-1-1794</v>
      </c>
      <c r="D226" s="85" t="s">
        <v>211</v>
      </c>
      <c r="E226" s="86" t="str">
        <f>[81]Source!H176</f>
        <v>м2</v>
      </c>
      <c r="F226" s="87">
        <f>[81]Source!I176</f>
        <v>9.0495999999999999</v>
      </c>
      <c r="G226" s="88">
        <f>[81]Source!AK176</f>
        <v>40.380000000000003</v>
      </c>
      <c r="H226" s="123" t="s">
        <v>20</v>
      </c>
      <c r="I226" s="87">
        <f>[81]Source!AW177</f>
        <v>1</v>
      </c>
      <c r="J226" s="176">
        <f>[81]Source!O176</f>
        <v>365.42</v>
      </c>
      <c r="K226" s="87">
        <f>IF([81]Source!BC177&lt;&gt; 0, [81]Source!BC177, 1)</f>
        <v>4.45</v>
      </c>
      <c r="L226" s="176">
        <f>[81]Source!O177</f>
        <v>1626.12</v>
      </c>
      <c r="Q226" s="47">
        <f>[81]Source!X176</f>
        <v>0</v>
      </c>
      <c r="R226" s="47">
        <f>[81]Source!X177</f>
        <v>0</v>
      </c>
      <c r="S226" s="47">
        <f>[81]Source!Y176</f>
        <v>0</v>
      </c>
      <c r="T226" s="47">
        <f>[81]Source!Y177</f>
        <v>0</v>
      </c>
      <c r="U226" s="47">
        <f>ROUND((175/100)*ROUND([81]Source!R176, 2), 2)</f>
        <v>0</v>
      </c>
      <c r="V226" s="47">
        <f>ROUND((157/100)*ROUND([81]Source!R177, 2), 2)</f>
        <v>0</v>
      </c>
    </row>
    <row r="227" spans="1:22" ht="14.25" x14ac:dyDescent="0.2">
      <c r="A227" s="84"/>
      <c r="B227" s="84"/>
      <c r="C227" s="85"/>
      <c r="D227" s="85" t="s">
        <v>47</v>
      </c>
      <c r="E227" s="86" t="s">
        <v>48</v>
      </c>
      <c r="F227" s="87">
        <f>[81]Source!DN175</f>
        <v>120</v>
      </c>
      <c r="G227" s="88"/>
      <c r="H227" s="89"/>
      <c r="I227" s="87"/>
      <c r="J227" s="176">
        <f>SUM(Q221:Q226)</f>
        <v>39.880000000000003</v>
      </c>
      <c r="K227" s="87">
        <f>[81]Source!BZ175</f>
        <v>87</v>
      </c>
      <c r="L227" s="176">
        <f>SUM(R221:R226)</f>
        <v>683.44</v>
      </c>
    </row>
    <row r="228" spans="1:22" ht="14.25" x14ac:dyDescent="0.2">
      <c r="A228" s="84"/>
      <c r="B228" s="84"/>
      <c r="C228" s="85"/>
      <c r="D228" s="85" t="s">
        <v>49</v>
      </c>
      <c r="E228" s="86" t="s">
        <v>48</v>
      </c>
      <c r="F228" s="87">
        <f>[81]Source!DO175</f>
        <v>84</v>
      </c>
      <c r="G228" s="88"/>
      <c r="H228" s="89"/>
      <c r="I228" s="87"/>
      <c r="J228" s="176">
        <f>SUM(S221:S227)</f>
        <v>27.91</v>
      </c>
      <c r="K228" s="87">
        <f>[81]Source!CA175</f>
        <v>41</v>
      </c>
      <c r="L228" s="176">
        <f>SUM(T221:T227)</f>
        <v>322.08</v>
      </c>
    </row>
    <row r="229" spans="1:22" ht="14.25" x14ac:dyDescent="0.2">
      <c r="A229" s="84"/>
      <c r="B229" s="84"/>
      <c r="C229" s="85"/>
      <c r="D229" s="85" t="s">
        <v>50</v>
      </c>
      <c r="E229" s="86" t="s">
        <v>48</v>
      </c>
      <c r="F229" s="87">
        <f>175</f>
        <v>175</v>
      </c>
      <c r="G229" s="88"/>
      <c r="H229" s="89"/>
      <c r="I229" s="87"/>
      <c r="J229" s="176">
        <f>SUM(U221:U228)-J236</f>
        <v>4.68</v>
      </c>
      <c r="K229" s="87">
        <f>157</f>
        <v>157</v>
      </c>
      <c r="L229" s="176">
        <f>SUM(V221:V228)-L236</f>
        <v>99.09</v>
      </c>
    </row>
    <row r="230" spans="1:22" ht="14.25" x14ac:dyDescent="0.2">
      <c r="A230" s="183"/>
      <c r="B230" s="183"/>
      <c r="C230" s="184"/>
      <c r="D230" s="184" t="s">
        <v>51</v>
      </c>
      <c r="E230" s="185" t="s">
        <v>52</v>
      </c>
      <c r="F230" s="186">
        <f>[81]Source!AQ174</f>
        <v>20</v>
      </c>
      <c r="G230" s="187"/>
      <c r="H230" s="188" t="str">
        <f>[81]Source!DI174</f>
        <v/>
      </c>
      <c r="I230" s="186">
        <f>[81]Source!AV175</f>
        <v>1.0469999999999999</v>
      </c>
      <c r="J230" s="189">
        <f>[81]Source!U174</f>
        <v>1.69</v>
      </c>
      <c r="K230" s="186"/>
      <c r="L230" s="189"/>
    </row>
    <row r="231" spans="1:22" ht="15" x14ac:dyDescent="0.25">
      <c r="D231" s="194" t="s">
        <v>81</v>
      </c>
      <c r="I231" s="408">
        <f>J222+J223+J225+J227+J228+J229+SUM(J226:J226)</f>
        <v>855.96</v>
      </c>
      <c r="J231" s="408"/>
      <c r="K231" s="408">
        <f>L222+L223+L225+L227+L228+L229+SUM(L226:L226)</f>
        <v>4556.05</v>
      </c>
      <c r="L231" s="408"/>
      <c r="O231" s="92">
        <f>J222+J223+J225+J227+J228+J229+SUM(J226:J226)</f>
        <v>855.96</v>
      </c>
      <c r="P231" s="92">
        <f>L222+L223+L225+L227+L228+L229+SUM(L226:L226)</f>
        <v>4556.05</v>
      </c>
    </row>
    <row r="233" spans="1:22" ht="71.25" x14ac:dyDescent="0.2">
      <c r="A233" s="84">
        <v>32</v>
      </c>
      <c r="B233" s="84" t="str">
        <f>CONCATENATE([81]Source!E174, "/1")</f>
        <v>3/1</v>
      </c>
      <c r="C233" s="85" t="s">
        <v>190</v>
      </c>
      <c r="D233" s="85" t="s">
        <v>82</v>
      </c>
      <c r="E233" s="86" t="str">
        <f>[81]Source!H174</f>
        <v>100 м2 изолируемой поверхности</v>
      </c>
      <c r="F233" s="87">
        <f>[81]Source!I174</f>
        <v>8.0799999999999997E-2</v>
      </c>
      <c r="G233" s="88"/>
      <c r="H233" s="89"/>
      <c r="I233" s="87"/>
      <c r="J233" s="176"/>
      <c r="K233" s="87"/>
      <c r="L233" s="176"/>
    </row>
    <row r="234" spans="1:22" ht="14.25" x14ac:dyDescent="0.2">
      <c r="A234" s="84"/>
      <c r="B234" s="84"/>
      <c r="C234" s="85"/>
      <c r="D234" s="85" t="s">
        <v>44</v>
      </c>
      <c r="E234" s="86"/>
      <c r="F234" s="87"/>
      <c r="G234" s="88">
        <f t="shared" ref="G234:L234" si="9">G235</f>
        <v>31.56</v>
      </c>
      <c r="H234" s="195" t="str">
        <f t="shared" si="9"/>
        <v>)*(1.67-1)</v>
      </c>
      <c r="I234" s="87">
        <f t="shared" si="9"/>
        <v>1.0469999999999999</v>
      </c>
      <c r="J234" s="176">
        <f t="shared" si="9"/>
        <v>1.79</v>
      </c>
      <c r="K234" s="87">
        <f t="shared" si="9"/>
        <v>23.64</v>
      </c>
      <c r="L234" s="176">
        <f t="shared" si="9"/>
        <v>42.32</v>
      </c>
    </row>
    <row r="235" spans="1:22" ht="14.25" x14ac:dyDescent="0.2">
      <c r="A235" s="84"/>
      <c r="B235" s="84"/>
      <c r="C235" s="85"/>
      <c r="D235" s="85" t="s">
        <v>45</v>
      </c>
      <c r="E235" s="86"/>
      <c r="F235" s="87"/>
      <c r="G235" s="88">
        <f>[81]Source!AN174</f>
        <v>31.56</v>
      </c>
      <c r="H235" s="195" t="s">
        <v>53</v>
      </c>
      <c r="I235" s="87">
        <f>[81]Source!AV175</f>
        <v>1.0469999999999999</v>
      </c>
      <c r="J235" s="90">
        <f>ROUND(F221*G235*I235*(1.67-1), 2)</f>
        <v>1.79</v>
      </c>
      <c r="K235" s="87">
        <f>IF([81]Source!BS175&lt;&gt; 0, [81]Source!BS175, 1)</f>
        <v>23.64</v>
      </c>
      <c r="L235" s="90">
        <f>ROUND(ROUND(F221*G235*I235*(1.67-1), 2)*K235, 2)</f>
        <v>42.32</v>
      </c>
    </row>
    <row r="236" spans="1:22" ht="14.25" x14ac:dyDescent="0.2">
      <c r="A236" s="84"/>
      <c r="B236" s="84"/>
      <c r="C236" s="85"/>
      <c r="D236" s="85" t="s">
        <v>50</v>
      </c>
      <c r="E236" s="86" t="s">
        <v>48</v>
      </c>
      <c r="F236" s="87">
        <f>175</f>
        <v>175</v>
      </c>
      <c r="G236" s="88"/>
      <c r="H236" s="89"/>
      <c r="I236" s="87"/>
      <c r="J236" s="176">
        <f>ROUND(J235*(F236/100), 2)</f>
        <v>3.13</v>
      </c>
      <c r="K236" s="87">
        <f>157</f>
        <v>157</v>
      </c>
      <c r="L236" s="176">
        <f>ROUND(L235*(K236/100), 2)</f>
        <v>66.44</v>
      </c>
    </row>
    <row r="237" spans="1:22" ht="15" x14ac:dyDescent="0.25">
      <c r="A237" s="190"/>
      <c r="B237" s="190"/>
      <c r="C237" s="190"/>
      <c r="D237" s="191" t="s">
        <v>81</v>
      </c>
      <c r="E237" s="190"/>
      <c r="F237" s="190"/>
      <c r="G237" s="190"/>
      <c r="H237" s="190"/>
      <c r="I237" s="409">
        <f>J236+J235</f>
        <v>4.92</v>
      </c>
      <c r="J237" s="409"/>
      <c r="K237" s="409">
        <f>L236+L235</f>
        <v>108.76</v>
      </c>
      <c r="L237" s="409"/>
      <c r="O237" s="92">
        <f>I237</f>
        <v>4.92</v>
      </c>
      <c r="P237" s="92">
        <f>K237</f>
        <v>108.76</v>
      </c>
    </row>
    <row r="239" spans="1:22" ht="65.25" x14ac:dyDescent="0.2">
      <c r="A239" s="84">
        <v>33</v>
      </c>
      <c r="B239" s="84" t="str">
        <f>[81]Source!E178</f>
        <v>4</v>
      </c>
      <c r="C239" s="85" t="s">
        <v>198</v>
      </c>
      <c r="D239" s="85" t="s">
        <v>199</v>
      </c>
      <c r="E239" s="86" t="str">
        <f>[81]Source!H178</f>
        <v>1 Т</v>
      </c>
      <c r="F239" s="87">
        <f>[81]Source!I178</f>
        <v>4.2000000000000003E-2</v>
      </c>
      <c r="G239" s="88"/>
      <c r="H239" s="89"/>
      <c r="I239" s="87"/>
      <c r="J239" s="176"/>
      <c r="K239" s="87"/>
      <c r="L239" s="176"/>
      <c r="Q239" s="47">
        <f>[81]Source!X178</f>
        <v>9.69</v>
      </c>
      <c r="R239" s="47">
        <f>[81]Source!X179</f>
        <v>215.1</v>
      </c>
      <c r="S239" s="47">
        <f>[81]Source!Y178</f>
        <v>6.92</v>
      </c>
      <c r="T239" s="47">
        <f>[81]Source!Y179</f>
        <v>151.97</v>
      </c>
      <c r="U239" s="47">
        <f>ROUND((175/100)*ROUND([81]Source!R178, 2), 2)</f>
        <v>0.72</v>
      </c>
      <c r="V239" s="47">
        <f>ROUND((157/100)*ROUND([81]Source!R179, 2), 2)</f>
        <v>15.21</v>
      </c>
    </row>
    <row r="240" spans="1:22" ht="14.25" x14ac:dyDescent="0.2">
      <c r="A240" s="84"/>
      <c r="B240" s="84"/>
      <c r="C240" s="85"/>
      <c r="D240" s="85" t="s">
        <v>43</v>
      </c>
      <c r="E240" s="86"/>
      <c r="F240" s="87"/>
      <c r="G240" s="88">
        <f>[81]Source!AO178</f>
        <v>134.68</v>
      </c>
      <c r="H240" s="89" t="str">
        <f>[81]Source!DG178</f>
        <v>)*1,67</v>
      </c>
      <c r="I240" s="87">
        <f>[81]Source!AV179</f>
        <v>1.0469999999999999</v>
      </c>
      <c r="J240" s="176">
        <f>[81]Source!S178</f>
        <v>9.89</v>
      </c>
      <c r="K240" s="87">
        <f>IF([81]Source!BA179&lt;&gt; 0, [81]Source!BA179, 1)</f>
        <v>23.64</v>
      </c>
      <c r="L240" s="176">
        <f>[81]Source!S179</f>
        <v>233.8</v>
      </c>
    </row>
    <row r="241" spans="1:22" ht="14.25" x14ac:dyDescent="0.2">
      <c r="A241" s="84"/>
      <c r="B241" s="84"/>
      <c r="C241" s="85"/>
      <c r="D241" s="85" t="s">
        <v>44</v>
      </c>
      <c r="E241" s="86"/>
      <c r="F241" s="87"/>
      <c r="G241" s="88">
        <f>[81]Source!AM178</f>
        <v>44</v>
      </c>
      <c r="H241" s="89" t="str">
        <f>[81]Source!DE178</f>
        <v/>
      </c>
      <c r="I241" s="87">
        <f>[81]Source!AV179</f>
        <v>1.0469999999999999</v>
      </c>
      <c r="J241" s="176">
        <f>[81]Source!Q178-J252</f>
        <v>1.93</v>
      </c>
      <c r="K241" s="87">
        <f>IF([81]Source!BB179&lt;&gt; 0, [81]Source!BB179, 1)</f>
        <v>8.2899999999999991</v>
      </c>
      <c r="L241" s="176">
        <f>[81]Source!Q179-L252</f>
        <v>16</v>
      </c>
    </row>
    <row r="242" spans="1:22" ht="14.25" x14ac:dyDescent="0.2">
      <c r="A242" s="84"/>
      <c r="B242" s="84"/>
      <c r="C242" s="85"/>
      <c r="D242" s="85" t="s">
        <v>45</v>
      </c>
      <c r="E242" s="86"/>
      <c r="F242" s="87"/>
      <c r="G242" s="88">
        <f>[81]Source!AN178</f>
        <v>5.59</v>
      </c>
      <c r="H242" s="89" t="str">
        <f>[81]Source!DE178</f>
        <v/>
      </c>
      <c r="I242" s="87">
        <f>[81]Source!AV179</f>
        <v>1.0469999999999999</v>
      </c>
      <c r="J242" s="90">
        <f>[81]Source!R178-J253</f>
        <v>0.25</v>
      </c>
      <c r="K242" s="87">
        <f>IF([81]Source!BS179&lt;&gt; 0, [81]Source!BS179, 1)</f>
        <v>23.64</v>
      </c>
      <c r="L242" s="90">
        <f>[81]Source!R179-L253</f>
        <v>5.91</v>
      </c>
    </row>
    <row r="243" spans="1:22" ht="14.25" x14ac:dyDescent="0.2">
      <c r="A243" s="84"/>
      <c r="B243" s="84"/>
      <c r="C243" s="85"/>
      <c r="D243" s="85" t="s">
        <v>46</v>
      </c>
      <c r="E243" s="86"/>
      <c r="F243" s="87"/>
      <c r="G243" s="88">
        <f>[81]Source!AL178</f>
        <v>258.91000000000003</v>
      </c>
      <c r="H243" s="89" t="str">
        <f>[81]Source!DD178</f>
        <v/>
      </c>
      <c r="I243" s="87">
        <f>[81]Source!AW179</f>
        <v>1.022</v>
      </c>
      <c r="J243" s="176">
        <f>[81]Source!P178</f>
        <v>11.11</v>
      </c>
      <c r="K243" s="87">
        <f>IF([81]Source!BC179&lt;&gt; 0, [81]Source!BC179, 1)</f>
        <v>4.8600000000000003</v>
      </c>
      <c r="L243" s="176">
        <f>[81]Source!P179</f>
        <v>53.99</v>
      </c>
    </row>
    <row r="244" spans="1:22" ht="57" x14ac:dyDescent="0.2">
      <c r="A244" s="84">
        <v>34</v>
      </c>
      <c r="B244" s="84" t="str">
        <f>[81]Source!E180</f>
        <v>4,1</v>
      </c>
      <c r="C244" s="85" t="str">
        <f>[81]Source!F180</f>
        <v>1.3-4-75</v>
      </c>
      <c r="D244" s="85" t="s">
        <v>200</v>
      </c>
      <c r="E244" s="86" t="str">
        <f>[81]Source!H180</f>
        <v>т</v>
      </c>
      <c r="F244" s="87">
        <f>[81]Source!I180</f>
        <v>4.2000000000000003E-2</v>
      </c>
      <c r="G244" s="88">
        <f>[81]Source!AK180</f>
        <v>9733.52</v>
      </c>
      <c r="H244" s="123" t="s">
        <v>20</v>
      </c>
      <c r="I244" s="87">
        <f>[81]Source!AW181</f>
        <v>1.022</v>
      </c>
      <c r="J244" s="176">
        <f>[81]Source!O180</f>
        <v>417.8</v>
      </c>
      <c r="K244" s="87">
        <f>IF([81]Source!BC181&lt;&gt; 0, [81]Source!BC181, 1)</f>
        <v>3.19</v>
      </c>
      <c r="L244" s="176">
        <f>[81]Source!O181</f>
        <v>1332.78</v>
      </c>
      <c r="Q244" s="47">
        <f>[81]Source!X180</f>
        <v>0</v>
      </c>
      <c r="R244" s="47">
        <f>[81]Source!X181</f>
        <v>0</v>
      </c>
      <c r="S244" s="47">
        <f>[81]Source!Y180</f>
        <v>0</v>
      </c>
      <c r="T244" s="47">
        <f>[81]Source!Y181</f>
        <v>0</v>
      </c>
      <c r="U244" s="47">
        <f>ROUND((175/100)*ROUND([81]Source!R180, 2), 2)</f>
        <v>0</v>
      </c>
      <c r="V244" s="47">
        <f>ROUND((157/100)*ROUND([81]Source!R181, 2), 2)</f>
        <v>0</v>
      </c>
    </row>
    <row r="245" spans="1:22" ht="14.25" x14ac:dyDescent="0.2">
      <c r="A245" s="84"/>
      <c r="B245" s="84"/>
      <c r="C245" s="85"/>
      <c r="D245" s="85" t="s">
        <v>47</v>
      </c>
      <c r="E245" s="86" t="s">
        <v>48</v>
      </c>
      <c r="F245" s="87">
        <f>[81]Source!DN179</f>
        <v>98</v>
      </c>
      <c r="G245" s="88"/>
      <c r="H245" s="89"/>
      <c r="I245" s="87"/>
      <c r="J245" s="176">
        <f>SUM(Q239:Q244)</f>
        <v>9.69</v>
      </c>
      <c r="K245" s="87">
        <f>[81]Source!BZ179</f>
        <v>92</v>
      </c>
      <c r="L245" s="176">
        <f>SUM(R239:R244)</f>
        <v>215.1</v>
      </c>
    </row>
    <row r="246" spans="1:22" ht="14.25" x14ac:dyDescent="0.2">
      <c r="A246" s="84"/>
      <c r="B246" s="84"/>
      <c r="C246" s="85"/>
      <c r="D246" s="85" t="s">
        <v>49</v>
      </c>
      <c r="E246" s="86" t="s">
        <v>48</v>
      </c>
      <c r="F246" s="87">
        <f>[81]Source!DO179</f>
        <v>70</v>
      </c>
      <c r="G246" s="88"/>
      <c r="H246" s="89"/>
      <c r="I246" s="87"/>
      <c r="J246" s="176">
        <f>SUM(S239:S245)</f>
        <v>6.92</v>
      </c>
      <c r="K246" s="87">
        <f>[81]Source!CA179</f>
        <v>65</v>
      </c>
      <c r="L246" s="176">
        <f>SUM(T239:T245)</f>
        <v>151.97</v>
      </c>
    </row>
    <row r="247" spans="1:22" ht="14.25" x14ac:dyDescent="0.2">
      <c r="A247" s="84"/>
      <c r="B247" s="84"/>
      <c r="C247" s="85"/>
      <c r="D247" s="85" t="s">
        <v>50</v>
      </c>
      <c r="E247" s="86" t="s">
        <v>48</v>
      </c>
      <c r="F247" s="87">
        <f>175</f>
        <v>175</v>
      </c>
      <c r="G247" s="88"/>
      <c r="H247" s="89"/>
      <c r="I247" s="87"/>
      <c r="J247" s="176">
        <f>SUM(U239:U246)-J254</f>
        <v>0.44</v>
      </c>
      <c r="K247" s="87">
        <f>157</f>
        <v>157</v>
      </c>
      <c r="L247" s="176">
        <f>SUM(V239:V246)-L254</f>
        <v>9.2799999999999994</v>
      </c>
    </row>
    <row r="248" spans="1:22" ht="14.25" x14ac:dyDescent="0.2">
      <c r="A248" s="183"/>
      <c r="B248" s="183"/>
      <c r="C248" s="184"/>
      <c r="D248" s="184" t="s">
        <v>51</v>
      </c>
      <c r="E248" s="185" t="s">
        <v>52</v>
      </c>
      <c r="F248" s="186">
        <f>[81]Source!AQ178</f>
        <v>11.6</v>
      </c>
      <c r="G248" s="187"/>
      <c r="H248" s="188" t="str">
        <f>[81]Source!DI178</f>
        <v/>
      </c>
      <c r="I248" s="186">
        <f>[81]Source!AV179</f>
        <v>1.0469999999999999</v>
      </c>
      <c r="J248" s="189">
        <f>[81]Source!U178</f>
        <v>0.51</v>
      </c>
      <c r="K248" s="186"/>
      <c r="L248" s="189"/>
    </row>
    <row r="249" spans="1:22" ht="15" x14ac:dyDescent="0.25">
      <c r="D249" s="194" t="s">
        <v>81</v>
      </c>
      <c r="I249" s="408">
        <f>J240+J241+J243+J245+J246+J247+SUM(J244:J244)</f>
        <v>457.78</v>
      </c>
      <c r="J249" s="408"/>
      <c r="K249" s="408">
        <f>L240+L241+L243+L245+L246+L247+SUM(L244:L244)</f>
        <v>2012.92</v>
      </c>
      <c r="L249" s="408"/>
      <c r="O249" s="92">
        <f>J240+J241+J243+J245+J246+J247+SUM(J244:J244)</f>
        <v>457.78</v>
      </c>
      <c r="P249" s="92">
        <f>L240+L241+L243+L245+L246+L247+SUM(L244:L244)</f>
        <v>2012.92</v>
      </c>
    </row>
    <row r="251" spans="1:22" ht="65.25" x14ac:dyDescent="0.2">
      <c r="A251" s="84">
        <v>35</v>
      </c>
      <c r="B251" s="84" t="str">
        <f>CONCATENATE([81]Source!E178, "/1")</f>
        <v>4/1</v>
      </c>
      <c r="C251" s="85" t="s">
        <v>201</v>
      </c>
      <c r="D251" s="85" t="s">
        <v>82</v>
      </c>
      <c r="E251" s="86" t="str">
        <f>[81]Source!H178</f>
        <v>1 Т</v>
      </c>
      <c r="F251" s="87">
        <f>[81]Source!I178</f>
        <v>4.2000000000000003E-2</v>
      </c>
      <c r="G251" s="88"/>
      <c r="H251" s="89"/>
      <c r="I251" s="87"/>
      <c r="J251" s="176"/>
      <c r="K251" s="87"/>
      <c r="L251" s="176"/>
    </row>
    <row r="252" spans="1:22" ht="14.25" x14ac:dyDescent="0.2">
      <c r="A252" s="84"/>
      <c r="B252" s="84"/>
      <c r="C252" s="85"/>
      <c r="D252" s="85" t="s">
        <v>44</v>
      </c>
      <c r="E252" s="86"/>
      <c r="F252" s="87"/>
      <c r="G252" s="88">
        <f t="shared" ref="G252:L252" si="10">G253</f>
        <v>5.59</v>
      </c>
      <c r="H252" s="195" t="str">
        <f t="shared" si="10"/>
        <v>)*(1.67-1)</v>
      </c>
      <c r="I252" s="87">
        <f t="shared" si="10"/>
        <v>1.0469999999999999</v>
      </c>
      <c r="J252" s="176">
        <f t="shared" si="10"/>
        <v>0.16</v>
      </c>
      <c r="K252" s="87">
        <f t="shared" si="10"/>
        <v>23.64</v>
      </c>
      <c r="L252" s="176">
        <f t="shared" si="10"/>
        <v>3.78</v>
      </c>
    </row>
    <row r="253" spans="1:22" ht="14.25" x14ac:dyDescent="0.2">
      <c r="A253" s="84"/>
      <c r="B253" s="84"/>
      <c r="C253" s="85"/>
      <c r="D253" s="85" t="s">
        <v>45</v>
      </c>
      <c r="E253" s="86"/>
      <c r="F253" s="87"/>
      <c r="G253" s="88">
        <f>[81]Source!AN178</f>
        <v>5.59</v>
      </c>
      <c r="H253" s="195" t="s">
        <v>53</v>
      </c>
      <c r="I253" s="87">
        <f>[81]Source!AV179</f>
        <v>1.0469999999999999</v>
      </c>
      <c r="J253" s="90">
        <f>ROUND(F239*G253*I253*(1.67-1), 2)</f>
        <v>0.16</v>
      </c>
      <c r="K253" s="87">
        <f>IF([81]Source!BS179&lt;&gt; 0, [81]Source!BS179, 1)</f>
        <v>23.64</v>
      </c>
      <c r="L253" s="90">
        <f>ROUND(ROUND(F239*G253*I253*(1.67-1), 2)*K253, 2)</f>
        <v>3.78</v>
      </c>
    </row>
    <row r="254" spans="1:22" ht="14.25" x14ac:dyDescent="0.2">
      <c r="A254" s="84"/>
      <c r="B254" s="84"/>
      <c r="C254" s="85"/>
      <c r="D254" s="85" t="s">
        <v>50</v>
      </c>
      <c r="E254" s="86" t="s">
        <v>48</v>
      </c>
      <c r="F254" s="87">
        <f>175</f>
        <v>175</v>
      </c>
      <c r="G254" s="88"/>
      <c r="H254" s="89"/>
      <c r="I254" s="87"/>
      <c r="J254" s="176">
        <f>ROUND(J253*(F254/100), 2)</f>
        <v>0.28000000000000003</v>
      </c>
      <c r="K254" s="87">
        <f>157</f>
        <v>157</v>
      </c>
      <c r="L254" s="176">
        <f>ROUND(L253*(K254/100), 2)</f>
        <v>5.93</v>
      </c>
    </row>
    <row r="255" spans="1:22" ht="15" x14ac:dyDescent="0.25">
      <c r="A255" s="190"/>
      <c r="B255" s="190"/>
      <c r="C255" s="190"/>
      <c r="D255" s="191" t="s">
        <v>81</v>
      </c>
      <c r="E255" s="190"/>
      <c r="F255" s="190"/>
      <c r="G255" s="190"/>
      <c r="H255" s="190"/>
      <c r="I255" s="409">
        <f>J254+J253</f>
        <v>0.44</v>
      </c>
      <c r="J255" s="409"/>
      <c r="K255" s="409">
        <f>L254+L253</f>
        <v>9.7100000000000009</v>
      </c>
      <c r="L255" s="409"/>
      <c r="O255" s="92">
        <f>I255</f>
        <v>0.44</v>
      </c>
      <c r="P255" s="92">
        <f>K255</f>
        <v>9.7100000000000009</v>
      </c>
    </row>
    <row r="257" spans="1:22" ht="65.25" x14ac:dyDescent="0.2">
      <c r="A257" s="84">
        <v>36</v>
      </c>
      <c r="B257" s="84" t="str">
        <f>[81]Source!E182</f>
        <v>5</v>
      </c>
      <c r="C257" s="85" t="s">
        <v>191</v>
      </c>
      <c r="D257" s="85" t="s">
        <v>192</v>
      </c>
      <c r="E257" s="86" t="str">
        <f>[81]Source!H182</f>
        <v>100 м2 стяжки</v>
      </c>
      <c r="F257" s="87">
        <f>[81]Source!I182</f>
        <v>8.0799999999999997E-2</v>
      </c>
      <c r="G257" s="88"/>
      <c r="H257" s="89"/>
      <c r="I257" s="87"/>
      <c r="J257" s="176"/>
      <c r="K257" s="87"/>
      <c r="L257" s="176"/>
      <c r="Q257" s="47">
        <f>[81]Source!X182</f>
        <v>41.17</v>
      </c>
      <c r="R257" s="47">
        <f>[81]Source!X183</f>
        <v>705.65</v>
      </c>
      <c r="S257" s="47">
        <f>[81]Source!Y182</f>
        <v>28.82</v>
      </c>
      <c r="T257" s="47">
        <f>[81]Source!Y183</f>
        <v>332.55</v>
      </c>
      <c r="U257" s="47">
        <f>ROUND((175/100)*ROUND([81]Source!R182, 2), 2)</f>
        <v>7.0000000000000007E-2</v>
      </c>
      <c r="V257" s="47">
        <f>ROUND((157/100)*ROUND([81]Source!R183, 2), 2)</f>
        <v>1.49</v>
      </c>
    </row>
    <row r="258" spans="1:22" ht="14.25" x14ac:dyDescent="0.2">
      <c r="A258" s="84"/>
      <c r="B258" s="84"/>
      <c r="C258" s="85"/>
      <c r="D258" s="85" t="s">
        <v>43</v>
      </c>
      <c r="E258" s="86"/>
      <c r="F258" s="87"/>
      <c r="G258" s="88">
        <f>[81]Source!AO182</f>
        <v>242.87</v>
      </c>
      <c r="H258" s="89" t="str">
        <f>[81]Source!DG182</f>
        <v>)*1,67</v>
      </c>
      <c r="I258" s="87">
        <f>[81]Source!AV183</f>
        <v>1.0469999999999999</v>
      </c>
      <c r="J258" s="176">
        <f>[81]Source!S182</f>
        <v>34.31</v>
      </c>
      <c r="K258" s="87">
        <f>IF([81]Source!BA183&lt;&gt; 0, [81]Source!BA183, 1)</f>
        <v>23.64</v>
      </c>
      <c r="L258" s="176">
        <f>[81]Source!S183</f>
        <v>811.09</v>
      </c>
    </row>
    <row r="259" spans="1:22" ht="14.25" x14ac:dyDescent="0.2">
      <c r="A259" s="84"/>
      <c r="B259" s="84"/>
      <c r="C259" s="85"/>
      <c r="D259" s="85" t="s">
        <v>44</v>
      </c>
      <c r="E259" s="86"/>
      <c r="F259" s="87"/>
      <c r="G259" s="88">
        <f>[81]Source!AM182</f>
        <v>12.59</v>
      </c>
      <c r="H259" s="89" t="str">
        <f>[81]Source!DE182</f>
        <v/>
      </c>
      <c r="I259" s="87">
        <f>[81]Source!AV183</f>
        <v>1.0469999999999999</v>
      </c>
      <c r="J259" s="176">
        <f>[81]Source!Q182-J270</f>
        <v>1.07</v>
      </c>
      <c r="K259" s="87">
        <f>IF([81]Source!BB183&lt;&gt; 0, [81]Source!BB183, 1)</f>
        <v>1.58</v>
      </c>
      <c r="L259" s="176">
        <f>[81]Source!Q183-L270</f>
        <v>1.69</v>
      </c>
    </row>
    <row r="260" spans="1:22" ht="14.25" x14ac:dyDescent="0.2">
      <c r="A260" s="84"/>
      <c r="B260" s="84"/>
      <c r="C260" s="85"/>
      <c r="D260" s="85" t="s">
        <v>45</v>
      </c>
      <c r="E260" s="86"/>
      <c r="F260" s="87"/>
      <c r="G260" s="88">
        <f>[81]Source!AN182</f>
        <v>0.31</v>
      </c>
      <c r="H260" s="89" t="str">
        <f>[81]Source!DE182</f>
        <v/>
      </c>
      <c r="I260" s="87">
        <f>[81]Source!AV183</f>
        <v>1.0469999999999999</v>
      </c>
      <c r="J260" s="90">
        <f>[81]Source!R182-J271</f>
        <v>0.02</v>
      </c>
      <c r="K260" s="87">
        <f>IF([81]Source!BS183&lt;&gt; 0, [81]Source!BS183, 1)</f>
        <v>23.64</v>
      </c>
      <c r="L260" s="90">
        <f>[81]Source!R183-L271</f>
        <v>0.48</v>
      </c>
    </row>
    <row r="261" spans="1:22" ht="14.25" x14ac:dyDescent="0.2">
      <c r="A261" s="84"/>
      <c r="B261" s="84"/>
      <c r="C261" s="85"/>
      <c r="D261" s="85" t="s">
        <v>46</v>
      </c>
      <c r="E261" s="86"/>
      <c r="F261" s="87"/>
      <c r="G261" s="88">
        <f>[81]Source!AL182</f>
        <v>24.75</v>
      </c>
      <c r="H261" s="89" t="str">
        <f>[81]Source!DD182</f>
        <v/>
      </c>
      <c r="I261" s="87">
        <f>[81]Source!AW183</f>
        <v>1</v>
      </c>
      <c r="J261" s="176">
        <f>[81]Source!P182</f>
        <v>2</v>
      </c>
      <c r="K261" s="87">
        <f>IF([81]Source!BC183&lt;&gt; 0, [81]Source!BC183, 1)</f>
        <v>4.7699999999999996</v>
      </c>
      <c r="L261" s="176">
        <f>[81]Source!P183</f>
        <v>9.5399999999999991</v>
      </c>
    </row>
    <row r="262" spans="1:22" ht="14.25" x14ac:dyDescent="0.2">
      <c r="A262" s="84">
        <v>37</v>
      </c>
      <c r="B262" s="84" t="str">
        <f>[81]Source!E184</f>
        <v>5,1</v>
      </c>
      <c r="C262" s="85" t="str">
        <f>[81]Source!F184</f>
        <v>1.3-2-6</v>
      </c>
      <c r="D262" s="85" t="s">
        <v>193</v>
      </c>
      <c r="E262" s="86" t="str">
        <f>[81]Source!H184</f>
        <v>м3</v>
      </c>
      <c r="F262" s="87">
        <f>[81]Source!I184</f>
        <v>0.16483200000000001</v>
      </c>
      <c r="G262" s="88">
        <f>[81]Source!AK184</f>
        <v>478.96</v>
      </c>
      <c r="H262" s="123" t="s">
        <v>20</v>
      </c>
      <c r="I262" s="87">
        <f>[81]Source!AW185</f>
        <v>1</v>
      </c>
      <c r="J262" s="176">
        <f>[81]Source!O184</f>
        <v>78.95</v>
      </c>
      <c r="K262" s="87">
        <f>IF([81]Source!BC185&lt;&gt; 0, [81]Source!BC185, 1)</f>
        <v>6.91</v>
      </c>
      <c r="L262" s="176">
        <f>[81]Source!O185</f>
        <v>545.54</v>
      </c>
      <c r="Q262" s="47">
        <f>[81]Source!X184</f>
        <v>0</v>
      </c>
      <c r="R262" s="47">
        <f>[81]Source!X185</f>
        <v>0</v>
      </c>
      <c r="S262" s="47">
        <f>[81]Source!Y184</f>
        <v>0</v>
      </c>
      <c r="T262" s="47">
        <f>[81]Source!Y185</f>
        <v>0</v>
      </c>
      <c r="U262" s="47">
        <f>ROUND((175/100)*ROUND([81]Source!R184, 2), 2)</f>
        <v>0</v>
      </c>
      <c r="V262" s="47">
        <f>ROUND((157/100)*ROUND([81]Source!R185, 2), 2)</f>
        <v>0</v>
      </c>
    </row>
    <row r="263" spans="1:22" ht="14.25" x14ac:dyDescent="0.2">
      <c r="A263" s="84"/>
      <c r="B263" s="84"/>
      <c r="C263" s="85"/>
      <c r="D263" s="85" t="s">
        <v>47</v>
      </c>
      <c r="E263" s="86" t="s">
        <v>48</v>
      </c>
      <c r="F263" s="87">
        <f>[81]Source!DN183</f>
        <v>120</v>
      </c>
      <c r="G263" s="88"/>
      <c r="H263" s="89"/>
      <c r="I263" s="87"/>
      <c r="J263" s="176">
        <f>SUM(Q257:Q262)</f>
        <v>41.17</v>
      </c>
      <c r="K263" s="87">
        <f>[81]Source!BZ183</f>
        <v>87</v>
      </c>
      <c r="L263" s="176">
        <f>SUM(R257:R262)</f>
        <v>705.65</v>
      </c>
    </row>
    <row r="264" spans="1:22" ht="14.25" x14ac:dyDescent="0.2">
      <c r="A264" s="84"/>
      <c r="B264" s="84"/>
      <c r="C264" s="85"/>
      <c r="D264" s="85" t="s">
        <v>49</v>
      </c>
      <c r="E264" s="86" t="s">
        <v>48</v>
      </c>
      <c r="F264" s="87">
        <f>[81]Source!DO183</f>
        <v>84</v>
      </c>
      <c r="G264" s="88"/>
      <c r="H264" s="89"/>
      <c r="I264" s="87"/>
      <c r="J264" s="176">
        <f>SUM(S257:S263)</f>
        <v>28.82</v>
      </c>
      <c r="K264" s="87">
        <f>[81]Source!CA183</f>
        <v>41</v>
      </c>
      <c r="L264" s="176">
        <f>SUM(T257:T263)</f>
        <v>332.55</v>
      </c>
    </row>
    <row r="265" spans="1:22" ht="14.25" x14ac:dyDescent="0.2">
      <c r="A265" s="84"/>
      <c r="B265" s="84"/>
      <c r="C265" s="85"/>
      <c r="D265" s="85" t="s">
        <v>50</v>
      </c>
      <c r="E265" s="86" t="s">
        <v>48</v>
      </c>
      <c r="F265" s="87">
        <f>175</f>
        <v>175</v>
      </c>
      <c r="G265" s="88"/>
      <c r="H265" s="89"/>
      <c r="I265" s="87"/>
      <c r="J265" s="176">
        <f>SUM(U257:U264)-J272</f>
        <v>0.03</v>
      </c>
      <c r="K265" s="87">
        <f>157</f>
        <v>157</v>
      </c>
      <c r="L265" s="176">
        <f>SUM(V257:V264)-L272</f>
        <v>0.75</v>
      </c>
    </row>
    <row r="266" spans="1:22" ht="14.25" x14ac:dyDescent="0.2">
      <c r="A266" s="183"/>
      <c r="B266" s="183"/>
      <c r="C266" s="184"/>
      <c r="D266" s="184" t="s">
        <v>51</v>
      </c>
      <c r="E266" s="185" t="s">
        <v>52</v>
      </c>
      <c r="F266" s="186">
        <f>[81]Source!AQ182</f>
        <v>23.33</v>
      </c>
      <c r="G266" s="187"/>
      <c r="H266" s="188" t="str">
        <f>[81]Source!DI182</f>
        <v/>
      </c>
      <c r="I266" s="186">
        <f>[81]Source!AV183</f>
        <v>1.0469999999999999</v>
      </c>
      <c r="J266" s="189">
        <f>[81]Source!U182</f>
        <v>1.97</v>
      </c>
      <c r="K266" s="186"/>
      <c r="L266" s="189"/>
    </row>
    <row r="267" spans="1:22" ht="15" x14ac:dyDescent="0.25">
      <c r="D267" s="194" t="s">
        <v>81</v>
      </c>
      <c r="I267" s="408">
        <f>J258+J259+J261+J263+J264+J265+SUM(J262:J262)</f>
        <v>186.35</v>
      </c>
      <c r="J267" s="408"/>
      <c r="K267" s="408">
        <f>L258+L259+L261+L263+L264+L265+SUM(L262:L262)</f>
        <v>2406.81</v>
      </c>
      <c r="L267" s="408"/>
      <c r="O267" s="92">
        <f>J258+J259+J261+J263+J264+J265+SUM(J262:J262)</f>
        <v>186.35</v>
      </c>
      <c r="P267" s="92">
        <f>L258+L259+L261+L263+L264+L265+SUM(L262:L262)</f>
        <v>2406.81</v>
      </c>
    </row>
    <row r="269" spans="1:22" ht="79.5" x14ac:dyDescent="0.2">
      <c r="A269" s="84">
        <v>38</v>
      </c>
      <c r="B269" s="84" t="str">
        <f>CONCATENATE([81]Source!E182, "/1")</f>
        <v>5/1</v>
      </c>
      <c r="C269" s="85" t="s">
        <v>194</v>
      </c>
      <c r="D269" s="85" t="s">
        <v>82</v>
      </c>
      <c r="E269" s="86" t="str">
        <f>[81]Source!H182</f>
        <v>100 м2 стяжки</v>
      </c>
      <c r="F269" s="87">
        <f>[81]Source!I182</f>
        <v>8.0799999999999997E-2</v>
      </c>
      <c r="G269" s="88"/>
      <c r="H269" s="89"/>
      <c r="I269" s="87"/>
      <c r="J269" s="176"/>
      <c r="K269" s="87"/>
      <c r="L269" s="176"/>
    </row>
    <row r="270" spans="1:22" ht="14.25" x14ac:dyDescent="0.2">
      <c r="A270" s="84"/>
      <c r="B270" s="84"/>
      <c r="C270" s="85"/>
      <c r="D270" s="85" t="s">
        <v>44</v>
      </c>
      <c r="E270" s="86"/>
      <c r="F270" s="87"/>
      <c r="G270" s="88">
        <f t="shared" ref="G270:L270" si="11">G271</f>
        <v>0.31</v>
      </c>
      <c r="H270" s="195" t="str">
        <f t="shared" si="11"/>
        <v>)*(1.67-1)</v>
      </c>
      <c r="I270" s="87">
        <f t="shared" si="11"/>
        <v>1.0469999999999999</v>
      </c>
      <c r="J270" s="176">
        <f t="shared" si="11"/>
        <v>0.02</v>
      </c>
      <c r="K270" s="87">
        <f t="shared" si="11"/>
        <v>23.64</v>
      </c>
      <c r="L270" s="176">
        <f t="shared" si="11"/>
        <v>0.47</v>
      </c>
    </row>
    <row r="271" spans="1:22" ht="14.25" x14ac:dyDescent="0.2">
      <c r="A271" s="84"/>
      <c r="B271" s="84"/>
      <c r="C271" s="85"/>
      <c r="D271" s="85" t="s">
        <v>45</v>
      </c>
      <c r="E271" s="86"/>
      <c r="F271" s="87"/>
      <c r="G271" s="88">
        <f>[81]Source!AN182</f>
        <v>0.31</v>
      </c>
      <c r="H271" s="195" t="s">
        <v>53</v>
      </c>
      <c r="I271" s="87">
        <f>[81]Source!AV183</f>
        <v>1.0469999999999999</v>
      </c>
      <c r="J271" s="90">
        <f>ROUND(F257*G271*I271*(1.67-1), 2)</f>
        <v>0.02</v>
      </c>
      <c r="K271" s="87">
        <f>IF([81]Source!BS183&lt;&gt; 0, [81]Source!BS183, 1)</f>
        <v>23.64</v>
      </c>
      <c r="L271" s="90">
        <f>ROUND(ROUND(F257*G271*I271*(1.67-1), 2)*K271, 2)</f>
        <v>0.47</v>
      </c>
    </row>
    <row r="272" spans="1:22" ht="14.25" x14ac:dyDescent="0.2">
      <c r="A272" s="84"/>
      <c r="B272" s="84"/>
      <c r="C272" s="85"/>
      <c r="D272" s="85" t="s">
        <v>50</v>
      </c>
      <c r="E272" s="86" t="s">
        <v>48</v>
      </c>
      <c r="F272" s="87">
        <f>175</f>
        <v>175</v>
      </c>
      <c r="G272" s="88"/>
      <c r="H272" s="89"/>
      <c r="I272" s="87"/>
      <c r="J272" s="176">
        <f>ROUND(J271*(F272/100), 2)</f>
        <v>0.04</v>
      </c>
      <c r="K272" s="87">
        <f>157</f>
        <v>157</v>
      </c>
      <c r="L272" s="176">
        <f>ROUND(L271*(K272/100), 2)</f>
        <v>0.74</v>
      </c>
    </row>
    <row r="273" spans="1:22" ht="15" x14ac:dyDescent="0.25">
      <c r="A273" s="190"/>
      <c r="B273" s="190"/>
      <c r="C273" s="190"/>
      <c r="D273" s="191" t="s">
        <v>81</v>
      </c>
      <c r="E273" s="190"/>
      <c r="F273" s="190"/>
      <c r="G273" s="190"/>
      <c r="H273" s="190"/>
      <c r="I273" s="409">
        <f>J272+J271</f>
        <v>0.06</v>
      </c>
      <c r="J273" s="409"/>
      <c r="K273" s="409">
        <f>L272+L271</f>
        <v>1.21</v>
      </c>
      <c r="L273" s="409"/>
      <c r="O273" s="92">
        <f>I273</f>
        <v>0.06</v>
      </c>
      <c r="P273" s="92">
        <f>K273</f>
        <v>1.21</v>
      </c>
    </row>
    <row r="275" spans="1:22" ht="65.25" x14ac:dyDescent="0.2">
      <c r="A275" s="84">
        <v>39</v>
      </c>
      <c r="B275" s="84" t="str">
        <f>[81]Source!E186</f>
        <v>6</v>
      </c>
      <c r="C275" s="85" t="s">
        <v>195</v>
      </c>
      <c r="D275" s="85" t="s">
        <v>196</v>
      </c>
      <c r="E275" s="86" t="str">
        <f>[81]Source!H186</f>
        <v>100 м2 стяжки</v>
      </c>
      <c r="F275" s="87">
        <f>[81]Source!I186</f>
        <v>8.0799999999999997E-2</v>
      </c>
      <c r="G275" s="88"/>
      <c r="H275" s="89"/>
      <c r="I275" s="87"/>
      <c r="J275" s="176"/>
      <c r="K275" s="87"/>
      <c r="L275" s="176"/>
      <c r="Q275" s="47">
        <f>[81]Source!X186</f>
        <v>4.57</v>
      </c>
      <c r="R275" s="47">
        <f>[81]Source!X187</f>
        <v>78.36</v>
      </c>
      <c r="S275" s="47">
        <f>[81]Source!Y186</f>
        <v>3.2</v>
      </c>
      <c r="T275" s="47">
        <f>[81]Source!Y187</f>
        <v>36.93</v>
      </c>
      <c r="U275" s="47">
        <f>ROUND((175/100)*ROUND([81]Source!R186, 2), 2)</f>
        <v>0.12</v>
      </c>
      <c r="V275" s="47">
        <f>ROUND((157/100)*ROUND([81]Source!R187, 2), 2)</f>
        <v>2.59</v>
      </c>
    </row>
    <row r="276" spans="1:22" ht="14.25" x14ac:dyDescent="0.2">
      <c r="A276" s="84"/>
      <c r="B276" s="84"/>
      <c r="C276" s="85"/>
      <c r="D276" s="85" t="s">
        <v>43</v>
      </c>
      <c r="E276" s="86"/>
      <c r="F276" s="87"/>
      <c r="G276" s="88">
        <f>[81]Source!AO186</f>
        <v>4.5</v>
      </c>
      <c r="H276" s="89" t="str">
        <f>[81]Source!DG186</f>
        <v>)*1,67)*6</v>
      </c>
      <c r="I276" s="87">
        <f>[81]Source!AV187</f>
        <v>1.0469999999999999</v>
      </c>
      <c r="J276" s="176">
        <f>[81]Source!S186</f>
        <v>3.81</v>
      </c>
      <c r="K276" s="87">
        <f>IF([81]Source!BA187&lt;&gt; 0, [81]Source!BA187, 1)</f>
        <v>23.64</v>
      </c>
      <c r="L276" s="176">
        <f>[81]Source!S187</f>
        <v>90.07</v>
      </c>
    </row>
    <row r="277" spans="1:22" ht="14.25" x14ac:dyDescent="0.2">
      <c r="A277" s="84"/>
      <c r="B277" s="84"/>
      <c r="C277" s="85"/>
      <c r="D277" s="85" t="s">
        <v>44</v>
      </c>
      <c r="E277" s="86"/>
      <c r="F277" s="87"/>
      <c r="G277" s="88">
        <f>[81]Source!AM186</f>
        <v>3.22</v>
      </c>
      <c r="H277" s="89" t="str">
        <f>[81]Source!DE186</f>
        <v>)*6</v>
      </c>
      <c r="I277" s="87">
        <f>[81]Source!AV187</f>
        <v>1.0469999999999999</v>
      </c>
      <c r="J277" s="176">
        <f>[81]Source!Q186-J287</f>
        <v>1.63</v>
      </c>
      <c r="K277" s="87">
        <f>IF([81]Source!BB187&lt;&gt; 0, [81]Source!BB187, 1)</f>
        <v>1.58</v>
      </c>
      <c r="L277" s="176">
        <f>[81]Source!Q187-L287</f>
        <v>2.58</v>
      </c>
    </row>
    <row r="278" spans="1:22" ht="14.25" x14ac:dyDescent="0.2">
      <c r="A278" s="84"/>
      <c r="B278" s="84"/>
      <c r="C278" s="85"/>
      <c r="D278" s="85" t="s">
        <v>45</v>
      </c>
      <c r="E278" s="86"/>
      <c r="F278" s="87"/>
      <c r="G278" s="88">
        <f>[81]Source!AN186</f>
        <v>0.08</v>
      </c>
      <c r="H278" s="89" t="str">
        <f>[81]Source!DE186</f>
        <v>)*6</v>
      </c>
      <c r="I278" s="87">
        <f>[81]Source!AV187</f>
        <v>1.0469999999999999</v>
      </c>
      <c r="J278" s="90">
        <f>[81]Source!R186-J288</f>
        <v>0.04</v>
      </c>
      <c r="K278" s="87">
        <f>IF([81]Source!BS187&lt;&gt; 0, [81]Source!BS187, 1)</f>
        <v>23.64</v>
      </c>
      <c r="L278" s="90">
        <f>[81]Source!R187-L288</f>
        <v>0.94</v>
      </c>
    </row>
    <row r="279" spans="1:22" ht="14.25" x14ac:dyDescent="0.2">
      <c r="A279" s="84">
        <v>40</v>
      </c>
      <c r="B279" s="84" t="str">
        <f>[81]Source!E188</f>
        <v>6,1</v>
      </c>
      <c r="C279" s="85" t="str">
        <f>[81]Source!F188</f>
        <v>1.3-2-6</v>
      </c>
      <c r="D279" s="85" t="s">
        <v>193</v>
      </c>
      <c r="E279" s="86" t="str">
        <f>[81]Source!H188</f>
        <v>м3</v>
      </c>
      <c r="F279" s="87">
        <f>[81]Source!I188</f>
        <v>4.1208000000000002E-2</v>
      </c>
      <c r="G279" s="88">
        <f>[81]Source!AK188</f>
        <v>478.96</v>
      </c>
      <c r="H279" s="123" t="s">
        <v>265</v>
      </c>
      <c r="I279" s="87">
        <f>[81]Source!AW189</f>
        <v>1</v>
      </c>
      <c r="J279" s="176">
        <f>[81]Source!O188</f>
        <v>118.42</v>
      </c>
      <c r="K279" s="87">
        <f>IF([81]Source!BC189&lt;&gt; 0, [81]Source!BC189, 1)</f>
        <v>6.91</v>
      </c>
      <c r="L279" s="176">
        <f>[81]Source!O189</f>
        <v>818.28</v>
      </c>
      <c r="Q279" s="47">
        <f>[81]Source!X188</f>
        <v>0</v>
      </c>
      <c r="R279" s="47">
        <f>[81]Source!X189</f>
        <v>0</v>
      </c>
      <c r="S279" s="47">
        <f>[81]Source!Y188</f>
        <v>0</v>
      </c>
      <c r="T279" s="47">
        <f>[81]Source!Y189</f>
        <v>0</v>
      </c>
      <c r="U279" s="47">
        <f>ROUND((175/100)*ROUND([81]Source!R188, 2), 2)</f>
        <v>0</v>
      </c>
      <c r="V279" s="47">
        <f>ROUND((157/100)*ROUND([81]Source!R189, 2), 2)</f>
        <v>0</v>
      </c>
    </row>
    <row r="280" spans="1:22" ht="14.25" x14ac:dyDescent="0.2">
      <c r="A280" s="84"/>
      <c r="B280" s="84"/>
      <c r="C280" s="85"/>
      <c r="D280" s="85" t="s">
        <v>47</v>
      </c>
      <c r="E280" s="86" t="s">
        <v>48</v>
      </c>
      <c r="F280" s="87">
        <f>[81]Source!DN187</f>
        <v>120</v>
      </c>
      <c r="G280" s="88"/>
      <c r="H280" s="89"/>
      <c r="I280" s="87"/>
      <c r="J280" s="176">
        <f>SUM(Q275:Q279)</f>
        <v>4.57</v>
      </c>
      <c r="K280" s="87">
        <f>[81]Source!BZ187</f>
        <v>87</v>
      </c>
      <c r="L280" s="176">
        <f>SUM(R275:R279)</f>
        <v>78.36</v>
      </c>
    </row>
    <row r="281" spans="1:22" ht="14.25" x14ac:dyDescent="0.2">
      <c r="A281" s="84"/>
      <c r="B281" s="84"/>
      <c r="C281" s="85"/>
      <c r="D281" s="85" t="s">
        <v>49</v>
      </c>
      <c r="E281" s="86" t="s">
        <v>48</v>
      </c>
      <c r="F281" s="87">
        <f>[81]Source!DO187</f>
        <v>84</v>
      </c>
      <c r="G281" s="88"/>
      <c r="H281" s="89"/>
      <c r="I281" s="87"/>
      <c r="J281" s="176">
        <f>SUM(S275:S280)</f>
        <v>3.2</v>
      </c>
      <c r="K281" s="87">
        <f>[81]Source!CA187</f>
        <v>41</v>
      </c>
      <c r="L281" s="176">
        <f>SUM(T275:T280)</f>
        <v>36.93</v>
      </c>
    </row>
    <row r="282" spans="1:22" ht="14.25" x14ac:dyDescent="0.2">
      <c r="A282" s="84"/>
      <c r="B282" s="84"/>
      <c r="C282" s="85"/>
      <c r="D282" s="85" t="s">
        <v>50</v>
      </c>
      <c r="E282" s="86" t="s">
        <v>48</v>
      </c>
      <c r="F282" s="87">
        <f>175</f>
        <v>175</v>
      </c>
      <c r="G282" s="88"/>
      <c r="H282" s="89"/>
      <c r="I282" s="87"/>
      <c r="J282" s="176">
        <f>SUM(U275:U281)-J289</f>
        <v>7.0000000000000007E-2</v>
      </c>
      <c r="K282" s="87">
        <f>157</f>
        <v>157</v>
      </c>
      <c r="L282" s="176">
        <f>SUM(V275:V281)-L289</f>
        <v>1.48</v>
      </c>
    </row>
    <row r="283" spans="1:22" ht="14.25" x14ac:dyDescent="0.2">
      <c r="A283" s="183"/>
      <c r="B283" s="183"/>
      <c r="C283" s="184"/>
      <c r="D283" s="184" t="s">
        <v>51</v>
      </c>
      <c r="E283" s="185" t="s">
        <v>52</v>
      </c>
      <c r="F283" s="186">
        <f>[81]Source!AQ186</f>
        <v>0.44</v>
      </c>
      <c r="G283" s="187"/>
      <c r="H283" s="188" t="str">
        <f>[81]Source!DI186</f>
        <v>)*6</v>
      </c>
      <c r="I283" s="186">
        <f>[81]Source!AV187</f>
        <v>1.0469999999999999</v>
      </c>
      <c r="J283" s="189">
        <f>[81]Source!U186</f>
        <v>0.22</v>
      </c>
      <c r="K283" s="186"/>
      <c r="L283" s="189"/>
    </row>
    <row r="284" spans="1:22" ht="15" x14ac:dyDescent="0.25">
      <c r="D284" s="194" t="s">
        <v>81</v>
      </c>
      <c r="I284" s="408">
        <f>J276+J277+J280+J281+J282+SUM(J279:J279)</f>
        <v>131.69999999999999</v>
      </c>
      <c r="J284" s="408"/>
      <c r="K284" s="408">
        <f>L276+L277+L280+L281+L282+SUM(L279:L279)</f>
        <v>1027.7</v>
      </c>
      <c r="L284" s="408"/>
      <c r="O284" s="92">
        <f>J276+J277+J280+J281+J282+SUM(J279:J279)</f>
        <v>131.69999999999999</v>
      </c>
      <c r="P284" s="92">
        <f>L276+L277+L280+L281+L282+SUM(L279:L279)</f>
        <v>1027.7</v>
      </c>
    </row>
    <row r="286" spans="1:22" ht="79.5" x14ac:dyDescent="0.2">
      <c r="A286" s="84">
        <v>41</v>
      </c>
      <c r="B286" s="84" t="str">
        <f>CONCATENATE([81]Source!E186, "/1")</f>
        <v>6/1</v>
      </c>
      <c r="C286" s="85" t="s">
        <v>197</v>
      </c>
      <c r="D286" s="85" t="s">
        <v>82</v>
      </c>
      <c r="E286" s="86" t="str">
        <f>[81]Source!H186</f>
        <v>100 м2 стяжки</v>
      </c>
      <c r="F286" s="87">
        <f>[81]Source!I186</f>
        <v>8.0799999999999997E-2</v>
      </c>
      <c r="G286" s="88"/>
      <c r="H286" s="89"/>
      <c r="I286" s="87"/>
      <c r="J286" s="176"/>
      <c r="K286" s="87"/>
      <c r="L286" s="176"/>
    </row>
    <row r="287" spans="1:22" ht="14.25" x14ac:dyDescent="0.2">
      <c r="A287" s="84"/>
      <c r="B287" s="84"/>
      <c r="C287" s="85"/>
      <c r="D287" s="85" t="s">
        <v>44</v>
      </c>
      <c r="E287" s="86"/>
      <c r="F287" s="87"/>
      <c r="G287" s="88">
        <f t="shared" ref="G287:L287" si="12">G288</f>
        <v>0.08</v>
      </c>
      <c r="H287" s="195" t="str">
        <f t="shared" si="12"/>
        <v>)*(1.67-1)*6</v>
      </c>
      <c r="I287" s="87">
        <f t="shared" si="12"/>
        <v>1.0469999999999999</v>
      </c>
      <c r="J287" s="176">
        <f t="shared" si="12"/>
        <v>0.03</v>
      </c>
      <c r="K287" s="87">
        <f t="shared" si="12"/>
        <v>23.64</v>
      </c>
      <c r="L287" s="176">
        <f t="shared" si="12"/>
        <v>0.71</v>
      </c>
    </row>
    <row r="288" spans="1:22" ht="14.25" x14ac:dyDescent="0.2">
      <c r="A288" s="84"/>
      <c r="B288" s="84"/>
      <c r="C288" s="85"/>
      <c r="D288" s="85" t="s">
        <v>45</v>
      </c>
      <c r="E288" s="86"/>
      <c r="F288" s="87"/>
      <c r="G288" s="88">
        <f>[81]Source!AN186</f>
        <v>0.08</v>
      </c>
      <c r="H288" s="195" t="s">
        <v>210</v>
      </c>
      <c r="I288" s="87">
        <f>[81]Source!AV187</f>
        <v>1.0469999999999999</v>
      </c>
      <c r="J288" s="90">
        <f>ROUND(F275*G288*I288*(1.67-1)*6, 2)</f>
        <v>0.03</v>
      </c>
      <c r="K288" s="87">
        <f>IF([81]Source!BS187&lt;&gt; 0, [81]Source!BS187, 1)</f>
        <v>23.64</v>
      </c>
      <c r="L288" s="90">
        <f>ROUND(ROUND(F275*G288*I288*(1.67-1)*6, 2)*K288, 2)</f>
        <v>0.71</v>
      </c>
    </row>
    <row r="289" spans="1:22" ht="14.25" x14ac:dyDescent="0.2">
      <c r="A289" s="84"/>
      <c r="B289" s="84"/>
      <c r="C289" s="85"/>
      <c r="D289" s="85" t="s">
        <v>50</v>
      </c>
      <c r="E289" s="86" t="s">
        <v>48</v>
      </c>
      <c r="F289" s="87">
        <f>175</f>
        <v>175</v>
      </c>
      <c r="G289" s="88"/>
      <c r="H289" s="89"/>
      <c r="I289" s="87"/>
      <c r="J289" s="176">
        <f>ROUND(J288*(F289/100), 2)</f>
        <v>0.05</v>
      </c>
      <c r="K289" s="87">
        <f>157</f>
        <v>157</v>
      </c>
      <c r="L289" s="176">
        <f>ROUND(L288*(K289/100), 2)</f>
        <v>1.1100000000000001</v>
      </c>
    </row>
    <row r="290" spans="1:22" ht="15" x14ac:dyDescent="0.25">
      <c r="A290" s="190"/>
      <c r="B290" s="190"/>
      <c r="C290" s="190"/>
      <c r="D290" s="191" t="s">
        <v>81</v>
      </c>
      <c r="E290" s="190"/>
      <c r="F290" s="190"/>
      <c r="G290" s="190"/>
      <c r="H290" s="190"/>
      <c r="I290" s="409">
        <f>J289+J288</f>
        <v>0.08</v>
      </c>
      <c r="J290" s="409"/>
      <c r="K290" s="409">
        <f>L289+L288</f>
        <v>1.82</v>
      </c>
      <c r="L290" s="409"/>
      <c r="O290" s="92">
        <f>I290</f>
        <v>0.08</v>
      </c>
      <c r="P290" s="92">
        <f>K290</f>
        <v>1.82</v>
      </c>
    </row>
    <row r="292" spans="1:22" ht="65.25" x14ac:dyDescent="0.2">
      <c r="A292" s="84">
        <v>42</v>
      </c>
      <c r="B292" s="84" t="str">
        <f>[81]Source!E190</f>
        <v>7</v>
      </c>
      <c r="C292" s="85" t="s">
        <v>141</v>
      </c>
      <c r="D292" s="85" t="s">
        <v>142</v>
      </c>
      <c r="E292" s="86" t="str">
        <f>[81]Source!H190</f>
        <v>100 м2 пола</v>
      </c>
      <c r="F292" s="87">
        <f>[81]Source!I190</f>
        <v>8.1199999999999994E-2</v>
      </c>
      <c r="G292" s="88"/>
      <c r="H292" s="89"/>
      <c r="I292" s="87"/>
      <c r="J292" s="176"/>
      <c r="K292" s="87"/>
      <c r="L292" s="176"/>
      <c r="Q292" s="47">
        <f>[81]Source!X190</f>
        <v>168.16</v>
      </c>
      <c r="R292" s="47">
        <f>[81]Source!X191</f>
        <v>2882.02</v>
      </c>
      <c r="S292" s="47">
        <f>[81]Source!Y190</f>
        <v>117.71</v>
      </c>
      <c r="T292" s="47">
        <f>[81]Source!Y191</f>
        <v>1358.19</v>
      </c>
      <c r="U292" s="47">
        <f>ROUND((175/100)*ROUND([81]Source!R190, 2), 2)</f>
        <v>3.12</v>
      </c>
      <c r="V292" s="47">
        <f>ROUND((157/100)*ROUND([81]Source!R191, 2), 2)</f>
        <v>66.069999999999993</v>
      </c>
    </row>
    <row r="293" spans="1:22" ht="14.25" x14ac:dyDescent="0.2">
      <c r="A293" s="84"/>
      <c r="B293" s="84"/>
      <c r="C293" s="85"/>
      <c r="D293" s="85" t="s">
        <v>43</v>
      </c>
      <c r="E293" s="86"/>
      <c r="F293" s="87"/>
      <c r="G293" s="88">
        <f>[81]Source!AO190</f>
        <v>986.98</v>
      </c>
      <c r="H293" s="89" t="str">
        <f>[81]Source!DG190</f>
        <v>)*1,67</v>
      </c>
      <c r="I293" s="87">
        <f>[81]Source!AV191</f>
        <v>1.0469999999999999</v>
      </c>
      <c r="J293" s="176">
        <f>[81]Source!S190</f>
        <v>140.13</v>
      </c>
      <c r="K293" s="87">
        <f>IF([81]Source!BA191&lt;&gt; 0, [81]Source!BA191, 1)</f>
        <v>23.64</v>
      </c>
      <c r="L293" s="176">
        <f>[81]Source!S191</f>
        <v>3312.67</v>
      </c>
    </row>
    <row r="294" spans="1:22" ht="14.25" x14ac:dyDescent="0.2">
      <c r="A294" s="84"/>
      <c r="B294" s="84"/>
      <c r="C294" s="85"/>
      <c r="D294" s="85" t="s">
        <v>44</v>
      </c>
      <c r="E294" s="86"/>
      <c r="F294" s="87"/>
      <c r="G294" s="88">
        <f>[81]Source!AM190</f>
        <v>99.77</v>
      </c>
      <c r="H294" s="89" t="str">
        <f>[81]Source!DE190</f>
        <v/>
      </c>
      <c r="I294" s="87">
        <f>[81]Source!AV191</f>
        <v>1.0469999999999999</v>
      </c>
      <c r="J294" s="176">
        <f>[81]Source!Q190-J307</f>
        <v>8.48</v>
      </c>
      <c r="K294" s="87">
        <f>IF([81]Source!BB191&lt;&gt; 0, [81]Source!BB191, 1)</f>
        <v>11.8</v>
      </c>
      <c r="L294" s="176">
        <f>[81]Source!Q191-L307</f>
        <v>100.06</v>
      </c>
    </row>
    <row r="295" spans="1:22" ht="14.25" x14ac:dyDescent="0.2">
      <c r="A295" s="84"/>
      <c r="B295" s="84"/>
      <c r="C295" s="85"/>
      <c r="D295" s="85" t="s">
        <v>45</v>
      </c>
      <c r="E295" s="86"/>
      <c r="F295" s="87"/>
      <c r="G295" s="88">
        <f>[81]Source!AN190</f>
        <v>12.51</v>
      </c>
      <c r="H295" s="89" t="str">
        <f>[81]Source!DE190</f>
        <v/>
      </c>
      <c r="I295" s="87">
        <f>[81]Source!AV191</f>
        <v>1.0469999999999999</v>
      </c>
      <c r="J295" s="90">
        <f>[81]Source!R190-J308</f>
        <v>1.07</v>
      </c>
      <c r="K295" s="87">
        <f>IF([81]Source!BS191&lt;&gt; 0, [81]Source!BS191, 1)</f>
        <v>23.64</v>
      </c>
      <c r="L295" s="90">
        <f>[81]Source!R191-L308</f>
        <v>25.3</v>
      </c>
    </row>
    <row r="296" spans="1:22" ht="14.25" x14ac:dyDescent="0.2">
      <c r="A296" s="84"/>
      <c r="B296" s="84"/>
      <c r="C296" s="85"/>
      <c r="D296" s="85" t="s">
        <v>46</v>
      </c>
      <c r="E296" s="86"/>
      <c r="F296" s="87"/>
      <c r="G296" s="88">
        <f>[81]Source!AL190</f>
        <v>699.78</v>
      </c>
      <c r="H296" s="89" t="str">
        <f>[81]Source!DD190</f>
        <v/>
      </c>
      <c r="I296" s="87">
        <f>[81]Source!AW191</f>
        <v>1</v>
      </c>
      <c r="J296" s="176">
        <f>[81]Source!P190</f>
        <v>56.82</v>
      </c>
      <c r="K296" s="87">
        <f>IF([81]Source!BC191&lt;&gt; 0, [81]Source!BC191, 1)</f>
        <v>0.9</v>
      </c>
      <c r="L296" s="176">
        <f>[81]Source!P191</f>
        <v>51.14</v>
      </c>
    </row>
    <row r="297" spans="1:22" ht="28.5" x14ac:dyDescent="0.2">
      <c r="A297" s="84">
        <v>43</v>
      </c>
      <c r="B297" s="84" t="str">
        <f>[81]Source!E192</f>
        <v>7,1</v>
      </c>
      <c r="C297" s="85" t="str">
        <f>[81]Source!F192</f>
        <v>1.3-2-138</v>
      </c>
      <c r="D297" s="85" t="s">
        <v>143</v>
      </c>
      <c r="E297" s="86" t="str">
        <f>[81]Source!H192</f>
        <v>т</v>
      </c>
      <c r="F297" s="87">
        <f>[81]Source!I192</f>
        <v>1.462E-3</v>
      </c>
      <c r="G297" s="88">
        <f>[81]Source!AK192</f>
        <v>27362.67</v>
      </c>
      <c r="H297" s="123" t="s">
        <v>20</v>
      </c>
      <c r="I297" s="87">
        <f>[81]Source!AW193</f>
        <v>1</v>
      </c>
      <c r="J297" s="176">
        <f>[81]Source!O192</f>
        <v>40</v>
      </c>
      <c r="K297" s="87">
        <f>IF([81]Source!BC193&lt;&gt; 0, [81]Source!BC193, 1)</f>
        <v>1.01</v>
      </c>
      <c r="L297" s="176">
        <f>[81]Source!O193</f>
        <v>40.4</v>
      </c>
      <c r="Q297" s="47">
        <f>[81]Source!X192</f>
        <v>0</v>
      </c>
      <c r="R297" s="47">
        <f>[81]Source!X193</f>
        <v>0</v>
      </c>
      <c r="S297" s="47">
        <f>[81]Source!Y192</f>
        <v>0</v>
      </c>
      <c r="T297" s="47">
        <f>[81]Source!Y193</f>
        <v>0</v>
      </c>
      <c r="U297" s="47">
        <f>ROUND((175/100)*ROUND([81]Source!R192, 2), 2)</f>
        <v>0</v>
      </c>
      <c r="V297" s="47">
        <f>ROUND((157/100)*ROUND([81]Source!R193, 2), 2)</f>
        <v>0</v>
      </c>
    </row>
    <row r="298" spans="1:22" ht="85.5" x14ac:dyDescent="0.2">
      <c r="A298" s="84">
        <v>44</v>
      </c>
      <c r="B298" s="84" t="str">
        <f>[81]Source!E194</f>
        <v>7,2</v>
      </c>
      <c r="C298" s="85" t="str">
        <f>[81]Source!F194</f>
        <v>1.3-2-168</v>
      </c>
      <c r="D298" s="85" t="s">
        <v>144</v>
      </c>
      <c r="E298" s="86" t="str">
        <f>[81]Source!H194</f>
        <v>т</v>
      </c>
      <c r="F298" s="87">
        <f>[81]Source!I194</f>
        <v>3.8163999999999997E-2</v>
      </c>
      <c r="G298" s="88">
        <f>[81]Source!AK194</f>
        <v>6529.05</v>
      </c>
      <c r="H298" s="123" t="s">
        <v>20</v>
      </c>
      <c r="I298" s="87">
        <f>[81]Source!AW195</f>
        <v>1</v>
      </c>
      <c r="J298" s="176">
        <f>[81]Source!O194</f>
        <v>249.17</v>
      </c>
      <c r="K298" s="87">
        <f>IF([81]Source!BC195&lt;&gt; 0, [81]Source!BC195, 1)</f>
        <v>1.76</v>
      </c>
      <c r="L298" s="176">
        <f>[81]Source!O195</f>
        <v>438.54</v>
      </c>
      <c r="Q298" s="47">
        <f>[81]Source!X194</f>
        <v>0</v>
      </c>
      <c r="R298" s="47">
        <f>[81]Source!X195</f>
        <v>0</v>
      </c>
      <c r="S298" s="47">
        <f>[81]Source!Y194</f>
        <v>0</v>
      </c>
      <c r="T298" s="47">
        <f>[81]Source!Y195</f>
        <v>0</v>
      </c>
      <c r="U298" s="47">
        <f>ROUND((175/100)*ROUND([81]Source!R194, 2), 2)</f>
        <v>0</v>
      </c>
      <c r="V298" s="47">
        <f>ROUND((157/100)*ROUND([81]Source!R195, 2), 2)</f>
        <v>0</v>
      </c>
    </row>
    <row r="299" spans="1:22" ht="42.75" x14ac:dyDescent="0.2">
      <c r="A299" s="84">
        <v>45</v>
      </c>
      <c r="B299" s="84" t="str">
        <f>[81]Source!E196</f>
        <v>7,8</v>
      </c>
      <c r="C299" s="85" t="str">
        <f>[81]Source!F196</f>
        <v>1.1-1-3228</v>
      </c>
      <c r="D299" s="85" t="s">
        <v>266</v>
      </c>
      <c r="E299" s="86" t="str">
        <f>[81]Source!H196</f>
        <v>м2</v>
      </c>
      <c r="F299" s="87">
        <f>[81]Source!I196</f>
        <v>8.2824000000000009</v>
      </c>
      <c r="G299" s="88">
        <f>[81]Source!AK196</f>
        <v>198.81</v>
      </c>
      <c r="H299" s="123" t="s">
        <v>20</v>
      </c>
      <c r="I299" s="87">
        <f>[81]Source!AW197</f>
        <v>1</v>
      </c>
      <c r="J299" s="176">
        <f>[81]Source!O196</f>
        <v>1646.62</v>
      </c>
      <c r="K299" s="87">
        <f>IF([81]Source!BC197&lt;&gt; 0, [81]Source!BC197, 1)</f>
        <v>3.94</v>
      </c>
      <c r="L299" s="176">
        <f>[81]Source!O197</f>
        <v>6487.68</v>
      </c>
      <c r="Q299" s="47">
        <f>[81]Source!X196</f>
        <v>0</v>
      </c>
      <c r="R299" s="47">
        <f>[81]Source!X197</f>
        <v>0</v>
      </c>
      <c r="S299" s="47">
        <f>[81]Source!Y196</f>
        <v>0</v>
      </c>
      <c r="T299" s="47">
        <f>[81]Source!Y197</f>
        <v>0</v>
      </c>
      <c r="U299" s="47">
        <f>ROUND((175/100)*ROUND([81]Source!R196, 2), 2)</f>
        <v>0</v>
      </c>
      <c r="V299" s="47">
        <f>ROUND((157/100)*ROUND([81]Source!R197, 2), 2)</f>
        <v>0</v>
      </c>
    </row>
    <row r="300" spans="1:22" ht="14.25" x14ac:dyDescent="0.2">
      <c r="A300" s="84"/>
      <c r="B300" s="84"/>
      <c r="C300" s="85"/>
      <c r="D300" s="85" t="s">
        <v>47</v>
      </c>
      <c r="E300" s="86" t="s">
        <v>48</v>
      </c>
      <c r="F300" s="87">
        <f>[81]Source!DN191</f>
        <v>120</v>
      </c>
      <c r="G300" s="88"/>
      <c r="H300" s="89"/>
      <c r="I300" s="87"/>
      <c r="J300" s="176">
        <f>SUM(Q292:Q299)</f>
        <v>168.16</v>
      </c>
      <c r="K300" s="87">
        <f>[81]Source!BZ191</f>
        <v>87</v>
      </c>
      <c r="L300" s="176">
        <f>SUM(R292:R299)</f>
        <v>2882.02</v>
      </c>
    </row>
    <row r="301" spans="1:22" ht="14.25" x14ac:dyDescent="0.2">
      <c r="A301" s="84"/>
      <c r="B301" s="84"/>
      <c r="C301" s="85"/>
      <c r="D301" s="85" t="s">
        <v>49</v>
      </c>
      <c r="E301" s="86" t="s">
        <v>48</v>
      </c>
      <c r="F301" s="87">
        <f>[81]Source!DO191</f>
        <v>84</v>
      </c>
      <c r="G301" s="88"/>
      <c r="H301" s="89"/>
      <c r="I301" s="87"/>
      <c r="J301" s="176">
        <f>SUM(S292:S300)</f>
        <v>117.71</v>
      </c>
      <c r="K301" s="87">
        <f>[81]Source!CA191</f>
        <v>41</v>
      </c>
      <c r="L301" s="176">
        <f>SUM(T292:T300)</f>
        <v>1358.19</v>
      </c>
    </row>
    <row r="302" spans="1:22" ht="14.25" x14ac:dyDescent="0.2">
      <c r="A302" s="84"/>
      <c r="B302" s="84"/>
      <c r="C302" s="85"/>
      <c r="D302" s="85" t="s">
        <v>50</v>
      </c>
      <c r="E302" s="86" t="s">
        <v>48</v>
      </c>
      <c r="F302" s="87">
        <f>175</f>
        <v>175</v>
      </c>
      <c r="G302" s="88"/>
      <c r="H302" s="89"/>
      <c r="I302" s="87"/>
      <c r="J302" s="176">
        <f>SUM(U292:U301)-J309</f>
        <v>1.88</v>
      </c>
      <c r="K302" s="87">
        <f>157</f>
        <v>157</v>
      </c>
      <c r="L302" s="176">
        <f>SUM(V292:V301)-L309</f>
        <v>39.729999999999997</v>
      </c>
    </row>
    <row r="303" spans="1:22" ht="14.25" x14ac:dyDescent="0.2">
      <c r="A303" s="183"/>
      <c r="B303" s="183"/>
      <c r="C303" s="184"/>
      <c r="D303" s="184" t="s">
        <v>51</v>
      </c>
      <c r="E303" s="185" t="s">
        <v>52</v>
      </c>
      <c r="F303" s="186">
        <f>[81]Source!AQ190</f>
        <v>84.08</v>
      </c>
      <c r="G303" s="187"/>
      <c r="H303" s="188" t="str">
        <f>[81]Source!DI190</f>
        <v/>
      </c>
      <c r="I303" s="186">
        <f>[81]Source!AV191</f>
        <v>1.0469999999999999</v>
      </c>
      <c r="J303" s="189">
        <f>[81]Source!U190</f>
        <v>7.15</v>
      </c>
      <c r="K303" s="186"/>
      <c r="L303" s="189"/>
    </row>
    <row r="304" spans="1:22" ht="15" x14ac:dyDescent="0.25">
      <c r="D304" s="194" t="s">
        <v>81</v>
      </c>
      <c r="I304" s="408">
        <f>J293+J294+J296+J300+J301+J302+SUM(J297:J299)</f>
        <v>2428.9699999999998</v>
      </c>
      <c r="J304" s="408"/>
      <c r="K304" s="408">
        <f>L293+L294+L296+L300+L301+L302+SUM(L297:L299)</f>
        <v>14710.43</v>
      </c>
      <c r="L304" s="408"/>
      <c r="O304" s="92">
        <f>J293+J294+J296+J300+J301+J302+SUM(J297:J299)</f>
        <v>2428.9699999999998</v>
      </c>
      <c r="P304" s="92">
        <f>L293+L294+L296+L300+L301+L302+SUM(L297:L299)</f>
        <v>14710.43</v>
      </c>
    </row>
    <row r="306" spans="1:16" ht="79.5" x14ac:dyDescent="0.2">
      <c r="A306" s="84">
        <v>46</v>
      </c>
      <c r="B306" s="84" t="str">
        <f>CONCATENATE([81]Source!E190, "/1")</f>
        <v>7/1</v>
      </c>
      <c r="C306" s="85" t="s">
        <v>202</v>
      </c>
      <c r="D306" s="85" t="s">
        <v>82</v>
      </c>
      <c r="E306" s="86" t="str">
        <f>[81]Source!H190</f>
        <v>100 м2 пола</v>
      </c>
      <c r="F306" s="87">
        <f>[81]Source!I190</f>
        <v>8.1199999999999994E-2</v>
      </c>
      <c r="G306" s="88"/>
      <c r="H306" s="89"/>
      <c r="I306" s="87"/>
      <c r="J306" s="176"/>
      <c r="K306" s="87"/>
      <c r="L306" s="176"/>
    </row>
    <row r="307" spans="1:16" ht="14.25" x14ac:dyDescent="0.2">
      <c r="A307" s="84"/>
      <c r="B307" s="84"/>
      <c r="C307" s="85"/>
      <c r="D307" s="85" t="s">
        <v>44</v>
      </c>
      <c r="E307" s="86"/>
      <c r="F307" s="87"/>
      <c r="G307" s="88">
        <f t="shared" ref="G307:L307" si="13">G308</f>
        <v>12.51</v>
      </c>
      <c r="H307" s="195" t="str">
        <f t="shared" si="13"/>
        <v>)*(1.67-1)</v>
      </c>
      <c r="I307" s="87">
        <f t="shared" si="13"/>
        <v>1.0469999999999999</v>
      </c>
      <c r="J307" s="176">
        <f t="shared" si="13"/>
        <v>0.71</v>
      </c>
      <c r="K307" s="87">
        <f t="shared" si="13"/>
        <v>23.64</v>
      </c>
      <c r="L307" s="176">
        <f t="shared" si="13"/>
        <v>16.78</v>
      </c>
    </row>
    <row r="308" spans="1:16" ht="14.25" x14ac:dyDescent="0.2">
      <c r="A308" s="84"/>
      <c r="B308" s="84"/>
      <c r="C308" s="85"/>
      <c r="D308" s="85" t="s">
        <v>45</v>
      </c>
      <c r="E308" s="86"/>
      <c r="F308" s="87"/>
      <c r="G308" s="88">
        <f>[81]Source!AN190</f>
        <v>12.51</v>
      </c>
      <c r="H308" s="195" t="s">
        <v>53</v>
      </c>
      <c r="I308" s="87">
        <f>[81]Source!AV191</f>
        <v>1.0469999999999999</v>
      </c>
      <c r="J308" s="90">
        <f>ROUND(F292*G308*I308*(1.67-1), 2)</f>
        <v>0.71</v>
      </c>
      <c r="K308" s="87">
        <f>IF([81]Source!BS191&lt;&gt; 0, [81]Source!BS191, 1)</f>
        <v>23.64</v>
      </c>
      <c r="L308" s="90">
        <f>ROUND(ROUND(F292*G308*I308*(1.67-1), 2)*K308, 2)</f>
        <v>16.78</v>
      </c>
    </row>
    <row r="309" spans="1:16" ht="14.25" x14ac:dyDescent="0.2">
      <c r="A309" s="84"/>
      <c r="B309" s="84"/>
      <c r="C309" s="85"/>
      <c r="D309" s="85" t="s">
        <v>50</v>
      </c>
      <c r="E309" s="86" t="s">
        <v>48</v>
      </c>
      <c r="F309" s="87">
        <f>175</f>
        <v>175</v>
      </c>
      <c r="G309" s="88"/>
      <c r="H309" s="89"/>
      <c r="I309" s="87"/>
      <c r="J309" s="176">
        <f>ROUND(J308*(F309/100), 2)</f>
        <v>1.24</v>
      </c>
      <c r="K309" s="87">
        <f>157</f>
        <v>157</v>
      </c>
      <c r="L309" s="176">
        <f>ROUND(L308*(K309/100), 2)</f>
        <v>26.34</v>
      </c>
    </row>
    <row r="310" spans="1:16" ht="15" x14ac:dyDescent="0.25">
      <c r="A310" s="190"/>
      <c r="B310" s="190"/>
      <c r="C310" s="190"/>
      <c r="D310" s="191" t="s">
        <v>81</v>
      </c>
      <c r="E310" s="190"/>
      <c r="F310" s="190"/>
      <c r="G310" s="190"/>
      <c r="H310" s="190"/>
      <c r="I310" s="409">
        <f>J309+J308</f>
        <v>1.95</v>
      </c>
      <c r="J310" s="409"/>
      <c r="K310" s="409">
        <f>L309+L308</f>
        <v>43.12</v>
      </c>
      <c r="L310" s="409"/>
      <c r="O310" s="92">
        <f>I310</f>
        <v>1.95</v>
      </c>
      <c r="P310" s="92">
        <f>K310</f>
        <v>43.12</v>
      </c>
    </row>
    <row r="313" spans="1:16" ht="15" x14ac:dyDescent="0.25">
      <c r="A313" s="403" t="str">
        <f>CONCATENATE("Итого по подразделу: ",IF([81]Source!G199&lt;&gt;"Новый подраздел", [81]Source!G199, ""))</f>
        <v>Итого по подразделу: Тип Т02*</v>
      </c>
      <c r="B313" s="403"/>
      <c r="C313" s="403"/>
      <c r="D313" s="403"/>
      <c r="E313" s="403"/>
      <c r="F313" s="403"/>
      <c r="G313" s="403"/>
      <c r="H313" s="403"/>
      <c r="I313" s="404">
        <f>SUM(O184:O312)</f>
        <v>5870.4</v>
      </c>
      <c r="J313" s="405"/>
      <c r="K313" s="404">
        <f>SUM(P184:P312)</f>
        <v>35671.279999999999</v>
      </c>
      <c r="L313" s="405"/>
    </row>
    <row r="314" spans="1:16" hidden="1" x14ac:dyDescent="0.2">
      <c r="A314" s="47" t="s">
        <v>54</v>
      </c>
      <c r="J314" s="47">
        <f>SUM(W184:W313)</f>
        <v>0</v>
      </c>
      <c r="K314" s="47">
        <f>SUM(X184:X313)</f>
        <v>0</v>
      </c>
    </row>
    <row r="315" spans="1:16" hidden="1" x14ac:dyDescent="0.2">
      <c r="A315" s="47" t="s">
        <v>55</v>
      </c>
      <c r="J315" s="47">
        <f>SUM(Y184:Y314)</f>
        <v>0</v>
      </c>
      <c r="K315" s="47">
        <f>SUM(Z184:Z314)</f>
        <v>0</v>
      </c>
    </row>
    <row r="316" spans="1:16" hidden="1" x14ac:dyDescent="0.2"/>
    <row r="317" spans="1:16" ht="16.5" hidden="1" x14ac:dyDescent="0.25">
      <c r="A317" s="402" t="str">
        <f>CONCATENATE("Подраздел: ",IF([81]Source!G229&lt;&gt;"Новый подраздел", [81]Source!G229, ""))</f>
        <v>Подраздел: Тип Т02п</v>
      </c>
      <c r="B317" s="402"/>
      <c r="C317" s="402"/>
      <c r="D317" s="402"/>
      <c r="E317" s="402"/>
      <c r="F317" s="402"/>
      <c r="G317" s="402"/>
      <c r="H317" s="402"/>
      <c r="I317" s="402"/>
      <c r="J317" s="402"/>
      <c r="K317" s="402"/>
      <c r="L317" s="402"/>
    </row>
    <row r="318" spans="1:16" hidden="1" x14ac:dyDescent="0.2"/>
    <row r="319" spans="1:16" ht="15" hidden="1" x14ac:dyDescent="0.25">
      <c r="A319" s="403" t="str">
        <f>CONCATENATE("Итого по подразделу: ",IF([81]Source!G266&lt;&gt;"Новый подраздел", [81]Source!G266, ""))</f>
        <v>Итого по подразделу: Тип Т02п</v>
      </c>
      <c r="B319" s="403"/>
      <c r="C319" s="403"/>
      <c r="D319" s="403"/>
      <c r="E319" s="403"/>
      <c r="F319" s="403"/>
      <c r="G319" s="403"/>
      <c r="H319" s="403"/>
      <c r="I319" s="404">
        <f>SUM(O317:O318)</f>
        <v>0</v>
      </c>
      <c r="J319" s="405"/>
      <c r="K319" s="404">
        <f>SUM(P317:P318)</f>
        <v>0</v>
      </c>
      <c r="L319" s="405"/>
    </row>
    <row r="320" spans="1:16" hidden="1" x14ac:dyDescent="0.2">
      <c r="A320" s="47" t="s">
        <v>54</v>
      </c>
      <c r="J320" s="47">
        <f>SUM(W317:W319)</f>
        <v>0</v>
      </c>
      <c r="K320" s="47">
        <f>SUM(X317:X319)</f>
        <v>0</v>
      </c>
    </row>
    <row r="321" spans="1:22" hidden="1" x14ac:dyDescent="0.2">
      <c r="A321" s="47" t="s">
        <v>55</v>
      </c>
      <c r="J321" s="47">
        <f>SUM(Y317:Y320)</f>
        <v>0</v>
      </c>
      <c r="K321" s="47">
        <f>SUM(Z317:Z320)</f>
        <v>0</v>
      </c>
    </row>
    <row r="322" spans="1:22" hidden="1" x14ac:dyDescent="0.2"/>
    <row r="323" spans="1:22" ht="16.5" hidden="1" x14ac:dyDescent="0.25">
      <c r="A323" s="402" t="str">
        <f>CONCATENATE("Подраздел: ",IF([81]Source!G296&lt;&gt;"Новый подраздел", [81]Source!G296, ""))</f>
        <v>Подраздел: Тип Т03</v>
      </c>
      <c r="B323" s="402"/>
      <c r="C323" s="402"/>
      <c r="D323" s="402"/>
      <c r="E323" s="402"/>
      <c r="F323" s="402"/>
      <c r="G323" s="402"/>
      <c r="H323" s="402"/>
      <c r="I323" s="402"/>
      <c r="J323" s="402"/>
      <c r="K323" s="402"/>
      <c r="L323" s="402"/>
    </row>
    <row r="324" spans="1:22" hidden="1" x14ac:dyDescent="0.2"/>
    <row r="325" spans="1:22" ht="15" hidden="1" x14ac:dyDescent="0.25">
      <c r="A325" s="403" t="str">
        <f>CONCATENATE("Итого по подразделу: ",IF([81]Source!G325&lt;&gt;"Новый подраздел", [81]Source!G325, ""))</f>
        <v>Итого по подразделу: Тип Т03</v>
      </c>
      <c r="B325" s="403"/>
      <c r="C325" s="403"/>
      <c r="D325" s="403"/>
      <c r="E325" s="403"/>
      <c r="F325" s="403"/>
      <c r="G325" s="403"/>
      <c r="H325" s="403"/>
      <c r="I325" s="404">
        <f>SUM(O323:O324)</f>
        <v>0</v>
      </c>
      <c r="J325" s="405"/>
      <c r="K325" s="404">
        <f>SUM(P323:P324)</f>
        <v>0</v>
      </c>
      <c r="L325" s="405"/>
    </row>
    <row r="326" spans="1:22" hidden="1" x14ac:dyDescent="0.2">
      <c r="A326" s="47" t="s">
        <v>54</v>
      </c>
      <c r="J326" s="47">
        <f>SUM(W323:W325)</f>
        <v>0</v>
      </c>
      <c r="K326" s="47">
        <f>SUM(X323:X325)</f>
        <v>0</v>
      </c>
    </row>
    <row r="327" spans="1:22" hidden="1" x14ac:dyDescent="0.2">
      <c r="A327" s="47" t="s">
        <v>55</v>
      </c>
      <c r="J327" s="47">
        <f>SUM(Y323:Y326)</f>
        <v>0</v>
      </c>
      <c r="K327" s="47">
        <f>SUM(Z323:Z326)</f>
        <v>0</v>
      </c>
    </row>
    <row r="328" spans="1:22" hidden="1" x14ac:dyDescent="0.2"/>
    <row r="329" spans="1:22" ht="16.5" hidden="1" x14ac:dyDescent="0.25">
      <c r="A329" s="402" t="str">
        <f>CONCATENATE("Подраздел: ",IF([81]Source!G355&lt;&gt;"Новый подраздел", [81]Source!G355, ""))</f>
        <v>Подраздел: Тип Т04</v>
      </c>
      <c r="B329" s="402"/>
      <c r="C329" s="402"/>
      <c r="D329" s="402"/>
      <c r="E329" s="402"/>
      <c r="F329" s="402"/>
      <c r="G329" s="402"/>
      <c r="H329" s="402"/>
      <c r="I329" s="402"/>
      <c r="J329" s="402"/>
      <c r="K329" s="402"/>
      <c r="L329" s="402"/>
    </row>
    <row r="330" spans="1:22" hidden="1" x14ac:dyDescent="0.2"/>
    <row r="331" spans="1:22" ht="15" hidden="1" x14ac:dyDescent="0.25">
      <c r="A331" s="403" t="str">
        <f>CONCATENATE("Итого по подразделу: ",IF([81]Source!G384&lt;&gt;"Новый подраздел", [81]Source!G384, ""))</f>
        <v>Итого по подразделу: Тип Т04</v>
      </c>
      <c r="B331" s="403"/>
      <c r="C331" s="403"/>
      <c r="D331" s="403"/>
      <c r="E331" s="403"/>
      <c r="F331" s="403"/>
      <c r="G331" s="403"/>
      <c r="H331" s="403"/>
      <c r="I331" s="404">
        <f>SUM(O329:O330)</f>
        <v>0</v>
      </c>
      <c r="J331" s="405"/>
      <c r="K331" s="404">
        <f>SUM(P329:P330)</f>
        <v>0</v>
      </c>
      <c r="L331" s="405"/>
    </row>
    <row r="332" spans="1:22" hidden="1" x14ac:dyDescent="0.2">
      <c r="A332" s="47" t="s">
        <v>54</v>
      </c>
      <c r="J332" s="47">
        <f>SUM(W329:W331)</f>
        <v>0</v>
      </c>
      <c r="K332" s="47">
        <f>SUM(X329:X331)</f>
        <v>0</v>
      </c>
    </row>
    <row r="333" spans="1:22" hidden="1" x14ac:dyDescent="0.2">
      <c r="A333" s="47" t="s">
        <v>55</v>
      </c>
      <c r="J333" s="47">
        <f>SUM(Y329:Y332)</f>
        <v>0</v>
      </c>
      <c r="K333" s="47">
        <f>SUM(Z329:Z332)</f>
        <v>0</v>
      </c>
    </row>
    <row r="335" spans="1:22" ht="16.5" x14ac:dyDescent="0.25">
      <c r="A335" s="402" t="str">
        <f>CONCATENATE("Подраздел: ",IF([81]Source!G414&lt;&gt;"Новый подраздел", [81]Source!G414, ""))</f>
        <v>Подраздел: Тип Т04*</v>
      </c>
      <c r="B335" s="402"/>
      <c r="C335" s="402"/>
      <c r="D335" s="402"/>
      <c r="E335" s="402"/>
      <c r="F335" s="402"/>
      <c r="G335" s="402"/>
      <c r="H335" s="402"/>
      <c r="I335" s="402"/>
      <c r="J335" s="402"/>
      <c r="K335" s="402"/>
      <c r="L335" s="402"/>
    </row>
    <row r="336" spans="1:22" ht="65.25" x14ac:dyDescent="0.2">
      <c r="A336" s="84">
        <v>47</v>
      </c>
      <c r="B336" s="84" t="str">
        <f>[81]Source!E418</f>
        <v>1</v>
      </c>
      <c r="C336" s="85" t="s">
        <v>181</v>
      </c>
      <c r="D336" s="85" t="s">
        <v>182</v>
      </c>
      <c r="E336" s="86" t="str">
        <f>[81]Source!H418</f>
        <v>100 м3 в деле</v>
      </c>
      <c r="F336" s="87">
        <f>[81]Source!I418</f>
        <v>4.1999999999999997E-3</v>
      </c>
      <c r="G336" s="88"/>
      <c r="H336" s="89"/>
      <c r="I336" s="87"/>
      <c r="J336" s="176"/>
      <c r="K336" s="87"/>
      <c r="L336" s="176"/>
      <c r="Q336" s="47">
        <f>[81]Source!X418</f>
        <v>9.93</v>
      </c>
      <c r="R336" s="47">
        <f>[81]Source!X419</f>
        <v>220.31</v>
      </c>
      <c r="S336" s="47">
        <f>[81]Source!Y418</f>
        <v>7.09</v>
      </c>
      <c r="T336" s="47">
        <f>[81]Source!Y419</f>
        <v>155.66</v>
      </c>
      <c r="U336" s="47">
        <f>ROUND((175/100)*ROUND([81]Source!R418, 2), 2)</f>
        <v>0.04</v>
      </c>
      <c r="V336" s="47">
        <f>ROUND((157/100)*ROUND([81]Source!R419, 2), 2)</f>
        <v>0.74</v>
      </c>
    </row>
    <row r="337" spans="1:22" ht="14.25" x14ac:dyDescent="0.2">
      <c r="A337" s="84"/>
      <c r="B337" s="84"/>
      <c r="C337" s="85"/>
      <c r="D337" s="85" t="s">
        <v>43</v>
      </c>
      <c r="E337" s="86"/>
      <c r="F337" s="87"/>
      <c r="G337" s="88">
        <f>[81]Source!AO418</f>
        <v>1379.7</v>
      </c>
      <c r="H337" s="89" t="str">
        <f>[81]Source!DG418</f>
        <v>)*1,67</v>
      </c>
      <c r="I337" s="87">
        <f>[81]Source!AV419</f>
        <v>1.0469999999999999</v>
      </c>
      <c r="J337" s="176">
        <f>[81]Source!S418</f>
        <v>10.130000000000001</v>
      </c>
      <c r="K337" s="87">
        <f>IF([81]Source!BA419&lt;&gt; 0, [81]Source!BA419, 1)</f>
        <v>23.64</v>
      </c>
      <c r="L337" s="176">
        <f>[81]Source!S419</f>
        <v>239.47</v>
      </c>
    </row>
    <row r="338" spans="1:22" ht="14.25" x14ac:dyDescent="0.2">
      <c r="A338" s="84"/>
      <c r="B338" s="84"/>
      <c r="C338" s="85"/>
      <c r="D338" s="85" t="s">
        <v>44</v>
      </c>
      <c r="E338" s="86"/>
      <c r="F338" s="87"/>
      <c r="G338" s="88">
        <f>[81]Source!AM418</f>
        <v>22.6</v>
      </c>
      <c r="H338" s="89" t="str">
        <f>[81]Source!DE418</f>
        <v/>
      </c>
      <c r="I338" s="87">
        <f>[81]Source!AV419</f>
        <v>1.0469999999999999</v>
      </c>
      <c r="J338" s="176">
        <f>[81]Source!Q418-J349</f>
        <v>0.1</v>
      </c>
      <c r="K338" s="87">
        <f>IF([81]Source!BB419&lt;&gt; 0, [81]Source!BB419, 1)</f>
        <v>5.54</v>
      </c>
      <c r="L338" s="176">
        <f>[81]Source!Q419-L349</f>
        <v>0.55000000000000004</v>
      </c>
    </row>
    <row r="339" spans="1:22" ht="14.25" x14ac:dyDescent="0.2">
      <c r="A339" s="84"/>
      <c r="B339" s="84"/>
      <c r="C339" s="85"/>
      <c r="D339" s="85" t="s">
        <v>45</v>
      </c>
      <c r="E339" s="86"/>
      <c r="F339" s="87"/>
      <c r="G339" s="88">
        <f>[81]Source!AN418</f>
        <v>2.09</v>
      </c>
      <c r="H339" s="89" t="str">
        <f>[81]Source!DE418</f>
        <v/>
      </c>
      <c r="I339" s="87">
        <f>[81]Source!AV419</f>
        <v>1.0469999999999999</v>
      </c>
      <c r="J339" s="90">
        <f>[81]Source!R418-J350</f>
        <v>0.01</v>
      </c>
      <c r="K339" s="87">
        <f>IF([81]Source!BS419&lt;&gt; 0, [81]Source!BS419, 1)</f>
        <v>23.64</v>
      </c>
      <c r="L339" s="90">
        <f>[81]Source!R419-L350</f>
        <v>0.23</v>
      </c>
    </row>
    <row r="340" spans="1:22" ht="14.25" x14ac:dyDescent="0.2">
      <c r="A340" s="84"/>
      <c r="B340" s="84"/>
      <c r="C340" s="85"/>
      <c r="D340" s="85" t="s">
        <v>46</v>
      </c>
      <c r="E340" s="86"/>
      <c r="F340" s="87"/>
      <c r="G340" s="88">
        <f>[81]Source!AL418</f>
        <v>1859.87</v>
      </c>
      <c r="H340" s="89" t="str">
        <f>[81]Source!DD418</f>
        <v/>
      </c>
      <c r="I340" s="87">
        <f>[81]Source!AW419</f>
        <v>1.022</v>
      </c>
      <c r="J340" s="176">
        <f>[81]Source!P418</f>
        <v>7.98</v>
      </c>
      <c r="K340" s="87">
        <f>IF([81]Source!BC419&lt;&gt; 0, [81]Source!BC419, 1)</f>
        <v>2.95</v>
      </c>
      <c r="L340" s="176">
        <f>[81]Source!P419</f>
        <v>23.54</v>
      </c>
    </row>
    <row r="341" spans="1:22" ht="42.75" x14ac:dyDescent="0.2">
      <c r="A341" s="84">
        <v>48</v>
      </c>
      <c r="B341" s="84" t="str">
        <f>[81]Source!E420</f>
        <v>1,1</v>
      </c>
      <c r="C341" s="85" t="str">
        <f>[81]Source!F420</f>
        <v>1.3-1-34</v>
      </c>
      <c r="D341" s="85" t="s">
        <v>264</v>
      </c>
      <c r="E341" s="86" t="str">
        <f>[81]Source!H420</f>
        <v>м3</v>
      </c>
      <c r="F341" s="87">
        <f>[81]Source!I420</f>
        <v>0.4284</v>
      </c>
      <c r="G341" s="88">
        <f>[81]Source!AK420</f>
        <v>514.9</v>
      </c>
      <c r="H341" s="123" t="s">
        <v>20</v>
      </c>
      <c r="I341" s="87">
        <f>[81]Source!AW421</f>
        <v>1.022</v>
      </c>
      <c r="J341" s="176">
        <f>[81]Source!O420</f>
        <v>225.44</v>
      </c>
      <c r="K341" s="87">
        <f>IF([81]Source!BC421&lt;&gt; 0, [81]Source!BC421, 1)</f>
        <v>7.74</v>
      </c>
      <c r="L341" s="176">
        <f>[81]Source!O421</f>
        <v>1744.91</v>
      </c>
      <c r="Q341" s="47">
        <f>[81]Source!X420</f>
        <v>0</v>
      </c>
      <c r="R341" s="47">
        <f>[81]Source!X421</f>
        <v>0</v>
      </c>
      <c r="S341" s="47">
        <f>[81]Source!Y420</f>
        <v>0</v>
      </c>
      <c r="T341" s="47">
        <f>[81]Source!Y421</f>
        <v>0</v>
      </c>
      <c r="U341" s="47">
        <f>ROUND((175/100)*ROUND([81]Source!R420, 2), 2)</f>
        <v>0</v>
      </c>
      <c r="V341" s="47">
        <f>ROUND((157/100)*ROUND([81]Source!R421, 2), 2)</f>
        <v>0</v>
      </c>
    </row>
    <row r="342" spans="1:22" ht="14.25" x14ac:dyDescent="0.2">
      <c r="A342" s="84"/>
      <c r="B342" s="84"/>
      <c r="C342" s="85"/>
      <c r="D342" s="85" t="s">
        <v>47</v>
      </c>
      <c r="E342" s="86" t="s">
        <v>48</v>
      </c>
      <c r="F342" s="87">
        <f>[81]Source!DN419</f>
        <v>98</v>
      </c>
      <c r="G342" s="88"/>
      <c r="H342" s="89"/>
      <c r="I342" s="87"/>
      <c r="J342" s="176">
        <f>SUM(Q336:Q341)</f>
        <v>9.93</v>
      </c>
      <c r="K342" s="87">
        <f>[81]Source!BZ419</f>
        <v>92</v>
      </c>
      <c r="L342" s="176">
        <f>SUM(R336:R341)</f>
        <v>220.31</v>
      </c>
    </row>
    <row r="343" spans="1:22" ht="14.25" x14ac:dyDescent="0.2">
      <c r="A343" s="84"/>
      <c r="B343" s="84"/>
      <c r="C343" s="85"/>
      <c r="D343" s="85" t="s">
        <v>49</v>
      </c>
      <c r="E343" s="86" t="s">
        <v>48</v>
      </c>
      <c r="F343" s="87">
        <f>[81]Source!DO419</f>
        <v>70</v>
      </c>
      <c r="G343" s="88"/>
      <c r="H343" s="89"/>
      <c r="I343" s="87"/>
      <c r="J343" s="176">
        <f>SUM(S336:S342)</f>
        <v>7.09</v>
      </c>
      <c r="K343" s="87">
        <f>[81]Source!CA419</f>
        <v>65</v>
      </c>
      <c r="L343" s="176">
        <f>SUM(T336:T342)</f>
        <v>155.66</v>
      </c>
    </row>
    <row r="344" spans="1:22" ht="14.25" x14ac:dyDescent="0.2">
      <c r="A344" s="84"/>
      <c r="B344" s="84"/>
      <c r="C344" s="85"/>
      <c r="D344" s="85" t="s">
        <v>50</v>
      </c>
      <c r="E344" s="86" t="s">
        <v>48</v>
      </c>
      <c r="F344" s="87">
        <f>175</f>
        <v>175</v>
      </c>
      <c r="G344" s="88"/>
      <c r="H344" s="89"/>
      <c r="I344" s="87"/>
      <c r="J344" s="176">
        <f>SUM(U336:U343)-J351</f>
        <v>0.02</v>
      </c>
      <c r="K344" s="87">
        <f>157</f>
        <v>157</v>
      </c>
      <c r="L344" s="176">
        <f>SUM(V336:V343)-L351</f>
        <v>0.36</v>
      </c>
    </row>
    <row r="345" spans="1:22" ht="14.25" x14ac:dyDescent="0.2">
      <c r="A345" s="183"/>
      <c r="B345" s="183"/>
      <c r="C345" s="184"/>
      <c r="D345" s="184" t="s">
        <v>51</v>
      </c>
      <c r="E345" s="185" t="s">
        <v>52</v>
      </c>
      <c r="F345" s="186">
        <f>[81]Source!AQ418</f>
        <v>135</v>
      </c>
      <c r="G345" s="187"/>
      <c r="H345" s="188" t="str">
        <f>[81]Source!DI418</f>
        <v/>
      </c>
      <c r="I345" s="186">
        <f>[81]Source!AV419</f>
        <v>1.0469999999999999</v>
      </c>
      <c r="J345" s="189">
        <f>[81]Source!U418</f>
        <v>0.59</v>
      </c>
      <c r="K345" s="186"/>
      <c r="L345" s="189"/>
    </row>
    <row r="346" spans="1:22" ht="15" x14ac:dyDescent="0.25">
      <c r="D346" s="194" t="s">
        <v>81</v>
      </c>
      <c r="I346" s="408">
        <f>J337+J338+J340+J342+J343+J344+SUM(J341:J341)</f>
        <v>260.69</v>
      </c>
      <c r="J346" s="408"/>
      <c r="K346" s="408">
        <f>L337+L338+L340+L342+L343+L344+SUM(L341:L341)</f>
        <v>2384.8000000000002</v>
      </c>
      <c r="L346" s="408"/>
      <c r="O346" s="92">
        <f>J337+J338+J340+J342+J343+J344+SUM(J341:J341)</f>
        <v>260.69</v>
      </c>
      <c r="P346" s="92">
        <f>L337+L338+L340+L342+L343+L344+SUM(L341:L341)</f>
        <v>2384.8000000000002</v>
      </c>
    </row>
    <row r="348" spans="1:22" ht="65.25" x14ac:dyDescent="0.2">
      <c r="A348" s="84">
        <v>49</v>
      </c>
      <c r="B348" s="84" t="str">
        <f>CONCATENATE([81]Source!E418, "/1")</f>
        <v>1/1</v>
      </c>
      <c r="C348" s="85" t="s">
        <v>184</v>
      </c>
      <c r="D348" s="85" t="s">
        <v>82</v>
      </c>
      <c r="E348" s="86" t="str">
        <f>[81]Source!H418</f>
        <v>100 м3 в деле</v>
      </c>
      <c r="F348" s="87">
        <f>[81]Source!I418</f>
        <v>4.1999999999999997E-3</v>
      </c>
      <c r="G348" s="88"/>
      <c r="H348" s="89"/>
      <c r="I348" s="87"/>
      <c r="J348" s="176"/>
      <c r="K348" s="87"/>
      <c r="L348" s="176"/>
    </row>
    <row r="349" spans="1:22" ht="14.25" x14ac:dyDescent="0.2">
      <c r="A349" s="84"/>
      <c r="B349" s="84"/>
      <c r="C349" s="85"/>
      <c r="D349" s="85" t="s">
        <v>44</v>
      </c>
      <c r="E349" s="86"/>
      <c r="F349" s="87"/>
      <c r="G349" s="88">
        <f t="shared" ref="G349:L349" si="14">G350</f>
        <v>2.09</v>
      </c>
      <c r="H349" s="195" t="str">
        <f t="shared" si="14"/>
        <v>)*(1.67-1)</v>
      </c>
      <c r="I349" s="87">
        <f t="shared" si="14"/>
        <v>1.0469999999999999</v>
      </c>
      <c r="J349" s="176">
        <f t="shared" si="14"/>
        <v>0.01</v>
      </c>
      <c r="K349" s="87">
        <f t="shared" si="14"/>
        <v>23.64</v>
      </c>
      <c r="L349" s="176">
        <f t="shared" si="14"/>
        <v>0.24</v>
      </c>
    </row>
    <row r="350" spans="1:22" ht="14.25" x14ac:dyDescent="0.2">
      <c r="A350" s="84"/>
      <c r="B350" s="84"/>
      <c r="C350" s="85"/>
      <c r="D350" s="85" t="s">
        <v>45</v>
      </c>
      <c r="E350" s="86"/>
      <c r="F350" s="87"/>
      <c r="G350" s="88">
        <f>[81]Source!AN418</f>
        <v>2.09</v>
      </c>
      <c r="H350" s="195" t="s">
        <v>53</v>
      </c>
      <c r="I350" s="87">
        <f>[81]Source!AV419</f>
        <v>1.0469999999999999</v>
      </c>
      <c r="J350" s="90">
        <f>ROUND(F336*G350*I350*(1.67-1), 2)</f>
        <v>0.01</v>
      </c>
      <c r="K350" s="87">
        <f>IF([81]Source!BS419&lt;&gt; 0, [81]Source!BS419, 1)</f>
        <v>23.64</v>
      </c>
      <c r="L350" s="90">
        <f>ROUND(ROUND(F336*G350*I350*(1.67-1), 2)*K350, 2)</f>
        <v>0.24</v>
      </c>
    </row>
    <row r="351" spans="1:22" ht="14.25" x14ac:dyDescent="0.2">
      <c r="A351" s="84"/>
      <c r="B351" s="84"/>
      <c r="C351" s="85"/>
      <c r="D351" s="85" t="s">
        <v>50</v>
      </c>
      <c r="E351" s="86" t="s">
        <v>48</v>
      </c>
      <c r="F351" s="87">
        <f>175</f>
        <v>175</v>
      </c>
      <c r="G351" s="88"/>
      <c r="H351" s="89"/>
      <c r="I351" s="87"/>
      <c r="J351" s="176">
        <f>ROUND(J350*(F351/100), 2)</f>
        <v>0.02</v>
      </c>
      <c r="K351" s="87">
        <f>157</f>
        <v>157</v>
      </c>
      <c r="L351" s="176">
        <f>ROUND(L350*(K351/100), 2)</f>
        <v>0.38</v>
      </c>
    </row>
    <row r="352" spans="1:22" ht="15" x14ac:dyDescent="0.25">
      <c r="A352" s="190"/>
      <c r="B352" s="190"/>
      <c r="C352" s="190"/>
      <c r="D352" s="191" t="s">
        <v>81</v>
      </c>
      <c r="E352" s="190"/>
      <c r="F352" s="190"/>
      <c r="G352" s="190"/>
      <c r="H352" s="190"/>
      <c r="I352" s="409">
        <f>J351+J350</f>
        <v>0.03</v>
      </c>
      <c r="J352" s="409"/>
      <c r="K352" s="409">
        <f>L351+L350</f>
        <v>0.62</v>
      </c>
      <c r="L352" s="409"/>
      <c r="O352" s="92">
        <f>I352</f>
        <v>0.03</v>
      </c>
      <c r="P352" s="92">
        <f>K352</f>
        <v>0.62</v>
      </c>
    </row>
    <row r="354" spans="1:22" ht="65.25" x14ac:dyDescent="0.2">
      <c r="A354" s="84">
        <v>50</v>
      </c>
      <c r="B354" s="84" t="str">
        <f>[81]Source!E422</f>
        <v>2</v>
      </c>
      <c r="C354" s="85" t="s">
        <v>198</v>
      </c>
      <c r="D354" s="85" t="s">
        <v>199</v>
      </c>
      <c r="E354" s="86" t="str">
        <f>[81]Source!H422</f>
        <v>1 Т</v>
      </c>
      <c r="F354" s="87">
        <f>[81]Source!I422</f>
        <v>2.5999999999999999E-2</v>
      </c>
      <c r="G354" s="88"/>
      <c r="H354" s="89"/>
      <c r="I354" s="87"/>
      <c r="J354" s="176"/>
      <c r="K354" s="87"/>
      <c r="L354" s="176"/>
      <c r="Q354" s="47">
        <f>[81]Source!X422</f>
        <v>6</v>
      </c>
      <c r="R354" s="47">
        <f>[81]Source!X423</f>
        <v>133.11000000000001</v>
      </c>
      <c r="S354" s="47">
        <f>[81]Source!Y422</f>
        <v>4.28</v>
      </c>
      <c r="T354" s="47">
        <f>[81]Source!Y423</f>
        <v>94.04</v>
      </c>
      <c r="U354" s="47">
        <f>ROUND((175/100)*ROUND([81]Source!R422, 2), 2)</f>
        <v>0.44</v>
      </c>
      <c r="V354" s="47">
        <f>ROUND((157/100)*ROUND([81]Source!R423, 2), 2)</f>
        <v>9.2799999999999994</v>
      </c>
    </row>
    <row r="355" spans="1:22" ht="14.25" x14ac:dyDescent="0.2">
      <c r="A355" s="84"/>
      <c r="B355" s="84"/>
      <c r="C355" s="85"/>
      <c r="D355" s="85" t="s">
        <v>43</v>
      </c>
      <c r="E355" s="86"/>
      <c r="F355" s="87"/>
      <c r="G355" s="88">
        <f>[81]Source!AO422</f>
        <v>134.68</v>
      </c>
      <c r="H355" s="89" t="str">
        <f>[81]Source!DG422</f>
        <v>)*1,67</v>
      </c>
      <c r="I355" s="87">
        <f>[81]Source!AV423</f>
        <v>1.0469999999999999</v>
      </c>
      <c r="J355" s="176">
        <f>[81]Source!S422</f>
        <v>6.12</v>
      </c>
      <c r="K355" s="87">
        <f>IF([81]Source!BA423&lt;&gt; 0, [81]Source!BA423, 1)</f>
        <v>23.64</v>
      </c>
      <c r="L355" s="176">
        <f>[81]Source!S423</f>
        <v>144.68</v>
      </c>
    </row>
    <row r="356" spans="1:22" ht="14.25" x14ac:dyDescent="0.2">
      <c r="A356" s="84"/>
      <c r="B356" s="84"/>
      <c r="C356" s="85"/>
      <c r="D356" s="85" t="s">
        <v>44</v>
      </c>
      <c r="E356" s="86"/>
      <c r="F356" s="87"/>
      <c r="G356" s="88">
        <f>[81]Source!AM422</f>
        <v>44</v>
      </c>
      <c r="H356" s="89" t="str">
        <f>[81]Source!DE422</f>
        <v/>
      </c>
      <c r="I356" s="87">
        <f>[81]Source!AV423</f>
        <v>1.0469999999999999</v>
      </c>
      <c r="J356" s="176">
        <f>[81]Source!Q422-J367</f>
        <v>1.2</v>
      </c>
      <c r="K356" s="87">
        <f>IF([81]Source!BB423&lt;&gt; 0, [81]Source!BB423, 1)</f>
        <v>8.2899999999999991</v>
      </c>
      <c r="L356" s="176">
        <f>[81]Source!Q423-L367</f>
        <v>9.9499999999999993</v>
      </c>
    </row>
    <row r="357" spans="1:22" ht="14.25" x14ac:dyDescent="0.2">
      <c r="A357" s="84"/>
      <c r="B357" s="84"/>
      <c r="C357" s="85"/>
      <c r="D357" s="85" t="s">
        <v>45</v>
      </c>
      <c r="E357" s="86"/>
      <c r="F357" s="87"/>
      <c r="G357" s="88">
        <f>[81]Source!AN422</f>
        <v>5.59</v>
      </c>
      <c r="H357" s="89" t="str">
        <f>[81]Source!DE422</f>
        <v/>
      </c>
      <c r="I357" s="87">
        <f>[81]Source!AV423</f>
        <v>1.0469999999999999</v>
      </c>
      <c r="J357" s="90">
        <f>[81]Source!R422-J368</f>
        <v>0.15</v>
      </c>
      <c r="K357" s="87">
        <f>IF([81]Source!BS423&lt;&gt; 0, [81]Source!BS423, 1)</f>
        <v>23.64</v>
      </c>
      <c r="L357" s="90">
        <f>[81]Source!R423-L368</f>
        <v>3.55</v>
      </c>
    </row>
    <row r="358" spans="1:22" ht="14.25" x14ac:dyDescent="0.2">
      <c r="A358" s="84"/>
      <c r="B358" s="84"/>
      <c r="C358" s="85"/>
      <c r="D358" s="85" t="s">
        <v>46</v>
      </c>
      <c r="E358" s="86"/>
      <c r="F358" s="87"/>
      <c r="G358" s="88">
        <f>[81]Source!AL422</f>
        <v>258.91000000000003</v>
      </c>
      <c r="H358" s="89" t="str">
        <f>[81]Source!DD422</f>
        <v/>
      </c>
      <c r="I358" s="87">
        <f>[81]Source!AW423</f>
        <v>1.022</v>
      </c>
      <c r="J358" s="176">
        <f>[81]Source!P422</f>
        <v>6.88</v>
      </c>
      <c r="K358" s="87">
        <f>IF([81]Source!BC423&lt;&gt; 0, [81]Source!BC423, 1)</f>
        <v>4.8600000000000003</v>
      </c>
      <c r="L358" s="176">
        <f>[81]Source!P423</f>
        <v>33.44</v>
      </c>
    </row>
    <row r="359" spans="1:22" ht="57" x14ac:dyDescent="0.2">
      <c r="A359" s="84">
        <v>51</v>
      </c>
      <c r="B359" s="84" t="str">
        <f>[81]Source!E424</f>
        <v>2,1</v>
      </c>
      <c r="C359" s="85" t="str">
        <f>[81]Source!F424</f>
        <v>1.3-4-75</v>
      </c>
      <c r="D359" s="85" t="s">
        <v>200</v>
      </c>
      <c r="E359" s="86" t="str">
        <f>[81]Source!H424</f>
        <v>т</v>
      </c>
      <c r="F359" s="87">
        <f>[81]Source!I424</f>
        <v>2.5999999999999999E-2</v>
      </c>
      <c r="G359" s="88">
        <f>[81]Source!AK424</f>
        <v>9733.52</v>
      </c>
      <c r="H359" s="123" t="s">
        <v>20</v>
      </c>
      <c r="I359" s="87">
        <f>[81]Source!AW425</f>
        <v>1.022</v>
      </c>
      <c r="J359" s="176">
        <f>[81]Source!O424</f>
        <v>258.64</v>
      </c>
      <c r="K359" s="87">
        <f>IF([81]Source!BC425&lt;&gt; 0, [81]Source!BC425, 1)</f>
        <v>3.19</v>
      </c>
      <c r="L359" s="176">
        <f>[81]Source!O425</f>
        <v>825.06</v>
      </c>
      <c r="Q359" s="47">
        <f>[81]Source!X424</f>
        <v>0</v>
      </c>
      <c r="R359" s="47">
        <f>[81]Source!X425</f>
        <v>0</v>
      </c>
      <c r="S359" s="47">
        <f>[81]Source!Y424</f>
        <v>0</v>
      </c>
      <c r="T359" s="47">
        <f>[81]Source!Y425</f>
        <v>0</v>
      </c>
      <c r="U359" s="47">
        <f>ROUND((175/100)*ROUND([81]Source!R424, 2), 2)</f>
        <v>0</v>
      </c>
      <c r="V359" s="47">
        <f>ROUND((157/100)*ROUND([81]Source!R425, 2), 2)</f>
        <v>0</v>
      </c>
    </row>
    <row r="360" spans="1:22" ht="14.25" x14ac:dyDescent="0.2">
      <c r="A360" s="84"/>
      <c r="B360" s="84"/>
      <c r="C360" s="85"/>
      <c r="D360" s="85" t="s">
        <v>47</v>
      </c>
      <c r="E360" s="86" t="s">
        <v>48</v>
      </c>
      <c r="F360" s="87">
        <f>[81]Source!DN423</f>
        <v>98</v>
      </c>
      <c r="G360" s="88"/>
      <c r="H360" s="89"/>
      <c r="I360" s="87"/>
      <c r="J360" s="176">
        <f>SUM(Q354:Q359)</f>
        <v>6</v>
      </c>
      <c r="K360" s="87">
        <f>[81]Source!BZ423</f>
        <v>92</v>
      </c>
      <c r="L360" s="176">
        <f>SUM(R354:R359)</f>
        <v>133.11000000000001</v>
      </c>
    </row>
    <row r="361" spans="1:22" ht="14.25" x14ac:dyDescent="0.2">
      <c r="A361" s="84"/>
      <c r="B361" s="84"/>
      <c r="C361" s="85"/>
      <c r="D361" s="85" t="s">
        <v>49</v>
      </c>
      <c r="E361" s="86" t="s">
        <v>48</v>
      </c>
      <c r="F361" s="87">
        <f>[81]Source!DO423</f>
        <v>70</v>
      </c>
      <c r="G361" s="88"/>
      <c r="H361" s="89"/>
      <c r="I361" s="87"/>
      <c r="J361" s="176">
        <f>SUM(S354:S360)</f>
        <v>4.28</v>
      </c>
      <c r="K361" s="87">
        <f>[81]Source!CA423</f>
        <v>65</v>
      </c>
      <c r="L361" s="176">
        <f>SUM(T354:T360)</f>
        <v>94.04</v>
      </c>
    </row>
    <row r="362" spans="1:22" ht="14.25" x14ac:dyDescent="0.2">
      <c r="A362" s="84"/>
      <c r="B362" s="84"/>
      <c r="C362" s="85"/>
      <c r="D362" s="85" t="s">
        <v>50</v>
      </c>
      <c r="E362" s="86" t="s">
        <v>48</v>
      </c>
      <c r="F362" s="87">
        <f>175</f>
        <v>175</v>
      </c>
      <c r="G362" s="88"/>
      <c r="H362" s="89"/>
      <c r="I362" s="87"/>
      <c r="J362" s="176">
        <f>SUM(U354:U361)-J369</f>
        <v>0.26</v>
      </c>
      <c r="K362" s="87">
        <f>157</f>
        <v>157</v>
      </c>
      <c r="L362" s="176">
        <f>SUM(V354:V361)-L369</f>
        <v>5.57</v>
      </c>
    </row>
    <row r="363" spans="1:22" ht="14.25" x14ac:dyDescent="0.2">
      <c r="A363" s="183"/>
      <c r="B363" s="183"/>
      <c r="C363" s="184"/>
      <c r="D363" s="184" t="s">
        <v>51</v>
      </c>
      <c r="E363" s="185" t="s">
        <v>52</v>
      </c>
      <c r="F363" s="186">
        <f>[81]Source!AQ422</f>
        <v>11.6</v>
      </c>
      <c r="G363" s="187"/>
      <c r="H363" s="188" t="str">
        <f>[81]Source!DI422</f>
        <v/>
      </c>
      <c r="I363" s="186">
        <f>[81]Source!AV423</f>
        <v>1.0469999999999999</v>
      </c>
      <c r="J363" s="189">
        <f>[81]Source!U422</f>
        <v>0.32</v>
      </c>
      <c r="K363" s="186"/>
      <c r="L363" s="189"/>
    </row>
    <row r="364" spans="1:22" ht="15" x14ac:dyDescent="0.25">
      <c r="D364" s="194" t="s">
        <v>81</v>
      </c>
      <c r="I364" s="408">
        <f>J355+J356+J358+J360+J361+J362+SUM(J359:J359)</f>
        <v>283.38</v>
      </c>
      <c r="J364" s="408"/>
      <c r="K364" s="408">
        <f>L355+L356+L358+L360+L361+L362+SUM(L359:L359)</f>
        <v>1245.8499999999999</v>
      </c>
      <c r="L364" s="408"/>
      <c r="O364" s="92">
        <f>J355+J356+J358+J360+J361+J362+SUM(J359:J359)</f>
        <v>283.38</v>
      </c>
      <c r="P364" s="92">
        <f>L355+L356+L358+L360+L361+L362+SUM(L359:L359)</f>
        <v>1245.8499999999999</v>
      </c>
    </row>
    <row r="366" spans="1:22" ht="65.25" x14ac:dyDescent="0.2">
      <c r="A366" s="84">
        <v>52</v>
      </c>
      <c r="B366" s="84" t="str">
        <f>CONCATENATE([81]Source!E422, "/1")</f>
        <v>2/1</v>
      </c>
      <c r="C366" s="85" t="s">
        <v>201</v>
      </c>
      <c r="D366" s="85" t="s">
        <v>82</v>
      </c>
      <c r="E366" s="86" t="str">
        <f>[81]Source!H422</f>
        <v>1 Т</v>
      </c>
      <c r="F366" s="87">
        <f>[81]Source!I422</f>
        <v>2.5999999999999999E-2</v>
      </c>
      <c r="G366" s="88"/>
      <c r="H366" s="89"/>
      <c r="I366" s="87"/>
      <c r="J366" s="176"/>
      <c r="K366" s="87"/>
      <c r="L366" s="176"/>
    </row>
    <row r="367" spans="1:22" ht="14.25" x14ac:dyDescent="0.2">
      <c r="A367" s="84"/>
      <c r="B367" s="84"/>
      <c r="C367" s="85"/>
      <c r="D367" s="85" t="s">
        <v>44</v>
      </c>
      <c r="E367" s="86"/>
      <c r="F367" s="87"/>
      <c r="G367" s="88">
        <f t="shared" ref="G367:L367" si="15">G368</f>
        <v>5.59</v>
      </c>
      <c r="H367" s="195" t="str">
        <f t="shared" si="15"/>
        <v>)*(1.67-1)</v>
      </c>
      <c r="I367" s="87">
        <f t="shared" si="15"/>
        <v>1.0469999999999999</v>
      </c>
      <c r="J367" s="176">
        <f t="shared" si="15"/>
        <v>0.1</v>
      </c>
      <c r="K367" s="87">
        <f t="shared" si="15"/>
        <v>23.64</v>
      </c>
      <c r="L367" s="176">
        <f t="shared" si="15"/>
        <v>2.36</v>
      </c>
    </row>
    <row r="368" spans="1:22" ht="14.25" x14ac:dyDescent="0.2">
      <c r="A368" s="84"/>
      <c r="B368" s="84"/>
      <c r="C368" s="85"/>
      <c r="D368" s="85" t="s">
        <v>45</v>
      </c>
      <c r="E368" s="86"/>
      <c r="F368" s="87"/>
      <c r="G368" s="88">
        <f>[81]Source!AN422</f>
        <v>5.59</v>
      </c>
      <c r="H368" s="195" t="s">
        <v>53</v>
      </c>
      <c r="I368" s="87">
        <f>[81]Source!AV423</f>
        <v>1.0469999999999999</v>
      </c>
      <c r="J368" s="90">
        <f>ROUND(F354*G368*I368*(1.67-1), 2)</f>
        <v>0.1</v>
      </c>
      <c r="K368" s="87">
        <f>IF([81]Source!BS423&lt;&gt; 0, [81]Source!BS423, 1)</f>
        <v>23.64</v>
      </c>
      <c r="L368" s="90">
        <f>ROUND(ROUND(F354*G368*I368*(1.67-1), 2)*K368, 2)</f>
        <v>2.36</v>
      </c>
    </row>
    <row r="369" spans="1:22" ht="14.25" x14ac:dyDescent="0.2">
      <c r="A369" s="84"/>
      <c r="B369" s="84"/>
      <c r="C369" s="85"/>
      <c r="D369" s="85" t="s">
        <v>50</v>
      </c>
      <c r="E369" s="86" t="s">
        <v>48</v>
      </c>
      <c r="F369" s="87">
        <f>175</f>
        <v>175</v>
      </c>
      <c r="G369" s="88"/>
      <c r="H369" s="89"/>
      <c r="I369" s="87"/>
      <c r="J369" s="176">
        <f>ROUND(J368*(F369/100), 2)</f>
        <v>0.18</v>
      </c>
      <c r="K369" s="87">
        <f>157</f>
        <v>157</v>
      </c>
      <c r="L369" s="176">
        <f>ROUND(L368*(K369/100), 2)</f>
        <v>3.71</v>
      </c>
    </row>
    <row r="370" spans="1:22" ht="15" x14ac:dyDescent="0.25">
      <c r="A370" s="190"/>
      <c r="B370" s="190"/>
      <c r="C370" s="190"/>
      <c r="D370" s="191" t="s">
        <v>81</v>
      </c>
      <c r="E370" s="190"/>
      <c r="F370" s="190"/>
      <c r="G370" s="190"/>
      <c r="H370" s="190"/>
      <c r="I370" s="409">
        <f>J369+J368</f>
        <v>0.28000000000000003</v>
      </c>
      <c r="J370" s="409"/>
      <c r="K370" s="409">
        <f>L369+L368</f>
        <v>6.07</v>
      </c>
      <c r="L370" s="409"/>
      <c r="O370" s="92">
        <f>I370</f>
        <v>0.28000000000000003</v>
      </c>
      <c r="P370" s="92">
        <f>K370</f>
        <v>6.07</v>
      </c>
    </row>
    <row r="372" spans="1:22" ht="65.25" x14ac:dyDescent="0.2">
      <c r="A372" s="84">
        <v>53</v>
      </c>
      <c r="B372" s="84" t="str">
        <f>[81]Source!E426</f>
        <v>3</v>
      </c>
      <c r="C372" s="85" t="s">
        <v>191</v>
      </c>
      <c r="D372" s="85" t="s">
        <v>192</v>
      </c>
      <c r="E372" s="86" t="str">
        <f>[81]Source!H426</f>
        <v>100 м2 стяжки</v>
      </c>
      <c r="F372" s="87">
        <f>[81]Source!I426</f>
        <v>5.0599999999999999E-2</v>
      </c>
      <c r="G372" s="88"/>
      <c r="H372" s="89"/>
      <c r="I372" s="87"/>
      <c r="J372" s="176"/>
      <c r="K372" s="87"/>
      <c r="L372" s="176"/>
      <c r="Q372" s="47">
        <f>[81]Source!X426</f>
        <v>25.79</v>
      </c>
      <c r="R372" s="47">
        <f>[81]Source!X427</f>
        <v>441.98</v>
      </c>
      <c r="S372" s="47">
        <f>[81]Source!Y426</f>
        <v>18.05</v>
      </c>
      <c r="T372" s="47">
        <f>[81]Source!Y427</f>
        <v>208.29</v>
      </c>
      <c r="U372" s="47">
        <f>ROUND((175/100)*ROUND([81]Source!R426, 2), 2)</f>
        <v>0.05</v>
      </c>
      <c r="V372" s="47">
        <f>ROUND((157/100)*ROUND([81]Source!R427, 2), 2)</f>
        <v>1.1100000000000001</v>
      </c>
    </row>
    <row r="373" spans="1:22" ht="14.25" x14ac:dyDescent="0.2">
      <c r="A373" s="84"/>
      <c r="B373" s="84"/>
      <c r="C373" s="85"/>
      <c r="D373" s="85" t="s">
        <v>43</v>
      </c>
      <c r="E373" s="86"/>
      <c r="F373" s="87"/>
      <c r="G373" s="88">
        <f>[81]Source!AO426</f>
        <v>242.87</v>
      </c>
      <c r="H373" s="89" t="str">
        <f>[81]Source!DG426</f>
        <v>)*1,67</v>
      </c>
      <c r="I373" s="87">
        <f>[81]Source!AV427</f>
        <v>1.0469999999999999</v>
      </c>
      <c r="J373" s="176">
        <f>[81]Source!S426</f>
        <v>21.49</v>
      </c>
      <c r="K373" s="87">
        <f>IF([81]Source!BA427&lt;&gt; 0, [81]Source!BA427, 1)</f>
        <v>23.64</v>
      </c>
      <c r="L373" s="176">
        <f>[81]Source!S427</f>
        <v>508.02</v>
      </c>
    </row>
    <row r="374" spans="1:22" ht="14.25" x14ac:dyDescent="0.2">
      <c r="A374" s="84"/>
      <c r="B374" s="84"/>
      <c r="C374" s="85"/>
      <c r="D374" s="85" t="s">
        <v>44</v>
      </c>
      <c r="E374" s="86"/>
      <c r="F374" s="87"/>
      <c r="G374" s="88">
        <f>[81]Source!AM426</f>
        <v>12.59</v>
      </c>
      <c r="H374" s="89" t="str">
        <f>[81]Source!DE426</f>
        <v/>
      </c>
      <c r="I374" s="87">
        <f>[81]Source!AV427</f>
        <v>1.0469999999999999</v>
      </c>
      <c r="J374" s="176">
        <f>[81]Source!Q426-J385</f>
        <v>0.67</v>
      </c>
      <c r="K374" s="87">
        <f>IF([81]Source!BB427&lt;&gt; 0, [81]Source!BB427, 1)</f>
        <v>1.58</v>
      </c>
      <c r="L374" s="176">
        <f>[81]Source!Q427-L385</f>
        <v>1.06</v>
      </c>
    </row>
    <row r="375" spans="1:22" ht="14.25" x14ac:dyDescent="0.2">
      <c r="A375" s="84"/>
      <c r="B375" s="84"/>
      <c r="C375" s="85"/>
      <c r="D375" s="85" t="s">
        <v>45</v>
      </c>
      <c r="E375" s="86"/>
      <c r="F375" s="87"/>
      <c r="G375" s="88">
        <f>[81]Source!AN426</f>
        <v>0.31</v>
      </c>
      <c r="H375" s="89" t="str">
        <f>[81]Source!DE426</f>
        <v/>
      </c>
      <c r="I375" s="87">
        <f>[81]Source!AV427</f>
        <v>1.0469999999999999</v>
      </c>
      <c r="J375" s="90">
        <f>[81]Source!R426-J386</f>
        <v>0.02</v>
      </c>
      <c r="K375" s="87">
        <f>IF([81]Source!BS427&lt;&gt; 0, [81]Source!BS427, 1)</f>
        <v>23.64</v>
      </c>
      <c r="L375" s="90">
        <f>[81]Source!R427-L386</f>
        <v>0.47</v>
      </c>
    </row>
    <row r="376" spans="1:22" ht="14.25" x14ac:dyDescent="0.2">
      <c r="A376" s="84"/>
      <c r="B376" s="84"/>
      <c r="C376" s="85"/>
      <c r="D376" s="85" t="s">
        <v>46</v>
      </c>
      <c r="E376" s="86"/>
      <c r="F376" s="87"/>
      <c r="G376" s="88">
        <f>[81]Source!AL426</f>
        <v>24.75</v>
      </c>
      <c r="H376" s="89" t="str">
        <f>[81]Source!DD426</f>
        <v/>
      </c>
      <c r="I376" s="87">
        <f>[81]Source!AW427</f>
        <v>1</v>
      </c>
      <c r="J376" s="176">
        <f>[81]Source!P426</f>
        <v>1.25</v>
      </c>
      <c r="K376" s="87">
        <f>IF([81]Source!BC427&lt;&gt; 0, [81]Source!BC427, 1)</f>
        <v>4.7699999999999996</v>
      </c>
      <c r="L376" s="176">
        <f>[81]Source!P427</f>
        <v>5.96</v>
      </c>
    </row>
    <row r="377" spans="1:22" ht="14.25" x14ac:dyDescent="0.2">
      <c r="A377" s="84">
        <v>54</v>
      </c>
      <c r="B377" s="84" t="str">
        <f>[81]Source!E428</f>
        <v>3,1</v>
      </c>
      <c r="C377" s="85" t="str">
        <f>[81]Source!F428</f>
        <v>1.3-2-6</v>
      </c>
      <c r="D377" s="85" t="s">
        <v>193</v>
      </c>
      <c r="E377" s="86" t="str">
        <f>[81]Source!H428</f>
        <v>м3</v>
      </c>
      <c r="F377" s="87">
        <f>[81]Source!I428</f>
        <v>0.103224</v>
      </c>
      <c r="G377" s="88">
        <f>[81]Source!AK428</f>
        <v>478.96</v>
      </c>
      <c r="H377" s="123" t="s">
        <v>20</v>
      </c>
      <c r="I377" s="87">
        <f>[81]Source!AW429</f>
        <v>1</v>
      </c>
      <c r="J377" s="176">
        <f>[81]Source!O428</f>
        <v>49.44</v>
      </c>
      <c r="K377" s="87">
        <f>IF([81]Source!BC429&lt;&gt; 0, [81]Source!BC429, 1)</f>
        <v>6.91</v>
      </c>
      <c r="L377" s="176">
        <f>[81]Source!O429</f>
        <v>341.63</v>
      </c>
      <c r="Q377" s="47">
        <f>[81]Source!X428</f>
        <v>0</v>
      </c>
      <c r="R377" s="47">
        <f>[81]Source!X429</f>
        <v>0</v>
      </c>
      <c r="S377" s="47">
        <f>[81]Source!Y428</f>
        <v>0</v>
      </c>
      <c r="T377" s="47">
        <f>[81]Source!Y429</f>
        <v>0</v>
      </c>
      <c r="U377" s="47">
        <f>ROUND((175/100)*ROUND([81]Source!R428, 2), 2)</f>
        <v>0</v>
      </c>
      <c r="V377" s="47">
        <f>ROUND((157/100)*ROUND([81]Source!R429, 2), 2)</f>
        <v>0</v>
      </c>
    </row>
    <row r="378" spans="1:22" ht="14.25" x14ac:dyDescent="0.2">
      <c r="A378" s="84"/>
      <c r="B378" s="84"/>
      <c r="C378" s="85"/>
      <c r="D378" s="85" t="s">
        <v>47</v>
      </c>
      <c r="E378" s="86" t="s">
        <v>48</v>
      </c>
      <c r="F378" s="87">
        <f>[81]Source!DN427</f>
        <v>120</v>
      </c>
      <c r="G378" s="88"/>
      <c r="H378" s="89"/>
      <c r="I378" s="87"/>
      <c r="J378" s="176">
        <f>SUM(Q372:Q377)</f>
        <v>25.79</v>
      </c>
      <c r="K378" s="87">
        <f>[81]Source!BZ427</f>
        <v>87</v>
      </c>
      <c r="L378" s="176">
        <f>SUM(R372:R377)</f>
        <v>441.98</v>
      </c>
    </row>
    <row r="379" spans="1:22" ht="14.25" x14ac:dyDescent="0.2">
      <c r="A379" s="84"/>
      <c r="B379" s="84"/>
      <c r="C379" s="85"/>
      <c r="D379" s="85" t="s">
        <v>49</v>
      </c>
      <c r="E379" s="86" t="s">
        <v>48</v>
      </c>
      <c r="F379" s="87">
        <f>[81]Source!DO427</f>
        <v>84</v>
      </c>
      <c r="G379" s="88"/>
      <c r="H379" s="89"/>
      <c r="I379" s="87"/>
      <c r="J379" s="176">
        <f>SUM(S372:S378)</f>
        <v>18.05</v>
      </c>
      <c r="K379" s="87">
        <f>[81]Source!CA427</f>
        <v>41</v>
      </c>
      <c r="L379" s="176">
        <f>SUM(T372:T378)</f>
        <v>208.29</v>
      </c>
    </row>
    <row r="380" spans="1:22" ht="14.25" x14ac:dyDescent="0.2">
      <c r="A380" s="84"/>
      <c r="B380" s="84"/>
      <c r="C380" s="85"/>
      <c r="D380" s="85" t="s">
        <v>50</v>
      </c>
      <c r="E380" s="86" t="s">
        <v>48</v>
      </c>
      <c r="F380" s="87">
        <f>175</f>
        <v>175</v>
      </c>
      <c r="G380" s="88"/>
      <c r="H380" s="89"/>
      <c r="I380" s="87"/>
      <c r="J380" s="176">
        <f>SUM(U372:U379)-J387</f>
        <v>0.03</v>
      </c>
      <c r="K380" s="87">
        <f>157</f>
        <v>157</v>
      </c>
      <c r="L380" s="176">
        <f>SUM(V372:V379)-L387</f>
        <v>0.73</v>
      </c>
    </row>
    <row r="381" spans="1:22" ht="14.25" x14ac:dyDescent="0.2">
      <c r="A381" s="183"/>
      <c r="B381" s="183"/>
      <c r="C381" s="184"/>
      <c r="D381" s="184" t="s">
        <v>51</v>
      </c>
      <c r="E381" s="185" t="s">
        <v>52</v>
      </c>
      <c r="F381" s="186">
        <f>[81]Source!AQ426</f>
        <v>23.33</v>
      </c>
      <c r="G381" s="187"/>
      <c r="H381" s="188" t="str">
        <f>[81]Source!DI426</f>
        <v/>
      </c>
      <c r="I381" s="186">
        <f>[81]Source!AV427</f>
        <v>1.0469999999999999</v>
      </c>
      <c r="J381" s="189">
        <f>[81]Source!U426</f>
        <v>1.24</v>
      </c>
      <c r="K381" s="186"/>
      <c r="L381" s="189"/>
    </row>
    <row r="382" spans="1:22" ht="15" x14ac:dyDescent="0.25">
      <c r="D382" s="194" t="s">
        <v>81</v>
      </c>
      <c r="I382" s="408">
        <f>J373+J374+J376+J378+J379+J380+SUM(J377:J377)</f>
        <v>116.72</v>
      </c>
      <c r="J382" s="408"/>
      <c r="K382" s="408">
        <f>L373+L374+L376+L378+L379+L380+SUM(L377:L377)</f>
        <v>1507.67</v>
      </c>
      <c r="L382" s="408"/>
      <c r="O382" s="92">
        <f>J373+J374+J376+J378+J379+J380+SUM(J377:J377)</f>
        <v>116.72</v>
      </c>
      <c r="P382" s="92">
        <f>L373+L374+L376+L378+L379+L380+SUM(L377:L377)</f>
        <v>1507.67</v>
      </c>
    </row>
    <row r="384" spans="1:22" ht="79.5" x14ac:dyDescent="0.2">
      <c r="A384" s="84">
        <v>55</v>
      </c>
      <c r="B384" s="84" t="str">
        <f>CONCATENATE([81]Source!E426, "/1")</f>
        <v>3/1</v>
      </c>
      <c r="C384" s="85" t="s">
        <v>194</v>
      </c>
      <c r="D384" s="85" t="s">
        <v>82</v>
      </c>
      <c r="E384" s="86" t="str">
        <f>[81]Source!H426</f>
        <v>100 м2 стяжки</v>
      </c>
      <c r="F384" s="87">
        <f>[81]Source!I426</f>
        <v>5.0599999999999999E-2</v>
      </c>
      <c r="G384" s="88"/>
      <c r="H384" s="89"/>
      <c r="I384" s="87"/>
      <c r="J384" s="176"/>
      <c r="K384" s="87"/>
      <c r="L384" s="176"/>
    </row>
    <row r="385" spans="1:22" ht="14.25" x14ac:dyDescent="0.2">
      <c r="A385" s="84"/>
      <c r="B385" s="84"/>
      <c r="C385" s="85"/>
      <c r="D385" s="85" t="s">
        <v>44</v>
      </c>
      <c r="E385" s="86"/>
      <c r="F385" s="87"/>
      <c r="G385" s="88">
        <f t="shared" ref="G385:L385" si="16">G386</f>
        <v>0.31</v>
      </c>
      <c r="H385" s="195" t="str">
        <f t="shared" si="16"/>
        <v>)*(1.67-1)</v>
      </c>
      <c r="I385" s="87">
        <f t="shared" si="16"/>
        <v>1.0469999999999999</v>
      </c>
      <c r="J385" s="176">
        <f t="shared" si="16"/>
        <v>0.01</v>
      </c>
      <c r="K385" s="87">
        <f t="shared" si="16"/>
        <v>23.64</v>
      </c>
      <c r="L385" s="176">
        <f t="shared" si="16"/>
        <v>0.24</v>
      </c>
    </row>
    <row r="386" spans="1:22" ht="14.25" x14ac:dyDescent="0.2">
      <c r="A386" s="84"/>
      <c r="B386" s="84"/>
      <c r="C386" s="85"/>
      <c r="D386" s="85" t="s">
        <v>45</v>
      </c>
      <c r="E386" s="86"/>
      <c r="F386" s="87"/>
      <c r="G386" s="88">
        <f>[81]Source!AN426</f>
        <v>0.31</v>
      </c>
      <c r="H386" s="195" t="s">
        <v>53</v>
      </c>
      <c r="I386" s="87">
        <f>[81]Source!AV427</f>
        <v>1.0469999999999999</v>
      </c>
      <c r="J386" s="90">
        <f>ROUND(F372*G386*I386*(1.67-1), 2)</f>
        <v>0.01</v>
      </c>
      <c r="K386" s="87">
        <f>IF([81]Source!BS427&lt;&gt; 0, [81]Source!BS427, 1)</f>
        <v>23.64</v>
      </c>
      <c r="L386" s="90">
        <f>ROUND(ROUND(F372*G386*I386*(1.67-1), 2)*K386, 2)</f>
        <v>0.24</v>
      </c>
    </row>
    <row r="387" spans="1:22" ht="14.25" x14ac:dyDescent="0.2">
      <c r="A387" s="84"/>
      <c r="B387" s="84"/>
      <c r="C387" s="85"/>
      <c r="D387" s="85" t="s">
        <v>50</v>
      </c>
      <c r="E387" s="86" t="s">
        <v>48</v>
      </c>
      <c r="F387" s="87">
        <f>175</f>
        <v>175</v>
      </c>
      <c r="G387" s="88"/>
      <c r="H387" s="89"/>
      <c r="I387" s="87"/>
      <c r="J387" s="176">
        <f>ROUND(J386*(F387/100), 2)</f>
        <v>0.02</v>
      </c>
      <c r="K387" s="87">
        <f>157</f>
        <v>157</v>
      </c>
      <c r="L387" s="176">
        <f>ROUND(L386*(K387/100), 2)</f>
        <v>0.38</v>
      </c>
    </row>
    <row r="388" spans="1:22" ht="15" x14ac:dyDescent="0.25">
      <c r="A388" s="190"/>
      <c r="B388" s="190"/>
      <c r="C388" s="190"/>
      <c r="D388" s="191" t="s">
        <v>81</v>
      </c>
      <c r="E388" s="190"/>
      <c r="F388" s="190"/>
      <c r="G388" s="190"/>
      <c r="H388" s="190"/>
      <c r="I388" s="409">
        <f>J387+J386</f>
        <v>0.03</v>
      </c>
      <c r="J388" s="409"/>
      <c r="K388" s="409">
        <f>L387+L386</f>
        <v>0.62</v>
      </c>
      <c r="L388" s="409"/>
      <c r="O388" s="92">
        <f>I388</f>
        <v>0.03</v>
      </c>
      <c r="P388" s="92">
        <f>K388</f>
        <v>0.62</v>
      </c>
    </row>
    <row r="390" spans="1:22" ht="65.25" x14ac:dyDescent="0.2">
      <c r="A390" s="84">
        <v>56</v>
      </c>
      <c r="B390" s="84" t="str">
        <f>[81]Source!E430</f>
        <v>4</v>
      </c>
      <c r="C390" s="85" t="s">
        <v>195</v>
      </c>
      <c r="D390" s="85" t="s">
        <v>196</v>
      </c>
      <c r="E390" s="86" t="str">
        <f>[81]Source!H430</f>
        <v>100 м2 стяжки</v>
      </c>
      <c r="F390" s="87">
        <f>[81]Source!I430</f>
        <v>5.0599999999999999E-2</v>
      </c>
      <c r="G390" s="88"/>
      <c r="H390" s="89"/>
      <c r="I390" s="87"/>
      <c r="J390" s="176"/>
      <c r="K390" s="87"/>
      <c r="L390" s="176"/>
      <c r="Q390" s="47">
        <f>[81]Source!X430</f>
        <v>2.87</v>
      </c>
      <c r="R390" s="47">
        <f>[81]Source!X431</f>
        <v>49.16</v>
      </c>
      <c r="S390" s="47">
        <f>[81]Source!Y430</f>
        <v>2.0099999999999998</v>
      </c>
      <c r="T390" s="47">
        <f>[81]Source!Y431</f>
        <v>23.17</v>
      </c>
      <c r="U390" s="47">
        <f>ROUND((175/100)*ROUND([81]Source!R430, 2), 2)</f>
        <v>7.0000000000000007E-2</v>
      </c>
      <c r="V390" s="47">
        <f>ROUND((157/100)*ROUND([81]Source!R431, 2), 2)</f>
        <v>1.49</v>
      </c>
    </row>
    <row r="391" spans="1:22" ht="14.25" x14ac:dyDescent="0.2">
      <c r="A391" s="84"/>
      <c r="B391" s="84"/>
      <c r="C391" s="85"/>
      <c r="D391" s="85" t="s">
        <v>43</v>
      </c>
      <c r="E391" s="86"/>
      <c r="F391" s="87"/>
      <c r="G391" s="88">
        <f>[81]Source!AO430</f>
        <v>4.5</v>
      </c>
      <c r="H391" s="89" t="str">
        <f>[81]Source!DG430</f>
        <v>)*1,67)*6</v>
      </c>
      <c r="I391" s="87">
        <f>[81]Source!AV431</f>
        <v>1.0469999999999999</v>
      </c>
      <c r="J391" s="176">
        <f>[81]Source!S430</f>
        <v>2.39</v>
      </c>
      <c r="K391" s="87">
        <f>IF([81]Source!BA431&lt;&gt; 0, [81]Source!BA431, 1)</f>
        <v>23.64</v>
      </c>
      <c r="L391" s="176">
        <f>[81]Source!S431</f>
        <v>56.5</v>
      </c>
    </row>
    <row r="392" spans="1:22" ht="14.25" x14ac:dyDescent="0.2">
      <c r="A392" s="84"/>
      <c r="B392" s="84"/>
      <c r="C392" s="85"/>
      <c r="D392" s="85" t="s">
        <v>44</v>
      </c>
      <c r="E392" s="86"/>
      <c r="F392" s="87"/>
      <c r="G392" s="88">
        <f>[81]Source!AM430</f>
        <v>3.22</v>
      </c>
      <c r="H392" s="89" t="str">
        <f>[81]Source!DE430</f>
        <v>)*6</v>
      </c>
      <c r="I392" s="87">
        <f>[81]Source!AV431</f>
        <v>1.0469999999999999</v>
      </c>
      <c r="J392" s="176">
        <f>[81]Source!Q430-J402</f>
        <v>1.02</v>
      </c>
      <c r="K392" s="87">
        <f>IF([81]Source!BB431&lt;&gt; 0, [81]Source!BB431, 1)</f>
        <v>1.58</v>
      </c>
      <c r="L392" s="176">
        <f>[81]Source!Q431-L402</f>
        <v>1.61</v>
      </c>
    </row>
    <row r="393" spans="1:22" ht="14.25" x14ac:dyDescent="0.2">
      <c r="A393" s="84"/>
      <c r="B393" s="84"/>
      <c r="C393" s="85"/>
      <c r="D393" s="85" t="s">
        <v>45</v>
      </c>
      <c r="E393" s="86"/>
      <c r="F393" s="87"/>
      <c r="G393" s="88">
        <f>[81]Source!AN430</f>
        <v>0.08</v>
      </c>
      <c r="H393" s="89" t="str">
        <f>[81]Source!DE430</f>
        <v>)*6</v>
      </c>
      <c r="I393" s="87">
        <f>[81]Source!AV431</f>
        <v>1.0469999999999999</v>
      </c>
      <c r="J393" s="90">
        <f>[81]Source!R430-J403</f>
        <v>0.02</v>
      </c>
      <c r="K393" s="87">
        <f>IF([81]Source!BS431&lt;&gt; 0, [81]Source!BS431, 1)</f>
        <v>23.64</v>
      </c>
      <c r="L393" s="90">
        <f>[81]Source!R431-L403</f>
        <v>0.48</v>
      </c>
    </row>
    <row r="394" spans="1:22" ht="14.25" x14ac:dyDescent="0.2">
      <c r="A394" s="84">
        <v>57</v>
      </c>
      <c r="B394" s="84" t="str">
        <f>[81]Source!E432</f>
        <v>4,1</v>
      </c>
      <c r="C394" s="85" t="str">
        <f>[81]Source!F432</f>
        <v>1.3-2-6</v>
      </c>
      <c r="D394" s="85" t="s">
        <v>193</v>
      </c>
      <c r="E394" s="86" t="str">
        <f>[81]Source!H432</f>
        <v>м3</v>
      </c>
      <c r="F394" s="87">
        <f>[81]Source!I432</f>
        <v>2.5805999999999999E-2</v>
      </c>
      <c r="G394" s="88">
        <f>[81]Source!AK432</f>
        <v>478.96</v>
      </c>
      <c r="H394" s="123" t="s">
        <v>265</v>
      </c>
      <c r="I394" s="87">
        <f>[81]Source!AW433</f>
        <v>1</v>
      </c>
      <c r="J394" s="176">
        <f>[81]Source!O432</f>
        <v>74.16</v>
      </c>
      <c r="K394" s="87">
        <f>IF([81]Source!BC433&lt;&gt; 0, [81]Source!BC433, 1)</f>
        <v>6.91</v>
      </c>
      <c r="L394" s="176">
        <f>[81]Source!O433</f>
        <v>512.45000000000005</v>
      </c>
      <c r="Q394" s="47">
        <f>[81]Source!X432</f>
        <v>0</v>
      </c>
      <c r="R394" s="47">
        <f>[81]Source!X433</f>
        <v>0</v>
      </c>
      <c r="S394" s="47">
        <f>[81]Source!Y432</f>
        <v>0</v>
      </c>
      <c r="T394" s="47">
        <f>[81]Source!Y433</f>
        <v>0</v>
      </c>
      <c r="U394" s="47">
        <f>ROUND((175/100)*ROUND([81]Source!R432, 2), 2)</f>
        <v>0</v>
      </c>
      <c r="V394" s="47">
        <f>ROUND((157/100)*ROUND([81]Source!R433, 2), 2)</f>
        <v>0</v>
      </c>
    </row>
    <row r="395" spans="1:22" ht="14.25" x14ac:dyDescent="0.2">
      <c r="A395" s="84"/>
      <c r="B395" s="84"/>
      <c r="C395" s="85"/>
      <c r="D395" s="85" t="s">
        <v>47</v>
      </c>
      <c r="E395" s="86" t="s">
        <v>48</v>
      </c>
      <c r="F395" s="87">
        <f>[81]Source!DN431</f>
        <v>120</v>
      </c>
      <c r="G395" s="88"/>
      <c r="H395" s="89"/>
      <c r="I395" s="87"/>
      <c r="J395" s="176">
        <f>SUM(Q390:Q394)</f>
        <v>2.87</v>
      </c>
      <c r="K395" s="87">
        <f>[81]Source!BZ431</f>
        <v>87</v>
      </c>
      <c r="L395" s="176">
        <f>SUM(R390:R394)</f>
        <v>49.16</v>
      </c>
    </row>
    <row r="396" spans="1:22" ht="14.25" x14ac:dyDescent="0.2">
      <c r="A396" s="84"/>
      <c r="B396" s="84"/>
      <c r="C396" s="85"/>
      <c r="D396" s="85" t="s">
        <v>49</v>
      </c>
      <c r="E396" s="86" t="s">
        <v>48</v>
      </c>
      <c r="F396" s="87">
        <f>[81]Source!DO431</f>
        <v>84</v>
      </c>
      <c r="G396" s="88"/>
      <c r="H396" s="89"/>
      <c r="I396" s="87"/>
      <c r="J396" s="176">
        <f>SUM(S390:S395)</f>
        <v>2.0099999999999998</v>
      </c>
      <c r="K396" s="87">
        <f>[81]Source!CA431</f>
        <v>41</v>
      </c>
      <c r="L396" s="176">
        <f>SUM(T390:T395)</f>
        <v>23.17</v>
      </c>
    </row>
    <row r="397" spans="1:22" ht="14.25" x14ac:dyDescent="0.2">
      <c r="A397" s="84"/>
      <c r="B397" s="84"/>
      <c r="C397" s="85"/>
      <c r="D397" s="85" t="s">
        <v>50</v>
      </c>
      <c r="E397" s="86" t="s">
        <v>48</v>
      </c>
      <c r="F397" s="87">
        <f>175</f>
        <v>175</v>
      </c>
      <c r="G397" s="88"/>
      <c r="H397" s="89"/>
      <c r="I397" s="87"/>
      <c r="J397" s="176">
        <f>SUM(U390:U396)-J404</f>
        <v>0.03</v>
      </c>
      <c r="K397" s="87">
        <f>157</f>
        <v>157</v>
      </c>
      <c r="L397" s="176">
        <f>SUM(V390:V396)-L404</f>
        <v>0.75</v>
      </c>
    </row>
    <row r="398" spans="1:22" ht="14.25" x14ac:dyDescent="0.2">
      <c r="A398" s="183"/>
      <c r="B398" s="183"/>
      <c r="C398" s="184"/>
      <c r="D398" s="184" t="s">
        <v>51</v>
      </c>
      <c r="E398" s="185" t="s">
        <v>52</v>
      </c>
      <c r="F398" s="186">
        <f>[81]Source!AQ430</f>
        <v>0.44</v>
      </c>
      <c r="G398" s="187"/>
      <c r="H398" s="188" t="str">
        <f>[81]Source!DI430</f>
        <v>)*6</v>
      </c>
      <c r="I398" s="186">
        <f>[81]Source!AV431</f>
        <v>1.0469999999999999</v>
      </c>
      <c r="J398" s="189">
        <f>[81]Source!U430</f>
        <v>0.14000000000000001</v>
      </c>
      <c r="K398" s="186"/>
      <c r="L398" s="189"/>
    </row>
    <row r="399" spans="1:22" ht="15" x14ac:dyDescent="0.25">
      <c r="D399" s="194" t="s">
        <v>81</v>
      </c>
      <c r="I399" s="408">
        <f>J391+J392+J395+J396+J397+SUM(J394:J394)</f>
        <v>82.48</v>
      </c>
      <c r="J399" s="408"/>
      <c r="K399" s="408">
        <f>L391+L392+L395+L396+L397+SUM(L394:L394)</f>
        <v>643.64</v>
      </c>
      <c r="L399" s="408"/>
      <c r="O399" s="92">
        <f>J391+J392+J395+J396+J397+SUM(J394:J394)</f>
        <v>82.48</v>
      </c>
      <c r="P399" s="92">
        <f>L391+L392+L395+L396+L397+SUM(L394:L394)</f>
        <v>643.64</v>
      </c>
    </row>
    <row r="401" spans="1:22" ht="79.5" x14ac:dyDescent="0.2">
      <c r="A401" s="84">
        <v>58</v>
      </c>
      <c r="B401" s="84" t="str">
        <f>CONCATENATE([81]Source!E430, "/1")</f>
        <v>4/1</v>
      </c>
      <c r="C401" s="85" t="s">
        <v>197</v>
      </c>
      <c r="D401" s="85" t="s">
        <v>82</v>
      </c>
      <c r="E401" s="86" t="str">
        <f>[81]Source!H430</f>
        <v>100 м2 стяжки</v>
      </c>
      <c r="F401" s="87">
        <f>[81]Source!I430</f>
        <v>5.0599999999999999E-2</v>
      </c>
      <c r="G401" s="88"/>
      <c r="H401" s="89"/>
      <c r="I401" s="87"/>
      <c r="J401" s="176"/>
      <c r="K401" s="87"/>
      <c r="L401" s="176"/>
    </row>
    <row r="402" spans="1:22" ht="14.25" x14ac:dyDescent="0.2">
      <c r="A402" s="84"/>
      <c r="B402" s="84"/>
      <c r="C402" s="85"/>
      <c r="D402" s="85" t="s">
        <v>44</v>
      </c>
      <c r="E402" s="86"/>
      <c r="F402" s="87"/>
      <c r="G402" s="88">
        <f t="shared" ref="G402:L402" si="17">G403</f>
        <v>0.08</v>
      </c>
      <c r="H402" s="195" t="str">
        <f t="shared" si="17"/>
        <v>)*(1.67-1)*6</v>
      </c>
      <c r="I402" s="87">
        <f t="shared" si="17"/>
        <v>1.0469999999999999</v>
      </c>
      <c r="J402" s="176">
        <f t="shared" si="17"/>
        <v>0.02</v>
      </c>
      <c r="K402" s="87">
        <f t="shared" si="17"/>
        <v>23.64</v>
      </c>
      <c r="L402" s="176">
        <f t="shared" si="17"/>
        <v>0.47</v>
      </c>
    </row>
    <row r="403" spans="1:22" ht="14.25" x14ac:dyDescent="0.2">
      <c r="A403" s="84"/>
      <c r="B403" s="84"/>
      <c r="C403" s="85"/>
      <c r="D403" s="85" t="s">
        <v>45</v>
      </c>
      <c r="E403" s="86"/>
      <c r="F403" s="87"/>
      <c r="G403" s="88">
        <f>[81]Source!AN430</f>
        <v>0.08</v>
      </c>
      <c r="H403" s="195" t="s">
        <v>210</v>
      </c>
      <c r="I403" s="87">
        <f>[81]Source!AV431</f>
        <v>1.0469999999999999</v>
      </c>
      <c r="J403" s="90">
        <f>ROUND(F390*G403*I403*(1.67-1)*6, 2)</f>
        <v>0.02</v>
      </c>
      <c r="K403" s="87">
        <f>IF([81]Source!BS431&lt;&gt; 0, [81]Source!BS431, 1)</f>
        <v>23.64</v>
      </c>
      <c r="L403" s="90">
        <f>ROUND(ROUND(F390*G403*I403*(1.67-1)*6, 2)*K403, 2)</f>
        <v>0.47</v>
      </c>
    </row>
    <row r="404" spans="1:22" ht="14.25" x14ac:dyDescent="0.2">
      <c r="A404" s="84"/>
      <c r="B404" s="84"/>
      <c r="C404" s="85"/>
      <c r="D404" s="85" t="s">
        <v>50</v>
      </c>
      <c r="E404" s="86" t="s">
        <v>48</v>
      </c>
      <c r="F404" s="87">
        <f>175</f>
        <v>175</v>
      </c>
      <c r="G404" s="88"/>
      <c r="H404" s="89"/>
      <c r="I404" s="87"/>
      <c r="J404" s="176">
        <f>ROUND(J403*(F404/100), 2)</f>
        <v>0.04</v>
      </c>
      <c r="K404" s="87">
        <f>157</f>
        <v>157</v>
      </c>
      <c r="L404" s="176">
        <f>ROUND(L403*(K404/100), 2)</f>
        <v>0.74</v>
      </c>
    </row>
    <row r="405" spans="1:22" ht="15" x14ac:dyDescent="0.25">
      <c r="A405" s="190"/>
      <c r="B405" s="190"/>
      <c r="C405" s="190"/>
      <c r="D405" s="191" t="s">
        <v>81</v>
      </c>
      <c r="E405" s="190"/>
      <c r="F405" s="190"/>
      <c r="G405" s="190"/>
      <c r="H405" s="190"/>
      <c r="I405" s="409">
        <f>J404+J403</f>
        <v>0.06</v>
      </c>
      <c r="J405" s="409"/>
      <c r="K405" s="409">
        <f>L404+L403</f>
        <v>1.21</v>
      </c>
      <c r="L405" s="409"/>
      <c r="O405" s="92">
        <f>I405</f>
        <v>0.06</v>
      </c>
      <c r="P405" s="92">
        <f>K405</f>
        <v>1.21</v>
      </c>
    </row>
    <row r="407" spans="1:22" ht="65.25" x14ac:dyDescent="0.2">
      <c r="A407" s="84">
        <v>59</v>
      </c>
      <c r="B407" s="84" t="str">
        <f>[81]Source!E434</f>
        <v>5</v>
      </c>
      <c r="C407" s="85" t="s">
        <v>141</v>
      </c>
      <c r="D407" s="85" t="s">
        <v>142</v>
      </c>
      <c r="E407" s="86" t="str">
        <f>[81]Source!H434</f>
        <v>100 м2 пола</v>
      </c>
      <c r="F407" s="87">
        <f>[81]Source!I434</f>
        <v>5.0599999999999999E-2</v>
      </c>
      <c r="G407" s="88"/>
      <c r="H407" s="89"/>
      <c r="I407" s="87"/>
      <c r="J407" s="176"/>
      <c r="K407" s="87"/>
      <c r="L407" s="176"/>
      <c r="Q407" s="47">
        <f>[81]Source!X434</f>
        <v>104.78</v>
      </c>
      <c r="R407" s="47">
        <f>[81]Source!X435</f>
        <v>1795.89</v>
      </c>
      <c r="S407" s="47">
        <f>[81]Source!Y434</f>
        <v>73.349999999999994</v>
      </c>
      <c r="T407" s="47">
        <f>[81]Source!Y435</f>
        <v>846.34</v>
      </c>
      <c r="U407" s="47">
        <f>ROUND((175/100)*ROUND([81]Source!R434, 2), 2)</f>
        <v>1.94</v>
      </c>
      <c r="V407" s="47">
        <f>ROUND((157/100)*ROUND([81]Source!R435, 2), 2)</f>
        <v>41.2</v>
      </c>
    </row>
    <row r="408" spans="1:22" ht="14.25" x14ac:dyDescent="0.2">
      <c r="A408" s="84"/>
      <c r="B408" s="84"/>
      <c r="C408" s="85"/>
      <c r="D408" s="85" t="s">
        <v>43</v>
      </c>
      <c r="E408" s="86"/>
      <c r="F408" s="87"/>
      <c r="G408" s="88">
        <f>[81]Source!AO434</f>
        <v>986.98</v>
      </c>
      <c r="H408" s="89" t="str">
        <f>[81]Source!DG434</f>
        <v>)*1,67</v>
      </c>
      <c r="I408" s="87">
        <f>[81]Source!AV435</f>
        <v>1.0469999999999999</v>
      </c>
      <c r="J408" s="176">
        <f>[81]Source!S434</f>
        <v>87.32</v>
      </c>
      <c r="K408" s="87">
        <f>IF([81]Source!BA435&lt;&gt; 0, [81]Source!BA435, 1)</f>
        <v>23.64</v>
      </c>
      <c r="L408" s="176">
        <f>[81]Source!S435</f>
        <v>2064.2399999999998</v>
      </c>
    </row>
    <row r="409" spans="1:22" ht="14.25" x14ac:dyDescent="0.2">
      <c r="A409" s="84"/>
      <c r="B409" s="84"/>
      <c r="C409" s="85"/>
      <c r="D409" s="85" t="s">
        <v>44</v>
      </c>
      <c r="E409" s="86"/>
      <c r="F409" s="87"/>
      <c r="G409" s="88">
        <f>[81]Source!AM434</f>
        <v>99.77</v>
      </c>
      <c r="H409" s="89" t="str">
        <f>[81]Source!DE434</f>
        <v/>
      </c>
      <c r="I409" s="87">
        <f>[81]Source!AV435</f>
        <v>1.0469999999999999</v>
      </c>
      <c r="J409" s="176">
        <f>[81]Source!Q434-J422</f>
        <v>5.29</v>
      </c>
      <c r="K409" s="87">
        <f>IF([81]Source!BB435&lt;&gt; 0, [81]Source!BB435, 1)</f>
        <v>11.8</v>
      </c>
      <c r="L409" s="176">
        <f>[81]Source!Q435-L422</f>
        <v>62.42</v>
      </c>
    </row>
    <row r="410" spans="1:22" ht="14.25" x14ac:dyDescent="0.2">
      <c r="A410" s="84"/>
      <c r="B410" s="84"/>
      <c r="C410" s="85"/>
      <c r="D410" s="85" t="s">
        <v>45</v>
      </c>
      <c r="E410" s="86"/>
      <c r="F410" s="87"/>
      <c r="G410" s="88">
        <f>[81]Source!AN434</f>
        <v>12.51</v>
      </c>
      <c r="H410" s="89" t="str">
        <f>[81]Source!DE434</f>
        <v/>
      </c>
      <c r="I410" s="87">
        <f>[81]Source!AV435</f>
        <v>1.0469999999999999</v>
      </c>
      <c r="J410" s="90">
        <f>[81]Source!R434-J423</f>
        <v>0.67</v>
      </c>
      <c r="K410" s="87">
        <f>IF([81]Source!BS435&lt;&gt; 0, [81]Source!BS435, 1)</f>
        <v>23.64</v>
      </c>
      <c r="L410" s="90">
        <f>[81]Source!R435-L423</f>
        <v>15.84</v>
      </c>
    </row>
    <row r="411" spans="1:22" ht="14.25" x14ac:dyDescent="0.2">
      <c r="A411" s="84"/>
      <c r="B411" s="84"/>
      <c r="C411" s="85"/>
      <c r="D411" s="85" t="s">
        <v>46</v>
      </c>
      <c r="E411" s="86"/>
      <c r="F411" s="87"/>
      <c r="G411" s="88">
        <f>[81]Source!AL434</f>
        <v>699.78</v>
      </c>
      <c r="H411" s="89" t="str">
        <f>[81]Source!DD434</f>
        <v/>
      </c>
      <c r="I411" s="87">
        <f>[81]Source!AW435</f>
        <v>1</v>
      </c>
      <c r="J411" s="176">
        <f>[81]Source!P434</f>
        <v>35.409999999999997</v>
      </c>
      <c r="K411" s="87">
        <f>IF([81]Source!BC435&lt;&gt; 0, [81]Source!BC435, 1)</f>
        <v>0.9</v>
      </c>
      <c r="L411" s="176">
        <f>[81]Source!P435</f>
        <v>31.87</v>
      </c>
    </row>
    <row r="412" spans="1:22" ht="28.5" x14ac:dyDescent="0.2">
      <c r="A412" s="84">
        <v>60</v>
      </c>
      <c r="B412" s="84" t="str">
        <f>[81]Source!E436</f>
        <v>5,1</v>
      </c>
      <c r="C412" s="85" t="str">
        <f>[81]Source!F436</f>
        <v>1.3-2-138</v>
      </c>
      <c r="D412" s="85" t="s">
        <v>143</v>
      </c>
      <c r="E412" s="86" t="str">
        <f>[81]Source!H436</f>
        <v>т</v>
      </c>
      <c r="F412" s="87">
        <f>[81]Source!I436</f>
        <v>8.9899999999999995E-4</v>
      </c>
      <c r="G412" s="88">
        <f>[81]Source!AK436</f>
        <v>27362.67</v>
      </c>
      <c r="H412" s="123" t="s">
        <v>20</v>
      </c>
      <c r="I412" s="87">
        <f>[81]Source!AW437</f>
        <v>1</v>
      </c>
      <c r="J412" s="176">
        <f>[81]Source!O436</f>
        <v>24.6</v>
      </c>
      <c r="K412" s="87">
        <f>IF([81]Source!BC437&lt;&gt; 0, [81]Source!BC437, 1)</f>
        <v>1.01</v>
      </c>
      <c r="L412" s="176">
        <f>[81]Source!O437</f>
        <v>24.85</v>
      </c>
      <c r="Q412" s="47">
        <f>[81]Source!X436</f>
        <v>0</v>
      </c>
      <c r="R412" s="47">
        <f>[81]Source!X437</f>
        <v>0</v>
      </c>
      <c r="S412" s="47">
        <f>[81]Source!Y436</f>
        <v>0</v>
      </c>
      <c r="T412" s="47">
        <f>[81]Source!Y437</f>
        <v>0</v>
      </c>
      <c r="U412" s="47">
        <f>ROUND((175/100)*ROUND([81]Source!R436, 2), 2)</f>
        <v>0</v>
      </c>
      <c r="V412" s="47">
        <f>ROUND((157/100)*ROUND([81]Source!R437, 2), 2)</f>
        <v>0</v>
      </c>
    </row>
    <row r="413" spans="1:22" ht="85.5" x14ac:dyDescent="0.2">
      <c r="A413" s="84">
        <v>61</v>
      </c>
      <c r="B413" s="84" t="str">
        <f>[81]Source!E438</f>
        <v>5,2</v>
      </c>
      <c r="C413" s="85" t="str">
        <f>[81]Source!F438</f>
        <v>1.3-2-168</v>
      </c>
      <c r="D413" s="85" t="s">
        <v>144</v>
      </c>
      <c r="E413" s="86" t="str">
        <f>[81]Source!H438</f>
        <v>т</v>
      </c>
      <c r="F413" s="87">
        <f>[81]Source!I438</f>
        <v>2.3782000000000001E-2</v>
      </c>
      <c r="G413" s="88">
        <f>[81]Source!AK438</f>
        <v>6529.05</v>
      </c>
      <c r="H413" s="123" t="s">
        <v>20</v>
      </c>
      <c r="I413" s="87">
        <f>[81]Source!AW439</f>
        <v>1</v>
      </c>
      <c r="J413" s="176">
        <f>[81]Source!O438</f>
        <v>155.27000000000001</v>
      </c>
      <c r="K413" s="87">
        <f>IF([81]Source!BC439&lt;&gt; 0, [81]Source!BC439, 1)</f>
        <v>1.76</v>
      </c>
      <c r="L413" s="176">
        <f>[81]Source!O439</f>
        <v>273.27999999999997</v>
      </c>
      <c r="Q413" s="47">
        <f>[81]Source!X438</f>
        <v>0</v>
      </c>
      <c r="R413" s="47">
        <f>[81]Source!X439</f>
        <v>0</v>
      </c>
      <c r="S413" s="47">
        <f>[81]Source!Y438</f>
        <v>0</v>
      </c>
      <c r="T413" s="47">
        <f>[81]Source!Y439</f>
        <v>0</v>
      </c>
      <c r="U413" s="47">
        <f>ROUND((175/100)*ROUND([81]Source!R438, 2), 2)</f>
        <v>0</v>
      </c>
      <c r="V413" s="47">
        <f>ROUND((157/100)*ROUND([81]Source!R439, 2), 2)</f>
        <v>0</v>
      </c>
    </row>
    <row r="414" spans="1:22" ht="42.75" x14ac:dyDescent="0.2">
      <c r="A414" s="84">
        <v>62</v>
      </c>
      <c r="B414" s="84" t="str">
        <f>[81]Source!E440</f>
        <v>5,5</v>
      </c>
      <c r="C414" s="85" t="str">
        <f>[81]Source!F440</f>
        <v>1.1-1-3228</v>
      </c>
      <c r="D414" s="85" t="s">
        <v>266</v>
      </c>
      <c r="E414" s="86" t="str">
        <f>[81]Source!H440</f>
        <v>м2</v>
      </c>
      <c r="F414" s="87">
        <f>[81]Source!I440</f>
        <v>5.1612</v>
      </c>
      <c r="G414" s="88">
        <f>[81]Source!AK440</f>
        <v>198.81</v>
      </c>
      <c r="H414" s="123" t="s">
        <v>20</v>
      </c>
      <c r="I414" s="87">
        <f>[81]Source!AW441</f>
        <v>1</v>
      </c>
      <c r="J414" s="176">
        <f>[81]Source!O440</f>
        <v>1026.0999999999999</v>
      </c>
      <c r="K414" s="87">
        <f>IF([81]Source!BC441&lt;&gt; 0, [81]Source!BC441, 1)</f>
        <v>3.94</v>
      </c>
      <c r="L414" s="176">
        <f>[81]Source!O441</f>
        <v>4042.83</v>
      </c>
      <c r="Q414" s="47">
        <f>[81]Source!X440</f>
        <v>0</v>
      </c>
      <c r="R414" s="47">
        <f>[81]Source!X441</f>
        <v>0</v>
      </c>
      <c r="S414" s="47">
        <f>[81]Source!Y440</f>
        <v>0</v>
      </c>
      <c r="T414" s="47">
        <f>[81]Source!Y441</f>
        <v>0</v>
      </c>
      <c r="U414" s="47">
        <f>ROUND((175/100)*ROUND([81]Source!R440, 2), 2)</f>
        <v>0</v>
      </c>
      <c r="V414" s="47">
        <f>ROUND((157/100)*ROUND([81]Source!R441, 2), 2)</f>
        <v>0</v>
      </c>
    </row>
    <row r="415" spans="1:22" ht="14.25" x14ac:dyDescent="0.2">
      <c r="A415" s="84"/>
      <c r="B415" s="84"/>
      <c r="C415" s="85"/>
      <c r="D415" s="85" t="s">
        <v>47</v>
      </c>
      <c r="E415" s="86" t="s">
        <v>48</v>
      </c>
      <c r="F415" s="87">
        <f>[81]Source!DN435</f>
        <v>120</v>
      </c>
      <c r="G415" s="88"/>
      <c r="H415" s="89"/>
      <c r="I415" s="87"/>
      <c r="J415" s="176">
        <f>SUM(Q407:Q414)</f>
        <v>104.78</v>
      </c>
      <c r="K415" s="87">
        <f>[81]Source!BZ435</f>
        <v>87</v>
      </c>
      <c r="L415" s="176">
        <f>SUM(R407:R414)</f>
        <v>1795.89</v>
      </c>
    </row>
    <row r="416" spans="1:22" ht="14.25" x14ac:dyDescent="0.2">
      <c r="A416" s="84"/>
      <c r="B416" s="84"/>
      <c r="C416" s="85"/>
      <c r="D416" s="85" t="s">
        <v>49</v>
      </c>
      <c r="E416" s="86" t="s">
        <v>48</v>
      </c>
      <c r="F416" s="87">
        <f>[81]Source!DO435</f>
        <v>84</v>
      </c>
      <c r="G416" s="88"/>
      <c r="H416" s="89"/>
      <c r="I416" s="87"/>
      <c r="J416" s="176">
        <f>SUM(S407:S415)</f>
        <v>73.349999999999994</v>
      </c>
      <c r="K416" s="87">
        <f>[81]Source!CA435</f>
        <v>41</v>
      </c>
      <c r="L416" s="176">
        <f>SUM(T407:T415)</f>
        <v>846.34</v>
      </c>
    </row>
    <row r="417" spans="1:16" ht="14.25" x14ac:dyDescent="0.2">
      <c r="A417" s="84"/>
      <c r="B417" s="84"/>
      <c r="C417" s="85"/>
      <c r="D417" s="85" t="s">
        <v>50</v>
      </c>
      <c r="E417" s="86" t="s">
        <v>48</v>
      </c>
      <c r="F417" s="87">
        <f>175</f>
        <v>175</v>
      </c>
      <c r="G417" s="88"/>
      <c r="H417" s="89"/>
      <c r="I417" s="87"/>
      <c r="J417" s="176">
        <f>SUM(U407:U416)-J424</f>
        <v>1.17</v>
      </c>
      <c r="K417" s="87">
        <f>157</f>
        <v>157</v>
      </c>
      <c r="L417" s="176">
        <f>SUM(V407:V416)-L424</f>
        <v>24.87</v>
      </c>
    </row>
    <row r="418" spans="1:16" ht="14.25" x14ac:dyDescent="0.2">
      <c r="A418" s="183"/>
      <c r="B418" s="183"/>
      <c r="C418" s="184"/>
      <c r="D418" s="184" t="s">
        <v>51</v>
      </c>
      <c r="E418" s="185" t="s">
        <v>52</v>
      </c>
      <c r="F418" s="186">
        <f>[81]Source!AQ434</f>
        <v>84.08</v>
      </c>
      <c r="G418" s="187"/>
      <c r="H418" s="188" t="str">
        <f>[81]Source!DI434</f>
        <v/>
      </c>
      <c r="I418" s="186">
        <f>[81]Source!AV435</f>
        <v>1.0469999999999999</v>
      </c>
      <c r="J418" s="189">
        <f>[81]Source!U434</f>
        <v>4.45</v>
      </c>
      <c r="K418" s="186"/>
      <c r="L418" s="189"/>
    </row>
    <row r="419" spans="1:16" ht="15" x14ac:dyDescent="0.25">
      <c r="D419" s="194" t="s">
        <v>81</v>
      </c>
      <c r="I419" s="408">
        <f>J408+J409+J411+J415+J416+J417+SUM(J412:J414)</f>
        <v>1513.29</v>
      </c>
      <c r="J419" s="408"/>
      <c r="K419" s="408">
        <f>L408+L409+L411+L415+L416+L417+SUM(L412:L414)</f>
        <v>9166.59</v>
      </c>
      <c r="L419" s="408"/>
      <c r="O419" s="92">
        <f>J408+J409+J411+J415+J416+J417+SUM(J412:J414)</f>
        <v>1513.29</v>
      </c>
      <c r="P419" s="92">
        <f>L408+L409+L411+L415+L416+L417+SUM(L412:L414)</f>
        <v>9166.59</v>
      </c>
    </row>
    <row r="421" spans="1:16" ht="79.5" x14ac:dyDescent="0.2">
      <c r="A421" s="84">
        <v>63</v>
      </c>
      <c r="B421" s="84" t="str">
        <f>CONCATENATE([81]Source!E434, "/1")</f>
        <v>5/1</v>
      </c>
      <c r="C421" s="85" t="s">
        <v>202</v>
      </c>
      <c r="D421" s="85" t="s">
        <v>82</v>
      </c>
      <c r="E421" s="86" t="str">
        <f>[81]Source!H434</f>
        <v>100 м2 пола</v>
      </c>
      <c r="F421" s="87">
        <f>[81]Source!I434</f>
        <v>5.0599999999999999E-2</v>
      </c>
      <c r="G421" s="88"/>
      <c r="H421" s="89"/>
      <c r="I421" s="87"/>
      <c r="J421" s="176"/>
      <c r="K421" s="87"/>
      <c r="L421" s="176"/>
    </row>
    <row r="422" spans="1:16" ht="14.25" x14ac:dyDescent="0.2">
      <c r="A422" s="84"/>
      <c r="B422" s="84"/>
      <c r="C422" s="85"/>
      <c r="D422" s="85" t="s">
        <v>44</v>
      </c>
      <c r="E422" s="86"/>
      <c r="F422" s="87"/>
      <c r="G422" s="88">
        <f t="shared" ref="G422:L422" si="18">G423</f>
        <v>12.51</v>
      </c>
      <c r="H422" s="195" t="str">
        <f t="shared" si="18"/>
        <v>)*(1.67-1)</v>
      </c>
      <c r="I422" s="87">
        <f t="shared" si="18"/>
        <v>1.0469999999999999</v>
      </c>
      <c r="J422" s="176">
        <f t="shared" si="18"/>
        <v>0.44</v>
      </c>
      <c r="K422" s="87">
        <f t="shared" si="18"/>
        <v>23.64</v>
      </c>
      <c r="L422" s="176">
        <f t="shared" si="18"/>
        <v>10.4</v>
      </c>
    </row>
    <row r="423" spans="1:16" ht="14.25" x14ac:dyDescent="0.2">
      <c r="A423" s="84"/>
      <c r="B423" s="84"/>
      <c r="C423" s="85"/>
      <c r="D423" s="85" t="s">
        <v>45</v>
      </c>
      <c r="E423" s="86"/>
      <c r="F423" s="87"/>
      <c r="G423" s="88">
        <f>[81]Source!AN434</f>
        <v>12.51</v>
      </c>
      <c r="H423" s="195" t="s">
        <v>53</v>
      </c>
      <c r="I423" s="87">
        <f>[81]Source!AV435</f>
        <v>1.0469999999999999</v>
      </c>
      <c r="J423" s="90">
        <f>ROUND(F407*G423*I423*(1.67-1), 2)</f>
        <v>0.44</v>
      </c>
      <c r="K423" s="87">
        <f>IF([81]Source!BS435&lt;&gt; 0, [81]Source!BS435, 1)</f>
        <v>23.64</v>
      </c>
      <c r="L423" s="90">
        <f>ROUND(ROUND(F407*G423*I423*(1.67-1), 2)*K423, 2)</f>
        <v>10.4</v>
      </c>
    </row>
    <row r="424" spans="1:16" ht="14.25" x14ac:dyDescent="0.2">
      <c r="A424" s="84"/>
      <c r="B424" s="84"/>
      <c r="C424" s="85"/>
      <c r="D424" s="85" t="s">
        <v>50</v>
      </c>
      <c r="E424" s="86" t="s">
        <v>48</v>
      </c>
      <c r="F424" s="87">
        <f>175</f>
        <v>175</v>
      </c>
      <c r="G424" s="88"/>
      <c r="H424" s="89"/>
      <c r="I424" s="87"/>
      <c r="J424" s="176">
        <f>ROUND(J423*(F424/100), 2)</f>
        <v>0.77</v>
      </c>
      <c r="K424" s="87">
        <f>157</f>
        <v>157</v>
      </c>
      <c r="L424" s="176">
        <f>ROUND(L423*(K424/100), 2)</f>
        <v>16.329999999999998</v>
      </c>
    </row>
    <row r="425" spans="1:16" ht="15" x14ac:dyDescent="0.25">
      <c r="A425" s="190"/>
      <c r="B425" s="190"/>
      <c r="C425" s="190"/>
      <c r="D425" s="191" t="s">
        <v>81</v>
      </c>
      <c r="E425" s="190"/>
      <c r="F425" s="190"/>
      <c r="G425" s="190"/>
      <c r="H425" s="190"/>
      <c r="I425" s="409">
        <f>J424+J423</f>
        <v>1.21</v>
      </c>
      <c r="J425" s="409"/>
      <c r="K425" s="409">
        <f>L424+L423</f>
        <v>26.73</v>
      </c>
      <c r="L425" s="409"/>
      <c r="O425" s="92">
        <f>I425</f>
        <v>1.21</v>
      </c>
      <c r="P425" s="92">
        <f>K425</f>
        <v>26.73</v>
      </c>
    </row>
    <row r="428" spans="1:16" ht="15" x14ac:dyDescent="0.25">
      <c r="A428" s="403" t="str">
        <f>CONCATENATE("Итого по подразделу: ",IF([81]Source!G443&lt;&gt;"Новый подраздел", [81]Source!G443, ""))</f>
        <v>Итого по подразделу: Тип Т04*</v>
      </c>
      <c r="B428" s="403"/>
      <c r="C428" s="403"/>
      <c r="D428" s="403"/>
      <c r="E428" s="403"/>
      <c r="F428" s="403"/>
      <c r="G428" s="403"/>
      <c r="H428" s="403"/>
      <c r="I428" s="404">
        <f>SUM(O335:O427)</f>
        <v>2258.17</v>
      </c>
      <c r="J428" s="405"/>
      <c r="K428" s="404">
        <f>SUM(P335:P427)</f>
        <v>14983.8</v>
      </c>
      <c r="L428" s="405"/>
    </row>
    <row r="429" spans="1:16" hidden="1" x14ac:dyDescent="0.2">
      <c r="A429" s="47" t="s">
        <v>54</v>
      </c>
      <c r="J429" s="47">
        <f>SUM(W335:W428)</f>
        <v>0</v>
      </c>
      <c r="K429" s="47">
        <f>SUM(X335:X428)</f>
        <v>0</v>
      </c>
    </row>
    <row r="430" spans="1:16" hidden="1" x14ac:dyDescent="0.2">
      <c r="A430" s="47" t="s">
        <v>55</v>
      </c>
      <c r="J430" s="47">
        <f>SUM(Y335:Y429)</f>
        <v>0</v>
      </c>
      <c r="K430" s="47">
        <f>SUM(Z335:Z429)</f>
        <v>0</v>
      </c>
    </row>
    <row r="431" spans="1:16" hidden="1" x14ac:dyDescent="0.2"/>
    <row r="432" spans="1:16" ht="16.5" hidden="1" x14ac:dyDescent="0.25">
      <c r="A432" s="402" t="str">
        <f>CONCATENATE("Подраздел: ",IF([81]Source!G473&lt;&gt;"Новый подраздел", [81]Source!G473, ""))</f>
        <v>Подраздел: Тип Т04п</v>
      </c>
      <c r="B432" s="402"/>
      <c r="C432" s="402"/>
      <c r="D432" s="402"/>
      <c r="E432" s="402"/>
      <c r="F432" s="402"/>
      <c r="G432" s="402"/>
      <c r="H432" s="402"/>
      <c r="I432" s="402"/>
      <c r="J432" s="402"/>
      <c r="K432" s="402"/>
      <c r="L432" s="402"/>
    </row>
    <row r="433" spans="1:22" hidden="1" x14ac:dyDescent="0.2"/>
    <row r="434" spans="1:22" ht="15" hidden="1" x14ac:dyDescent="0.25">
      <c r="A434" s="403" t="str">
        <f>CONCATENATE("Итого по подразделу: ",IF([81]Source!G502&lt;&gt;"Новый подраздел", [81]Source!G502, ""))</f>
        <v>Итого по подразделу: Тип Т04п</v>
      </c>
      <c r="B434" s="403"/>
      <c r="C434" s="403"/>
      <c r="D434" s="403"/>
      <c r="E434" s="403"/>
      <c r="F434" s="403"/>
      <c r="G434" s="403"/>
      <c r="H434" s="403"/>
      <c r="I434" s="404">
        <f>SUM(O432:O433)</f>
        <v>0</v>
      </c>
      <c r="J434" s="405"/>
      <c r="K434" s="404">
        <f>SUM(P432:P433)</f>
        <v>0</v>
      </c>
      <c r="L434" s="405"/>
    </row>
    <row r="435" spans="1:22" hidden="1" x14ac:dyDescent="0.2">
      <c r="A435" s="47" t="s">
        <v>54</v>
      </c>
      <c r="J435" s="47">
        <f>SUM(W432:W434)</f>
        <v>0</v>
      </c>
      <c r="K435" s="47">
        <f>SUM(X432:X434)</f>
        <v>0</v>
      </c>
    </row>
    <row r="436" spans="1:22" hidden="1" x14ac:dyDescent="0.2">
      <c r="A436" s="47" t="s">
        <v>55</v>
      </c>
      <c r="J436" s="47">
        <f>SUM(Y432:Y435)</f>
        <v>0</v>
      </c>
      <c r="K436" s="47">
        <f>SUM(Z432:Z435)</f>
        <v>0</v>
      </c>
    </row>
    <row r="437" spans="1:22" hidden="1" x14ac:dyDescent="0.2"/>
    <row r="438" spans="1:22" ht="16.5" hidden="1" x14ac:dyDescent="0.25">
      <c r="A438" s="402" t="str">
        <f>CONCATENATE("Подраздел: ",IF([81]Source!G532&lt;&gt;"Новый подраздел", [81]Source!G532, ""))</f>
        <v>Подраздел: Тип Т6*</v>
      </c>
      <c r="B438" s="402"/>
      <c r="C438" s="402"/>
      <c r="D438" s="402"/>
      <c r="E438" s="402"/>
      <c r="F438" s="402"/>
      <c r="G438" s="402"/>
      <c r="H438" s="402"/>
      <c r="I438" s="402"/>
      <c r="J438" s="402"/>
      <c r="K438" s="402"/>
      <c r="L438" s="402"/>
    </row>
    <row r="439" spans="1:22" hidden="1" x14ac:dyDescent="0.2"/>
    <row r="440" spans="1:22" ht="15" hidden="1" x14ac:dyDescent="0.25">
      <c r="A440" s="403" t="str">
        <f>CONCATENATE("Итого по подразделу: ",IF([81]Source!G573&lt;&gt;"Новый подраздел", [81]Source!G573, ""))</f>
        <v>Итого по подразделу: Тип Т6*</v>
      </c>
      <c r="B440" s="403"/>
      <c r="C440" s="403"/>
      <c r="D440" s="403"/>
      <c r="E440" s="403"/>
      <c r="F440" s="403"/>
      <c r="G440" s="403"/>
      <c r="H440" s="403"/>
      <c r="I440" s="404">
        <f>SUM(O438:O439)</f>
        <v>0</v>
      </c>
      <c r="J440" s="405"/>
      <c r="K440" s="404">
        <f>SUM(P438:P439)</f>
        <v>0</v>
      </c>
      <c r="L440" s="405"/>
    </row>
    <row r="441" spans="1:22" hidden="1" x14ac:dyDescent="0.2">
      <c r="A441" s="47" t="s">
        <v>54</v>
      </c>
      <c r="J441" s="47">
        <f>SUM(W438:W440)</f>
        <v>0</v>
      </c>
      <c r="K441" s="47">
        <f>SUM(X438:X440)</f>
        <v>0</v>
      </c>
    </row>
    <row r="442" spans="1:22" hidden="1" x14ac:dyDescent="0.2">
      <c r="A442" s="47" t="s">
        <v>55</v>
      </c>
      <c r="J442" s="47">
        <f>SUM(Y438:Y441)</f>
        <v>0</v>
      </c>
      <c r="K442" s="47">
        <f>SUM(Z438:Z441)</f>
        <v>0</v>
      </c>
    </row>
    <row r="444" spans="1:22" ht="16.5" x14ac:dyDescent="0.25">
      <c r="A444" s="402" t="str">
        <f>CONCATENATE("Подраздел: ",IF([81]Source!G603&lt;&gt;"Новый подраздел", [81]Source!G603, ""))</f>
        <v>Подраздел: Тип Т06**</v>
      </c>
      <c r="B444" s="402"/>
      <c r="C444" s="402"/>
      <c r="D444" s="402"/>
      <c r="E444" s="402"/>
      <c r="F444" s="402"/>
      <c r="G444" s="402"/>
      <c r="H444" s="402"/>
      <c r="I444" s="402"/>
      <c r="J444" s="402"/>
      <c r="K444" s="402"/>
      <c r="L444" s="402"/>
    </row>
    <row r="445" spans="1:22" ht="65.25" x14ac:dyDescent="0.2">
      <c r="A445" s="84">
        <v>64</v>
      </c>
      <c r="B445" s="84" t="str">
        <f>[81]Source!E607</f>
        <v>1</v>
      </c>
      <c r="C445" s="85" t="s">
        <v>181</v>
      </c>
      <c r="D445" s="85" t="s">
        <v>182</v>
      </c>
      <c r="E445" s="86" t="str">
        <f>[81]Source!H607</f>
        <v>100 м3 в деле</v>
      </c>
      <c r="F445" s="87">
        <f>[81]Source!I607</f>
        <v>1.4E-3</v>
      </c>
      <c r="G445" s="88"/>
      <c r="H445" s="89"/>
      <c r="I445" s="87"/>
      <c r="J445" s="176"/>
      <c r="K445" s="87"/>
      <c r="L445" s="176"/>
      <c r="Q445" s="47">
        <f>[81]Source!X607</f>
        <v>3.31</v>
      </c>
      <c r="R445" s="47">
        <f>[81]Source!X608</f>
        <v>73.510000000000005</v>
      </c>
      <c r="S445" s="47">
        <f>[81]Source!Y607</f>
        <v>2.37</v>
      </c>
      <c r="T445" s="47">
        <f>[81]Source!Y608</f>
        <v>51.94</v>
      </c>
      <c r="U445" s="47">
        <f>ROUND((175/100)*ROUND([81]Source!R607, 2), 2)</f>
        <v>0.02</v>
      </c>
      <c r="V445" s="47">
        <f>ROUND((157/100)*ROUND([81]Source!R608, 2), 2)</f>
        <v>0.38</v>
      </c>
    </row>
    <row r="446" spans="1:22" ht="14.25" x14ac:dyDescent="0.2">
      <c r="A446" s="84"/>
      <c r="B446" s="84"/>
      <c r="C446" s="85"/>
      <c r="D446" s="85" t="s">
        <v>43</v>
      </c>
      <c r="E446" s="86"/>
      <c r="F446" s="87"/>
      <c r="G446" s="88">
        <f>[81]Source!AO607</f>
        <v>1379.7</v>
      </c>
      <c r="H446" s="89" t="str">
        <f>[81]Source!DG607</f>
        <v>)*1,67</v>
      </c>
      <c r="I446" s="87">
        <f>[81]Source!AV608</f>
        <v>1.0469999999999999</v>
      </c>
      <c r="J446" s="176">
        <f>[81]Source!S607</f>
        <v>3.38</v>
      </c>
      <c r="K446" s="87">
        <f>IF([81]Source!BA608&lt;&gt; 0, [81]Source!BA608, 1)</f>
        <v>23.64</v>
      </c>
      <c r="L446" s="176">
        <f>[81]Source!S608</f>
        <v>79.900000000000006</v>
      </c>
    </row>
    <row r="447" spans="1:22" ht="14.25" x14ac:dyDescent="0.2">
      <c r="A447" s="84"/>
      <c r="B447" s="84"/>
      <c r="C447" s="85"/>
      <c r="D447" s="85" t="s">
        <v>44</v>
      </c>
      <c r="E447" s="86"/>
      <c r="F447" s="87"/>
      <c r="G447" s="88">
        <f>[81]Source!AM607</f>
        <v>22.6</v>
      </c>
      <c r="H447" s="89" t="str">
        <f>[81]Source!DE607</f>
        <v/>
      </c>
      <c r="I447" s="87">
        <f>[81]Source!AV608</f>
        <v>1.0469999999999999</v>
      </c>
      <c r="J447" s="176">
        <f>[81]Source!Q607-J458</f>
        <v>0.03</v>
      </c>
      <c r="K447" s="87">
        <f>IF([81]Source!BB608&lt;&gt; 0, [81]Source!BB608, 1)</f>
        <v>5.54</v>
      </c>
      <c r="L447" s="176">
        <f>[81]Source!Q608-L458</f>
        <v>0.17</v>
      </c>
    </row>
    <row r="448" spans="1:22" ht="14.25" x14ac:dyDescent="0.2">
      <c r="A448" s="84"/>
      <c r="B448" s="84"/>
      <c r="C448" s="85"/>
      <c r="D448" s="85" t="s">
        <v>45</v>
      </c>
      <c r="E448" s="86"/>
      <c r="F448" s="87"/>
      <c r="G448" s="88">
        <f>[81]Source!AN607</f>
        <v>2.09</v>
      </c>
      <c r="H448" s="89" t="str">
        <f>[81]Source!DE607</f>
        <v/>
      </c>
      <c r="I448" s="87">
        <f>[81]Source!AV608</f>
        <v>1.0469999999999999</v>
      </c>
      <c r="J448" s="90">
        <f>[81]Source!R607-J459</f>
        <v>0.01</v>
      </c>
      <c r="K448" s="87">
        <f>IF([81]Source!BS608&lt;&gt; 0, [81]Source!BS608, 1)</f>
        <v>23.64</v>
      </c>
      <c r="L448" s="90">
        <f>[81]Source!R608-L459</f>
        <v>0.24</v>
      </c>
    </row>
    <row r="449" spans="1:22" ht="14.25" x14ac:dyDescent="0.2">
      <c r="A449" s="84"/>
      <c r="B449" s="84"/>
      <c r="C449" s="85"/>
      <c r="D449" s="85" t="s">
        <v>46</v>
      </c>
      <c r="E449" s="86"/>
      <c r="F449" s="87"/>
      <c r="G449" s="88">
        <f>[81]Source!AL607</f>
        <v>1859.87</v>
      </c>
      <c r="H449" s="89" t="str">
        <f>[81]Source!DD607</f>
        <v/>
      </c>
      <c r="I449" s="87">
        <f>[81]Source!AW608</f>
        <v>1.022</v>
      </c>
      <c r="J449" s="176">
        <f>[81]Source!P607</f>
        <v>2.66</v>
      </c>
      <c r="K449" s="87">
        <f>IF([81]Source!BC608&lt;&gt; 0, [81]Source!BC608, 1)</f>
        <v>2.95</v>
      </c>
      <c r="L449" s="176">
        <f>[81]Source!P608</f>
        <v>7.85</v>
      </c>
    </row>
    <row r="450" spans="1:22" ht="42.75" x14ac:dyDescent="0.2">
      <c r="A450" s="84">
        <v>65</v>
      </c>
      <c r="B450" s="84" t="str">
        <f>[81]Source!E609</f>
        <v>1,1</v>
      </c>
      <c r="C450" s="85" t="str">
        <f>[81]Source!F609</f>
        <v>1.3-1-164</v>
      </c>
      <c r="D450" s="85" t="s">
        <v>183</v>
      </c>
      <c r="E450" s="86" t="str">
        <f>[81]Source!H609</f>
        <v>м3</v>
      </c>
      <c r="F450" s="87">
        <f>[81]Source!I609</f>
        <v>0.14280000000000001</v>
      </c>
      <c r="G450" s="88">
        <f>[81]Source!AK609</f>
        <v>607.97</v>
      </c>
      <c r="H450" s="123" t="s">
        <v>20</v>
      </c>
      <c r="I450" s="87">
        <f>[81]Source!AW610</f>
        <v>1.022</v>
      </c>
      <c r="J450" s="176">
        <f>[81]Source!O609</f>
        <v>88.73</v>
      </c>
      <c r="K450" s="87">
        <f>IF([81]Source!BC610&lt;&gt; 0, [81]Source!BC610, 1)</f>
        <v>5.98</v>
      </c>
      <c r="L450" s="176">
        <f>[81]Source!O610</f>
        <v>530.61</v>
      </c>
      <c r="Q450" s="47">
        <f>[81]Source!X609</f>
        <v>0</v>
      </c>
      <c r="R450" s="47">
        <f>[81]Source!X610</f>
        <v>0</v>
      </c>
      <c r="S450" s="47">
        <f>[81]Source!Y609</f>
        <v>0</v>
      </c>
      <c r="T450" s="47">
        <f>[81]Source!Y610</f>
        <v>0</v>
      </c>
      <c r="U450" s="47">
        <f>ROUND((175/100)*ROUND([81]Source!R609, 2), 2)</f>
        <v>0</v>
      </c>
      <c r="V450" s="47">
        <f>ROUND((157/100)*ROUND([81]Source!R610, 2), 2)</f>
        <v>0</v>
      </c>
    </row>
    <row r="451" spans="1:22" ht="14.25" x14ac:dyDescent="0.2">
      <c r="A451" s="84"/>
      <c r="B451" s="84"/>
      <c r="C451" s="85"/>
      <c r="D451" s="85" t="s">
        <v>47</v>
      </c>
      <c r="E451" s="86" t="s">
        <v>48</v>
      </c>
      <c r="F451" s="87">
        <f>[81]Source!DN608</f>
        <v>98</v>
      </c>
      <c r="G451" s="88"/>
      <c r="H451" s="89"/>
      <c r="I451" s="87"/>
      <c r="J451" s="176">
        <f>SUM(Q445:Q450)</f>
        <v>3.31</v>
      </c>
      <c r="K451" s="87">
        <f>[81]Source!BZ608</f>
        <v>92</v>
      </c>
      <c r="L451" s="176">
        <f>SUM(R445:R450)</f>
        <v>73.510000000000005</v>
      </c>
    </row>
    <row r="452" spans="1:22" ht="14.25" x14ac:dyDescent="0.2">
      <c r="A452" s="84"/>
      <c r="B452" s="84"/>
      <c r="C452" s="85"/>
      <c r="D452" s="85" t="s">
        <v>49</v>
      </c>
      <c r="E452" s="86" t="s">
        <v>48</v>
      </c>
      <c r="F452" s="87">
        <f>[81]Source!DO608</f>
        <v>70</v>
      </c>
      <c r="G452" s="88"/>
      <c r="H452" s="89"/>
      <c r="I452" s="87"/>
      <c r="J452" s="176">
        <f>SUM(S445:S451)</f>
        <v>2.37</v>
      </c>
      <c r="K452" s="87">
        <f>[81]Source!CA608</f>
        <v>65</v>
      </c>
      <c r="L452" s="176">
        <f>SUM(T445:T451)</f>
        <v>51.94</v>
      </c>
    </row>
    <row r="453" spans="1:22" ht="14.25" x14ac:dyDescent="0.2">
      <c r="A453" s="84"/>
      <c r="B453" s="84"/>
      <c r="C453" s="85"/>
      <c r="D453" s="85" t="s">
        <v>50</v>
      </c>
      <c r="E453" s="86" t="s">
        <v>48</v>
      </c>
      <c r="F453" s="87">
        <f>175</f>
        <v>175</v>
      </c>
      <c r="G453" s="88"/>
      <c r="H453" s="89"/>
      <c r="I453" s="87"/>
      <c r="J453" s="176">
        <f>SUM(U445:U452)-J460</f>
        <v>0.02</v>
      </c>
      <c r="K453" s="87">
        <f>157</f>
        <v>157</v>
      </c>
      <c r="L453" s="176">
        <f>SUM(V445:V452)-L460</f>
        <v>0.38</v>
      </c>
    </row>
    <row r="454" spans="1:22" ht="14.25" x14ac:dyDescent="0.2">
      <c r="A454" s="183"/>
      <c r="B454" s="183"/>
      <c r="C454" s="184"/>
      <c r="D454" s="184" t="s">
        <v>51</v>
      </c>
      <c r="E454" s="185" t="s">
        <v>52</v>
      </c>
      <c r="F454" s="186">
        <f>[81]Source!AQ607</f>
        <v>135</v>
      </c>
      <c r="G454" s="187"/>
      <c r="H454" s="188" t="str">
        <f>[81]Source!DI607</f>
        <v/>
      </c>
      <c r="I454" s="186">
        <f>[81]Source!AV608</f>
        <v>1.0469999999999999</v>
      </c>
      <c r="J454" s="189">
        <f>[81]Source!U607</f>
        <v>0.2</v>
      </c>
      <c r="K454" s="186"/>
      <c r="L454" s="189"/>
    </row>
    <row r="455" spans="1:22" ht="15" x14ac:dyDescent="0.25">
      <c r="D455" s="194" t="s">
        <v>81</v>
      </c>
      <c r="I455" s="408">
        <f>J446+J447+J449+J451+J452+J453+SUM(J450:J450)</f>
        <v>100.5</v>
      </c>
      <c r="J455" s="408"/>
      <c r="K455" s="408">
        <f>L446+L447+L449+L451+L452+L453+SUM(L450:L450)</f>
        <v>744.36</v>
      </c>
      <c r="L455" s="408"/>
      <c r="O455" s="92">
        <f>J446+J447+J449+J451+J452+J453+SUM(J450:J450)</f>
        <v>100.5</v>
      </c>
      <c r="P455" s="92">
        <f>L446+L447+L449+L451+L452+L453+SUM(L450:L450)</f>
        <v>744.36</v>
      </c>
    </row>
    <row r="457" spans="1:22" ht="65.25" x14ac:dyDescent="0.2">
      <c r="A457" s="84">
        <v>66</v>
      </c>
      <c r="B457" s="84" t="str">
        <f>CONCATENATE([81]Source!E607, "/1")</f>
        <v>1/1</v>
      </c>
      <c r="C457" s="85" t="s">
        <v>184</v>
      </c>
      <c r="D457" s="85" t="s">
        <v>82</v>
      </c>
      <c r="E457" s="86" t="str">
        <f>[81]Source!H607</f>
        <v>100 м3 в деле</v>
      </c>
      <c r="F457" s="87">
        <f>[81]Source!I607</f>
        <v>1.4E-3</v>
      </c>
      <c r="G457" s="88"/>
      <c r="H457" s="89"/>
      <c r="I457" s="87"/>
      <c r="J457" s="176"/>
      <c r="K457" s="87"/>
      <c r="L457" s="176"/>
    </row>
    <row r="458" spans="1:22" ht="14.25" x14ac:dyDescent="0.2">
      <c r="A458" s="84"/>
      <c r="B458" s="84"/>
      <c r="C458" s="85"/>
      <c r="D458" s="85" t="s">
        <v>44</v>
      </c>
      <c r="E458" s="86"/>
      <c r="F458" s="87"/>
      <c r="G458" s="88">
        <f t="shared" ref="G458:L458" si="19">G459</f>
        <v>2.09</v>
      </c>
      <c r="H458" s="195" t="str">
        <f t="shared" si="19"/>
        <v>)*(1.67-1)</v>
      </c>
      <c r="I458" s="87">
        <f t="shared" si="19"/>
        <v>1.0469999999999999</v>
      </c>
      <c r="J458" s="176">
        <f t="shared" si="19"/>
        <v>0</v>
      </c>
      <c r="K458" s="87">
        <f t="shared" si="19"/>
        <v>23.64</v>
      </c>
      <c r="L458" s="176">
        <f t="shared" si="19"/>
        <v>0</v>
      </c>
    </row>
    <row r="459" spans="1:22" ht="14.25" x14ac:dyDescent="0.2">
      <c r="A459" s="84"/>
      <c r="B459" s="84"/>
      <c r="C459" s="85"/>
      <c r="D459" s="85" t="s">
        <v>45</v>
      </c>
      <c r="E459" s="86"/>
      <c r="F459" s="87"/>
      <c r="G459" s="88">
        <f>[81]Source!AN607</f>
        <v>2.09</v>
      </c>
      <c r="H459" s="195" t="s">
        <v>53</v>
      </c>
      <c r="I459" s="87">
        <f>[81]Source!AV608</f>
        <v>1.0469999999999999</v>
      </c>
      <c r="J459" s="90">
        <f>ROUND(F445*G459*I459*(1.67-1), 2)</f>
        <v>0</v>
      </c>
      <c r="K459" s="87">
        <f>IF([81]Source!BS608&lt;&gt; 0, [81]Source!BS608, 1)</f>
        <v>23.64</v>
      </c>
      <c r="L459" s="90">
        <f>ROUND(ROUND(F445*G459*I459*(1.67-1), 2)*K459, 2)</f>
        <v>0</v>
      </c>
    </row>
    <row r="460" spans="1:22" ht="14.25" x14ac:dyDescent="0.2">
      <c r="A460" s="84"/>
      <c r="B460" s="84"/>
      <c r="C460" s="85"/>
      <c r="D460" s="85" t="s">
        <v>50</v>
      </c>
      <c r="E460" s="86" t="s">
        <v>48</v>
      </c>
      <c r="F460" s="87">
        <f>175</f>
        <v>175</v>
      </c>
      <c r="G460" s="88"/>
      <c r="H460" s="89"/>
      <c r="I460" s="87"/>
      <c r="J460" s="176">
        <f>ROUND(J459*(F460/100), 2)</f>
        <v>0</v>
      </c>
      <c r="K460" s="87">
        <f>157</f>
        <v>157</v>
      </c>
      <c r="L460" s="176">
        <f>ROUND(L459*(K460/100), 2)</f>
        <v>0</v>
      </c>
    </row>
    <row r="461" spans="1:22" ht="15" x14ac:dyDescent="0.25">
      <c r="A461" s="190"/>
      <c r="B461" s="190"/>
      <c r="C461" s="190"/>
      <c r="D461" s="191" t="s">
        <v>81</v>
      </c>
      <c r="E461" s="190"/>
      <c r="F461" s="190"/>
      <c r="G461" s="190"/>
      <c r="H461" s="190"/>
      <c r="I461" s="409">
        <f>J460+J459</f>
        <v>0</v>
      </c>
      <c r="J461" s="409"/>
      <c r="K461" s="409">
        <f>L460+L459</f>
        <v>0</v>
      </c>
      <c r="L461" s="409"/>
      <c r="O461" s="92">
        <f>I461</f>
        <v>0</v>
      </c>
      <c r="P461" s="92">
        <f>K461</f>
        <v>0</v>
      </c>
    </row>
    <row r="463" spans="1:22" ht="65.25" x14ac:dyDescent="0.2">
      <c r="A463" s="84">
        <v>67</v>
      </c>
      <c r="B463" s="84" t="str">
        <f>[81]Source!E611</f>
        <v>3</v>
      </c>
      <c r="C463" s="85" t="s">
        <v>198</v>
      </c>
      <c r="D463" s="85" t="s">
        <v>199</v>
      </c>
      <c r="E463" s="86" t="str">
        <f>[81]Source!H611</f>
        <v>1 Т</v>
      </c>
      <c r="F463" s="87">
        <f>[81]Source!I611</f>
        <v>0.01</v>
      </c>
      <c r="G463" s="88"/>
      <c r="H463" s="89"/>
      <c r="I463" s="87"/>
      <c r="J463" s="176"/>
      <c r="K463" s="87"/>
      <c r="L463" s="176"/>
      <c r="Q463" s="47">
        <f>[81]Source!X611</f>
        <v>2.2999999999999998</v>
      </c>
      <c r="R463" s="47">
        <f>[81]Source!X612</f>
        <v>51.11</v>
      </c>
      <c r="S463" s="47">
        <f>[81]Source!Y611</f>
        <v>1.65</v>
      </c>
      <c r="T463" s="47">
        <f>[81]Source!Y612</f>
        <v>36.11</v>
      </c>
      <c r="U463" s="47">
        <f>ROUND((175/100)*ROUND([81]Source!R611, 2), 2)</f>
        <v>0.18</v>
      </c>
      <c r="V463" s="47">
        <f>ROUND((157/100)*ROUND([81]Source!R612, 2), 2)</f>
        <v>3.71</v>
      </c>
    </row>
    <row r="464" spans="1:22" ht="14.25" x14ac:dyDescent="0.2">
      <c r="A464" s="84"/>
      <c r="B464" s="84"/>
      <c r="C464" s="85"/>
      <c r="D464" s="85" t="s">
        <v>43</v>
      </c>
      <c r="E464" s="86"/>
      <c r="F464" s="87"/>
      <c r="G464" s="88">
        <f>[81]Source!AO611</f>
        <v>134.68</v>
      </c>
      <c r="H464" s="89" t="str">
        <f>[81]Source!DG611</f>
        <v>)*1,67</v>
      </c>
      <c r="I464" s="87">
        <f>[81]Source!AV612</f>
        <v>1.0469999999999999</v>
      </c>
      <c r="J464" s="176">
        <f>[81]Source!S611</f>
        <v>2.35</v>
      </c>
      <c r="K464" s="87">
        <f>IF([81]Source!BA612&lt;&gt; 0, [81]Source!BA612, 1)</f>
        <v>23.64</v>
      </c>
      <c r="L464" s="176">
        <f>[81]Source!S612</f>
        <v>55.55</v>
      </c>
    </row>
    <row r="465" spans="1:22" ht="14.25" x14ac:dyDescent="0.2">
      <c r="A465" s="84"/>
      <c r="B465" s="84"/>
      <c r="C465" s="85"/>
      <c r="D465" s="85" t="s">
        <v>44</v>
      </c>
      <c r="E465" s="86"/>
      <c r="F465" s="87"/>
      <c r="G465" s="88">
        <f>[81]Source!AM611</f>
        <v>44</v>
      </c>
      <c r="H465" s="89" t="str">
        <f>[81]Source!DE611</f>
        <v/>
      </c>
      <c r="I465" s="87">
        <f>[81]Source!AV612</f>
        <v>1.0469999999999999</v>
      </c>
      <c r="J465" s="176">
        <f>[81]Source!Q611-J476</f>
        <v>0.46</v>
      </c>
      <c r="K465" s="87">
        <f>IF([81]Source!BB612&lt;&gt; 0, [81]Source!BB612, 1)</f>
        <v>8.2899999999999991</v>
      </c>
      <c r="L465" s="176">
        <f>[81]Source!Q612-L476</f>
        <v>3.81</v>
      </c>
    </row>
    <row r="466" spans="1:22" ht="14.25" x14ac:dyDescent="0.2">
      <c r="A466" s="84"/>
      <c r="B466" s="84"/>
      <c r="C466" s="85"/>
      <c r="D466" s="85" t="s">
        <v>45</v>
      </c>
      <c r="E466" s="86"/>
      <c r="F466" s="87"/>
      <c r="G466" s="88">
        <f>[81]Source!AN611</f>
        <v>5.59</v>
      </c>
      <c r="H466" s="89" t="str">
        <f>[81]Source!DE611</f>
        <v/>
      </c>
      <c r="I466" s="87">
        <f>[81]Source!AV612</f>
        <v>1.0469999999999999</v>
      </c>
      <c r="J466" s="90">
        <f>[81]Source!R611-J477</f>
        <v>0.06</v>
      </c>
      <c r="K466" s="87">
        <f>IF([81]Source!BS612&lt;&gt; 0, [81]Source!BS612, 1)</f>
        <v>23.64</v>
      </c>
      <c r="L466" s="90">
        <f>[81]Source!R612-L477</f>
        <v>1.41</v>
      </c>
    </row>
    <row r="467" spans="1:22" ht="14.25" x14ac:dyDescent="0.2">
      <c r="A467" s="84"/>
      <c r="B467" s="84"/>
      <c r="C467" s="85"/>
      <c r="D467" s="85" t="s">
        <v>46</v>
      </c>
      <c r="E467" s="86"/>
      <c r="F467" s="87"/>
      <c r="G467" s="88">
        <f>[81]Source!AL611</f>
        <v>258.91000000000003</v>
      </c>
      <c r="H467" s="89" t="str">
        <f>[81]Source!DD611</f>
        <v/>
      </c>
      <c r="I467" s="87">
        <f>[81]Source!AW612</f>
        <v>1.022</v>
      </c>
      <c r="J467" s="176">
        <f>[81]Source!P611</f>
        <v>2.65</v>
      </c>
      <c r="K467" s="87">
        <f>IF([81]Source!BC612&lt;&gt; 0, [81]Source!BC612, 1)</f>
        <v>4.8600000000000003</v>
      </c>
      <c r="L467" s="176">
        <f>[81]Source!P612</f>
        <v>12.88</v>
      </c>
    </row>
    <row r="468" spans="1:22" ht="57" x14ac:dyDescent="0.2">
      <c r="A468" s="84">
        <v>68</v>
      </c>
      <c r="B468" s="84" t="str">
        <f>[81]Source!E613</f>
        <v>3,1</v>
      </c>
      <c r="C468" s="85" t="str">
        <f>[81]Source!F613</f>
        <v>1.3-4-75</v>
      </c>
      <c r="D468" s="85" t="s">
        <v>200</v>
      </c>
      <c r="E468" s="86" t="str">
        <f>[81]Source!H613</f>
        <v>т</v>
      </c>
      <c r="F468" s="87">
        <f>[81]Source!I613</f>
        <v>0.01</v>
      </c>
      <c r="G468" s="88">
        <f>[81]Source!AK613</f>
        <v>9733.52</v>
      </c>
      <c r="H468" s="123" t="s">
        <v>20</v>
      </c>
      <c r="I468" s="87">
        <f>[81]Source!AW614</f>
        <v>1.022</v>
      </c>
      <c r="J468" s="176">
        <f>[81]Source!O613</f>
        <v>99.48</v>
      </c>
      <c r="K468" s="87">
        <f>IF([81]Source!BC614&lt;&gt; 0, [81]Source!BC614, 1)</f>
        <v>3.19</v>
      </c>
      <c r="L468" s="176">
        <f>[81]Source!O614</f>
        <v>317.33999999999997</v>
      </c>
      <c r="Q468" s="47">
        <f>[81]Source!X613</f>
        <v>0</v>
      </c>
      <c r="R468" s="47">
        <f>[81]Source!X614</f>
        <v>0</v>
      </c>
      <c r="S468" s="47">
        <f>[81]Source!Y613</f>
        <v>0</v>
      </c>
      <c r="T468" s="47">
        <f>[81]Source!Y614</f>
        <v>0</v>
      </c>
      <c r="U468" s="47">
        <f>ROUND((175/100)*ROUND([81]Source!R613, 2), 2)</f>
        <v>0</v>
      </c>
      <c r="V468" s="47">
        <f>ROUND((157/100)*ROUND([81]Source!R614, 2), 2)</f>
        <v>0</v>
      </c>
    </row>
    <row r="469" spans="1:22" ht="14.25" x14ac:dyDescent="0.2">
      <c r="A469" s="84"/>
      <c r="B469" s="84"/>
      <c r="C469" s="85"/>
      <c r="D469" s="85" t="s">
        <v>47</v>
      </c>
      <c r="E469" s="86" t="s">
        <v>48</v>
      </c>
      <c r="F469" s="87">
        <f>[81]Source!DN612</f>
        <v>98</v>
      </c>
      <c r="G469" s="88"/>
      <c r="H469" s="89"/>
      <c r="I469" s="87"/>
      <c r="J469" s="176">
        <f>SUM(Q463:Q468)</f>
        <v>2.2999999999999998</v>
      </c>
      <c r="K469" s="87">
        <f>[81]Source!BZ612</f>
        <v>92</v>
      </c>
      <c r="L469" s="176">
        <f>SUM(R463:R468)</f>
        <v>51.11</v>
      </c>
    </row>
    <row r="470" spans="1:22" ht="14.25" x14ac:dyDescent="0.2">
      <c r="A470" s="84"/>
      <c r="B470" s="84"/>
      <c r="C470" s="85"/>
      <c r="D470" s="85" t="s">
        <v>49</v>
      </c>
      <c r="E470" s="86" t="s">
        <v>48</v>
      </c>
      <c r="F470" s="87">
        <f>[81]Source!DO612</f>
        <v>70</v>
      </c>
      <c r="G470" s="88"/>
      <c r="H470" s="89"/>
      <c r="I470" s="87"/>
      <c r="J470" s="176">
        <f>SUM(S463:S469)</f>
        <v>1.65</v>
      </c>
      <c r="K470" s="87">
        <f>[81]Source!CA612</f>
        <v>65</v>
      </c>
      <c r="L470" s="176">
        <f>SUM(T463:T469)</f>
        <v>36.11</v>
      </c>
    </row>
    <row r="471" spans="1:22" ht="14.25" x14ac:dyDescent="0.2">
      <c r="A471" s="84"/>
      <c r="B471" s="84"/>
      <c r="C471" s="85"/>
      <c r="D471" s="85" t="s">
        <v>50</v>
      </c>
      <c r="E471" s="86" t="s">
        <v>48</v>
      </c>
      <c r="F471" s="87">
        <f>175</f>
        <v>175</v>
      </c>
      <c r="G471" s="88"/>
      <c r="H471" s="89"/>
      <c r="I471" s="87"/>
      <c r="J471" s="176">
        <f>SUM(U463:U470)-J478</f>
        <v>0.11</v>
      </c>
      <c r="K471" s="87">
        <f>157</f>
        <v>157</v>
      </c>
      <c r="L471" s="176">
        <f>SUM(V463:V470)-L478</f>
        <v>2.2200000000000002</v>
      </c>
    </row>
    <row r="472" spans="1:22" ht="14.25" x14ac:dyDescent="0.2">
      <c r="A472" s="183"/>
      <c r="B472" s="183"/>
      <c r="C472" s="184"/>
      <c r="D472" s="184" t="s">
        <v>51</v>
      </c>
      <c r="E472" s="185" t="s">
        <v>52</v>
      </c>
      <c r="F472" s="186">
        <f>[81]Source!AQ611</f>
        <v>11.6</v>
      </c>
      <c r="G472" s="187"/>
      <c r="H472" s="188" t="str">
        <f>[81]Source!DI611</f>
        <v/>
      </c>
      <c r="I472" s="186">
        <f>[81]Source!AV612</f>
        <v>1.0469999999999999</v>
      </c>
      <c r="J472" s="189">
        <f>[81]Source!U611</f>
        <v>0.12</v>
      </c>
      <c r="K472" s="186"/>
      <c r="L472" s="189"/>
    </row>
    <row r="473" spans="1:22" ht="15" x14ac:dyDescent="0.25">
      <c r="D473" s="194" t="s">
        <v>81</v>
      </c>
      <c r="I473" s="408">
        <f>J464+J465+J467+J469+J470+J471+SUM(J468:J468)</f>
        <v>109</v>
      </c>
      <c r="J473" s="408"/>
      <c r="K473" s="408">
        <f>L464+L465+L467+L469+L470+L471+SUM(L468:L468)</f>
        <v>479.02</v>
      </c>
      <c r="L473" s="408"/>
      <c r="O473" s="92">
        <f>J464+J465+J467+J469+J470+J471+SUM(J468:J468)</f>
        <v>109</v>
      </c>
      <c r="P473" s="92">
        <f>L464+L465+L467+L469+L470+L471+SUM(L468:L468)</f>
        <v>479.02</v>
      </c>
    </row>
    <row r="475" spans="1:22" ht="65.25" x14ac:dyDescent="0.2">
      <c r="A475" s="84">
        <v>69</v>
      </c>
      <c r="B475" s="84" t="str">
        <f>CONCATENATE([81]Source!E611, "/1")</f>
        <v>3/1</v>
      </c>
      <c r="C475" s="85" t="s">
        <v>201</v>
      </c>
      <c r="D475" s="85" t="s">
        <v>82</v>
      </c>
      <c r="E475" s="86" t="str">
        <f>[81]Source!H611</f>
        <v>1 Т</v>
      </c>
      <c r="F475" s="87">
        <f>[81]Source!I611</f>
        <v>0.01</v>
      </c>
      <c r="G475" s="88"/>
      <c r="H475" s="89"/>
      <c r="I475" s="87"/>
      <c r="J475" s="176"/>
      <c r="K475" s="87"/>
      <c r="L475" s="176"/>
    </row>
    <row r="476" spans="1:22" ht="14.25" x14ac:dyDescent="0.2">
      <c r="A476" s="84"/>
      <c r="B476" s="84"/>
      <c r="C476" s="85"/>
      <c r="D476" s="85" t="s">
        <v>44</v>
      </c>
      <c r="E476" s="86"/>
      <c r="F476" s="87"/>
      <c r="G476" s="88">
        <f t="shared" ref="G476:L476" si="20">G477</f>
        <v>5.59</v>
      </c>
      <c r="H476" s="195" t="str">
        <f t="shared" si="20"/>
        <v>)*(1.67-1)</v>
      </c>
      <c r="I476" s="87">
        <f t="shared" si="20"/>
        <v>1.0469999999999999</v>
      </c>
      <c r="J476" s="176">
        <f t="shared" si="20"/>
        <v>0.04</v>
      </c>
      <c r="K476" s="87">
        <f t="shared" si="20"/>
        <v>23.64</v>
      </c>
      <c r="L476" s="176">
        <f t="shared" si="20"/>
        <v>0.95</v>
      </c>
    </row>
    <row r="477" spans="1:22" ht="14.25" x14ac:dyDescent="0.2">
      <c r="A477" s="84"/>
      <c r="B477" s="84"/>
      <c r="C477" s="85"/>
      <c r="D477" s="85" t="s">
        <v>45</v>
      </c>
      <c r="E477" s="86"/>
      <c r="F477" s="87"/>
      <c r="G477" s="88">
        <f>[81]Source!AN611</f>
        <v>5.59</v>
      </c>
      <c r="H477" s="195" t="s">
        <v>53</v>
      </c>
      <c r="I477" s="87">
        <f>[81]Source!AV612</f>
        <v>1.0469999999999999</v>
      </c>
      <c r="J477" s="90">
        <f>ROUND(F463*G477*I477*(1.67-1), 2)</f>
        <v>0.04</v>
      </c>
      <c r="K477" s="87">
        <f>IF([81]Source!BS612&lt;&gt; 0, [81]Source!BS612, 1)</f>
        <v>23.64</v>
      </c>
      <c r="L477" s="90">
        <f>ROUND(ROUND(F463*G477*I477*(1.67-1), 2)*K477, 2)</f>
        <v>0.95</v>
      </c>
    </row>
    <row r="478" spans="1:22" ht="14.25" x14ac:dyDescent="0.2">
      <c r="A478" s="84"/>
      <c r="B478" s="84"/>
      <c r="C478" s="85"/>
      <c r="D478" s="85" t="s">
        <v>50</v>
      </c>
      <c r="E478" s="86" t="s">
        <v>48</v>
      </c>
      <c r="F478" s="87">
        <f>175</f>
        <v>175</v>
      </c>
      <c r="G478" s="88"/>
      <c r="H478" s="89"/>
      <c r="I478" s="87"/>
      <c r="J478" s="176">
        <f>ROUND(J477*(F478/100), 2)</f>
        <v>7.0000000000000007E-2</v>
      </c>
      <c r="K478" s="87">
        <f>157</f>
        <v>157</v>
      </c>
      <c r="L478" s="176">
        <f>ROUND(L477*(K478/100), 2)</f>
        <v>1.49</v>
      </c>
    </row>
    <row r="479" spans="1:22" ht="15" x14ac:dyDescent="0.25">
      <c r="A479" s="190"/>
      <c r="B479" s="190"/>
      <c r="C479" s="190"/>
      <c r="D479" s="191" t="s">
        <v>81</v>
      </c>
      <c r="E479" s="190"/>
      <c r="F479" s="190"/>
      <c r="G479" s="190"/>
      <c r="H479" s="190"/>
      <c r="I479" s="409">
        <f>J478+J477</f>
        <v>0.11</v>
      </c>
      <c r="J479" s="409"/>
      <c r="K479" s="409">
        <f>L478+L477</f>
        <v>2.44</v>
      </c>
      <c r="L479" s="409"/>
      <c r="O479" s="92">
        <f>I479</f>
        <v>0.11</v>
      </c>
      <c r="P479" s="92">
        <f>K479</f>
        <v>2.44</v>
      </c>
    </row>
    <row r="481" spans="1:22" ht="65.25" x14ac:dyDescent="0.2">
      <c r="A481" s="84">
        <v>70</v>
      </c>
      <c r="B481" s="84" t="str">
        <f>[81]Source!E615</f>
        <v>4</v>
      </c>
      <c r="C481" s="85" t="s">
        <v>191</v>
      </c>
      <c r="D481" s="85" t="s">
        <v>192</v>
      </c>
      <c r="E481" s="86" t="str">
        <f>[81]Source!H615</f>
        <v>100 м2 стяжки</v>
      </c>
      <c r="F481" s="87">
        <f>[81]Source!I615</f>
        <v>1.84E-2</v>
      </c>
      <c r="G481" s="88"/>
      <c r="H481" s="89"/>
      <c r="I481" s="87"/>
      <c r="J481" s="176"/>
      <c r="K481" s="87"/>
      <c r="L481" s="176"/>
      <c r="Q481" s="47">
        <f>[81]Source!X615</f>
        <v>9.3699999999999992</v>
      </c>
      <c r="R481" s="47">
        <f>[81]Source!X616</f>
        <v>160.63</v>
      </c>
      <c r="S481" s="47">
        <f>[81]Source!Y615</f>
        <v>6.56</v>
      </c>
      <c r="T481" s="47">
        <f>[81]Source!Y616</f>
        <v>75.7</v>
      </c>
      <c r="U481" s="47">
        <f>ROUND((175/100)*ROUND([81]Source!R615, 2), 2)</f>
        <v>0.02</v>
      </c>
      <c r="V481" s="47">
        <f>ROUND((157/100)*ROUND([81]Source!R616, 2), 2)</f>
        <v>0.38</v>
      </c>
    </row>
    <row r="482" spans="1:22" ht="14.25" x14ac:dyDescent="0.2">
      <c r="A482" s="84"/>
      <c r="B482" s="84"/>
      <c r="C482" s="85"/>
      <c r="D482" s="85" t="s">
        <v>43</v>
      </c>
      <c r="E482" s="86"/>
      <c r="F482" s="87"/>
      <c r="G482" s="88">
        <f>[81]Source!AO615</f>
        <v>242.87</v>
      </c>
      <c r="H482" s="89" t="str">
        <f>[81]Source!DG615</f>
        <v>)*1,67</v>
      </c>
      <c r="I482" s="87">
        <f>[81]Source!AV616</f>
        <v>1.0469999999999999</v>
      </c>
      <c r="J482" s="176">
        <f>[81]Source!S615</f>
        <v>7.81</v>
      </c>
      <c r="K482" s="87">
        <f>IF([81]Source!BA616&lt;&gt; 0, [81]Source!BA616, 1)</f>
        <v>23.64</v>
      </c>
      <c r="L482" s="176">
        <f>[81]Source!S616</f>
        <v>184.63</v>
      </c>
    </row>
    <row r="483" spans="1:22" ht="14.25" x14ac:dyDescent="0.2">
      <c r="A483" s="84"/>
      <c r="B483" s="84"/>
      <c r="C483" s="85"/>
      <c r="D483" s="85" t="s">
        <v>44</v>
      </c>
      <c r="E483" s="86"/>
      <c r="F483" s="87"/>
      <c r="G483" s="88">
        <f>[81]Source!AM615</f>
        <v>12.59</v>
      </c>
      <c r="H483" s="89" t="str">
        <f>[81]Source!DE615</f>
        <v/>
      </c>
      <c r="I483" s="87">
        <f>[81]Source!AV616</f>
        <v>1.0469999999999999</v>
      </c>
      <c r="J483" s="176">
        <f>[81]Source!Q615-J494</f>
        <v>0.24</v>
      </c>
      <c r="K483" s="87">
        <f>IF([81]Source!BB616&lt;&gt; 0, [81]Source!BB616, 1)</f>
        <v>1.58</v>
      </c>
      <c r="L483" s="176">
        <f>[81]Source!Q616-L494</f>
        <v>0.38</v>
      </c>
    </row>
    <row r="484" spans="1:22" ht="14.25" x14ac:dyDescent="0.2">
      <c r="A484" s="84"/>
      <c r="B484" s="84"/>
      <c r="C484" s="85"/>
      <c r="D484" s="85" t="s">
        <v>45</v>
      </c>
      <c r="E484" s="86"/>
      <c r="F484" s="87"/>
      <c r="G484" s="88">
        <f>[81]Source!AN615</f>
        <v>0.31</v>
      </c>
      <c r="H484" s="89" t="str">
        <f>[81]Source!DE615</f>
        <v/>
      </c>
      <c r="I484" s="87">
        <f>[81]Source!AV616</f>
        <v>1.0469999999999999</v>
      </c>
      <c r="J484" s="90">
        <f>[81]Source!R615-J495</f>
        <v>0.01</v>
      </c>
      <c r="K484" s="87">
        <f>IF([81]Source!BS616&lt;&gt; 0, [81]Source!BS616, 1)</f>
        <v>23.64</v>
      </c>
      <c r="L484" s="90">
        <f>[81]Source!R616-L495</f>
        <v>0.24</v>
      </c>
    </row>
    <row r="485" spans="1:22" ht="14.25" x14ac:dyDescent="0.2">
      <c r="A485" s="84"/>
      <c r="B485" s="84"/>
      <c r="C485" s="85"/>
      <c r="D485" s="85" t="s">
        <v>46</v>
      </c>
      <c r="E485" s="86"/>
      <c r="F485" s="87"/>
      <c r="G485" s="88">
        <f>[81]Source!AL615</f>
        <v>24.75</v>
      </c>
      <c r="H485" s="89" t="str">
        <f>[81]Source!DD615</f>
        <v/>
      </c>
      <c r="I485" s="87">
        <f>[81]Source!AW616</f>
        <v>1</v>
      </c>
      <c r="J485" s="176">
        <f>[81]Source!P615</f>
        <v>0.46</v>
      </c>
      <c r="K485" s="87">
        <f>IF([81]Source!BC616&lt;&gt; 0, [81]Source!BC616, 1)</f>
        <v>4.7699999999999996</v>
      </c>
      <c r="L485" s="176">
        <f>[81]Source!P616</f>
        <v>2.19</v>
      </c>
    </row>
    <row r="486" spans="1:22" ht="14.25" x14ac:dyDescent="0.2">
      <c r="A486" s="84">
        <v>71</v>
      </c>
      <c r="B486" s="84" t="str">
        <f>[81]Source!E617</f>
        <v>4,1</v>
      </c>
      <c r="C486" s="85" t="str">
        <f>[81]Source!F617</f>
        <v>1.3-2-6</v>
      </c>
      <c r="D486" s="85" t="s">
        <v>193</v>
      </c>
      <c r="E486" s="86" t="str">
        <f>[81]Source!H617</f>
        <v>м3</v>
      </c>
      <c r="F486" s="87">
        <f>[81]Source!I617</f>
        <v>3.7536E-2</v>
      </c>
      <c r="G486" s="88">
        <f>[81]Source!AK617</f>
        <v>478.96</v>
      </c>
      <c r="H486" s="123" t="s">
        <v>20</v>
      </c>
      <c r="I486" s="87">
        <f>[81]Source!AW618</f>
        <v>1</v>
      </c>
      <c r="J486" s="176">
        <f>[81]Source!O617</f>
        <v>17.98</v>
      </c>
      <c r="K486" s="87">
        <f>IF([81]Source!BC618&lt;&gt; 0, [81]Source!BC618, 1)</f>
        <v>6.91</v>
      </c>
      <c r="L486" s="176">
        <f>[81]Source!O618</f>
        <v>124.24</v>
      </c>
      <c r="Q486" s="47">
        <f>[81]Source!X617</f>
        <v>0</v>
      </c>
      <c r="R486" s="47">
        <f>[81]Source!X618</f>
        <v>0</v>
      </c>
      <c r="S486" s="47">
        <f>[81]Source!Y617</f>
        <v>0</v>
      </c>
      <c r="T486" s="47">
        <f>[81]Source!Y618</f>
        <v>0</v>
      </c>
      <c r="U486" s="47">
        <f>ROUND((175/100)*ROUND([81]Source!R617, 2), 2)</f>
        <v>0</v>
      </c>
      <c r="V486" s="47">
        <f>ROUND((157/100)*ROUND([81]Source!R618, 2), 2)</f>
        <v>0</v>
      </c>
    </row>
    <row r="487" spans="1:22" ht="14.25" x14ac:dyDescent="0.2">
      <c r="A487" s="84"/>
      <c r="B487" s="84"/>
      <c r="C487" s="85"/>
      <c r="D487" s="85" t="s">
        <v>47</v>
      </c>
      <c r="E487" s="86" t="s">
        <v>48</v>
      </c>
      <c r="F487" s="87">
        <f>[81]Source!DN616</f>
        <v>120</v>
      </c>
      <c r="G487" s="88"/>
      <c r="H487" s="89"/>
      <c r="I487" s="87"/>
      <c r="J487" s="176">
        <f>SUM(Q481:Q486)</f>
        <v>9.3699999999999992</v>
      </c>
      <c r="K487" s="87">
        <f>[81]Source!BZ616</f>
        <v>87</v>
      </c>
      <c r="L487" s="176">
        <f>SUM(R481:R486)</f>
        <v>160.63</v>
      </c>
    </row>
    <row r="488" spans="1:22" ht="14.25" x14ac:dyDescent="0.2">
      <c r="A488" s="84"/>
      <c r="B488" s="84"/>
      <c r="C488" s="85"/>
      <c r="D488" s="85" t="s">
        <v>49</v>
      </c>
      <c r="E488" s="86" t="s">
        <v>48</v>
      </c>
      <c r="F488" s="87">
        <f>[81]Source!DO616</f>
        <v>84</v>
      </c>
      <c r="G488" s="88"/>
      <c r="H488" s="89"/>
      <c r="I488" s="87"/>
      <c r="J488" s="176">
        <f>SUM(S481:S487)</f>
        <v>6.56</v>
      </c>
      <c r="K488" s="87">
        <f>[81]Source!CA616</f>
        <v>41</v>
      </c>
      <c r="L488" s="176">
        <f>SUM(T481:T487)</f>
        <v>75.7</v>
      </c>
    </row>
    <row r="489" spans="1:22" ht="14.25" x14ac:dyDescent="0.2">
      <c r="A489" s="84"/>
      <c r="B489" s="84"/>
      <c r="C489" s="85"/>
      <c r="D489" s="85" t="s">
        <v>50</v>
      </c>
      <c r="E489" s="86" t="s">
        <v>48</v>
      </c>
      <c r="F489" s="87">
        <f>175</f>
        <v>175</v>
      </c>
      <c r="G489" s="88"/>
      <c r="H489" s="89"/>
      <c r="I489" s="87"/>
      <c r="J489" s="176">
        <f>SUM(U481:U488)-J496</f>
        <v>0.02</v>
      </c>
      <c r="K489" s="87">
        <f>157</f>
        <v>157</v>
      </c>
      <c r="L489" s="176">
        <f>SUM(V481:V488)-L496</f>
        <v>0.38</v>
      </c>
    </row>
    <row r="490" spans="1:22" ht="14.25" x14ac:dyDescent="0.2">
      <c r="A490" s="183"/>
      <c r="B490" s="183"/>
      <c r="C490" s="184"/>
      <c r="D490" s="184" t="s">
        <v>51</v>
      </c>
      <c r="E490" s="185" t="s">
        <v>52</v>
      </c>
      <c r="F490" s="186">
        <f>[81]Source!AQ615</f>
        <v>23.33</v>
      </c>
      <c r="G490" s="187"/>
      <c r="H490" s="188" t="str">
        <f>[81]Source!DI615</f>
        <v/>
      </c>
      <c r="I490" s="186">
        <f>[81]Source!AV616</f>
        <v>1.0469999999999999</v>
      </c>
      <c r="J490" s="189">
        <f>[81]Source!U615</f>
        <v>0.45</v>
      </c>
      <c r="K490" s="186"/>
      <c r="L490" s="189"/>
    </row>
    <row r="491" spans="1:22" ht="15" x14ac:dyDescent="0.25">
      <c r="D491" s="194" t="s">
        <v>81</v>
      </c>
      <c r="I491" s="408">
        <f>J482+J483+J485+J487+J488+J489+SUM(J486:J486)</f>
        <v>42.44</v>
      </c>
      <c r="J491" s="408"/>
      <c r="K491" s="408">
        <f>L482+L483+L485+L487+L488+L489+SUM(L486:L486)</f>
        <v>548.15</v>
      </c>
      <c r="L491" s="408"/>
      <c r="O491" s="92">
        <f>J482+J483+J485+J487+J488+J489+SUM(J486:J486)</f>
        <v>42.44</v>
      </c>
      <c r="P491" s="92">
        <f>L482+L483+L485+L487+L488+L489+SUM(L486:L486)</f>
        <v>548.15</v>
      </c>
    </row>
    <row r="493" spans="1:22" ht="79.5" x14ac:dyDescent="0.2">
      <c r="A493" s="84">
        <v>72</v>
      </c>
      <c r="B493" s="84" t="str">
        <f>CONCATENATE([81]Source!E615, "/1")</f>
        <v>4/1</v>
      </c>
      <c r="C493" s="85" t="s">
        <v>194</v>
      </c>
      <c r="D493" s="85" t="s">
        <v>82</v>
      </c>
      <c r="E493" s="86" t="str">
        <f>[81]Source!H615</f>
        <v>100 м2 стяжки</v>
      </c>
      <c r="F493" s="87">
        <f>[81]Source!I615</f>
        <v>1.84E-2</v>
      </c>
      <c r="G493" s="88"/>
      <c r="H493" s="89"/>
      <c r="I493" s="87"/>
      <c r="J493" s="176"/>
      <c r="K493" s="87"/>
      <c r="L493" s="176"/>
    </row>
    <row r="494" spans="1:22" ht="14.25" x14ac:dyDescent="0.2">
      <c r="A494" s="84"/>
      <c r="B494" s="84"/>
      <c r="C494" s="85"/>
      <c r="D494" s="85" t="s">
        <v>44</v>
      </c>
      <c r="E494" s="86"/>
      <c r="F494" s="87"/>
      <c r="G494" s="88">
        <f t="shared" ref="G494:L494" si="21">G495</f>
        <v>0.31</v>
      </c>
      <c r="H494" s="195" t="str">
        <f t="shared" si="21"/>
        <v>)*(1.67-1)</v>
      </c>
      <c r="I494" s="87">
        <f t="shared" si="21"/>
        <v>1.0469999999999999</v>
      </c>
      <c r="J494" s="176">
        <f t="shared" si="21"/>
        <v>0</v>
      </c>
      <c r="K494" s="87">
        <f t="shared" si="21"/>
        <v>23.64</v>
      </c>
      <c r="L494" s="176">
        <f t="shared" si="21"/>
        <v>0</v>
      </c>
    </row>
    <row r="495" spans="1:22" ht="14.25" x14ac:dyDescent="0.2">
      <c r="A495" s="84"/>
      <c r="B495" s="84"/>
      <c r="C495" s="85"/>
      <c r="D495" s="85" t="s">
        <v>45</v>
      </c>
      <c r="E495" s="86"/>
      <c r="F495" s="87"/>
      <c r="G495" s="88">
        <f>[81]Source!AN615</f>
        <v>0.31</v>
      </c>
      <c r="H495" s="195" t="s">
        <v>53</v>
      </c>
      <c r="I495" s="87">
        <f>[81]Source!AV616</f>
        <v>1.0469999999999999</v>
      </c>
      <c r="J495" s="90">
        <f>ROUND(F481*G495*I495*(1.67-1), 2)</f>
        <v>0</v>
      </c>
      <c r="K495" s="87">
        <f>IF([81]Source!BS616&lt;&gt; 0, [81]Source!BS616, 1)</f>
        <v>23.64</v>
      </c>
      <c r="L495" s="90">
        <f>ROUND(ROUND(F481*G495*I495*(1.67-1), 2)*K495, 2)</f>
        <v>0</v>
      </c>
    </row>
    <row r="496" spans="1:22" ht="14.25" x14ac:dyDescent="0.2">
      <c r="A496" s="84"/>
      <c r="B496" s="84"/>
      <c r="C496" s="85"/>
      <c r="D496" s="85" t="s">
        <v>50</v>
      </c>
      <c r="E496" s="86" t="s">
        <v>48</v>
      </c>
      <c r="F496" s="87">
        <f>175</f>
        <v>175</v>
      </c>
      <c r="G496" s="88"/>
      <c r="H496" s="89"/>
      <c r="I496" s="87"/>
      <c r="J496" s="176">
        <f>ROUND(J495*(F496/100), 2)</f>
        <v>0</v>
      </c>
      <c r="K496" s="87">
        <f>157</f>
        <v>157</v>
      </c>
      <c r="L496" s="176">
        <f>ROUND(L495*(K496/100), 2)</f>
        <v>0</v>
      </c>
    </row>
    <row r="497" spans="1:22" ht="15" x14ac:dyDescent="0.25">
      <c r="A497" s="190"/>
      <c r="B497" s="190"/>
      <c r="C497" s="190"/>
      <c r="D497" s="191" t="s">
        <v>81</v>
      </c>
      <c r="E497" s="190"/>
      <c r="F497" s="190"/>
      <c r="G497" s="190"/>
      <c r="H497" s="190"/>
      <c r="I497" s="409">
        <f>J496+J495</f>
        <v>0</v>
      </c>
      <c r="J497" s="409"/>
      <c r="K497" s="409">
        <f>L496+L495</f>
        <v>0</v>
      </c>
      <c r="L497" s="409"/>
      <c r="O497" s="92">
        <f>I497</f>
        <v>0</v>
      </c>
      <c r="P497" s="92">
        <f>K497</f>
        <v>0</v>
      </c>
    </row>
    <row r="499" spans="1:22" ht="65.25" x14ac:dyDescent="0.2">
      <c r="A499" s="84">
        <v>73</v>
      </c>
      <c r="B499" s="84" t="str">
        <f>[81]Source!E619</f>
        <v>5</v>
      </c>
      <c r="C499" s="85" t="s">
        <v>195</v>
      </c>
      <c r="D499" s="85" t="s">
        <v>196</v>
      </c>
      <c r="E499" s="86" t="str">
        <f>[81]Source!H619</f>
        <v>100 м2 стяжки</v>
      </c>
      <c r="F499" s="87">
        <f>[81]Source!I619</f>
        <v>1.84E-2</v>
      </c>
      <c r="G499" s="88"/>
      <c r="H499" s="89"/>
      <c r="I499" s="87"/>
      <c r="J499" s="176"/>
      <c r="K499" s="87"/>
      <c r="L499" s="176"/>
      <c r="Q499" s="47">
        <f>[81]Source!X619</f>
        <v>1.04</v>
      </c>
      <c r="R499" s="47">
        <f>[81]Source!X620</f>
        <v>17.899999999999999</v>
      </c>
      <c r="S499" s="47">
        <f>[81]Source!Y619</f>
        <v>0.73</v>
      </c>
      <c r="T499" s="47">
        <f>[81]Source!Y620</f>
        <v>8.43</v>
      </c>
      <c r="U499" s="47">
        <f>ROUND((175/100)*ROUND([81]Source!R619, 2), 2)</f>
        <v>0.04</v>
      </c>
      <c r="V499" s="47">
        <f>ROUND((157/100)*ROUND([81]Source!R620, 2), 2)</f>
        <v>0.74</v>
      </c>
    </row>
    <row r="500" spans="1:22" ht="14.25" x14ac:dyDescent="0.2">
      <c r="A500" s="84"/>
      <c r="B500" s="84"/>
      <c r="C500" s="85"/>
      <c r="D500" s="85" t="s">
        <v>43</v>
      </c>
      <c r="E500" s="86"/>
      <c r="F500" s="87"/>
      <c r="G500" s="88">
        <f>[81]Source!AO619</f>
        <v>4.5</v>
      </c>
      <c r="H500" s="89" t="str">
        <f>[81]Source!DG619</f>
        <v>)*1,67)*6</v>
      </c>
      <c r="I500" s="87">
        <f>[81]Source!AV620</f>
        <v>1.0469999999999999</v>
      </c>
      <c r="J500" s="176">
        <f>[81]Source!S619</f>
        <v>0.87</v>
      </c>
      <c r="K500" s="87">
        <f>IF([81]Source!BA620&lt;&gt; 0, [81]Source!BA620, 1)</f>
        <v>23.64</v>
      </c>
      <c r="L500" s="176">
        <f>[81]Source!S620</f>
        <v>20.57</v>
      </c>
    </row>
    <row r="501" spans="1:22" ht="14.25" x14ac:dyDescent="0.2">
      <c r="A501" s="84"/>
      <c r="B501" s="84"/>
      <c r="C501" s="85"/>
      <c r="D501" s="85" t="s">
        <v>44</v>
      </c>
      <c r="E501" s="86"/>
      <c r="F501" s="87"/>
      <c r="G501" s="88">
        <f>[81]Source!AM619</f>
        <v>3.22</v>
      </c>
      <c r="H501" s="89" t="str">
        <f>[81]Source!DE619</f>
        <v>)*6</v>
      </c>
      <c r="I501" s="87">
        <f>[81]Source!AV620</f>
        <v>1.0469999999999999</v>
      </c>
      <c r="J501" s="176">
        <f>[81]Source!Q619-J511</f>
        <v>0.37</v>
      </c>
      <c r="K501" s="87">
        <f>IF([81]Source!BB620&lt;&gt; 0, [81]Source!BB620, 1)</f>
        <v>1.58</v>
      </c>
      <c r="L501" s="176">
        <f>[81]Source!Q620-L511</f>
        <v>0.57999999999999996</v>
      </c>
    </row>
    <row r="502" spans="1:22" ht="14.25" x14ac:dyDescent="0.2">
      <c r="A502" s="84"/>
      <c r="B502" s="84"/>
      <c r="C502" s="85"/>
      <c r="D502" s="85" t="s">
        <v>45</v>
      </c>
      <c r="E502" s="86"/>
      <c r="F502" s="87"/>
      <c r="G502" s="88">
        <f>[81]Source!AN619</f>
        <v>0.08</v>
      </c>
      <c r="H502" s="89" t="str">
        <f>[81]Source!DE619</f>
        <v>)*6</v>
      </c>
      <c r="I502" s="87">
        <f>[81]Source!AV620</f>
        <v>1.0469999999999999</v>
      </c>
      <c r="J502" s="90">
        <f>[81]Source!R619-J512</f>
        <v>0.01</v>
      </c>
      <c r="K502" s="87">
        <f>IF([81]Source!BS620&lt;&gt; 0, [81]Source!BS620, 1)</f>
        <v>23.64</v>
      </c>
      <c r="L502" s="90">
        <f>[81]Source!R620-L512</f>
        <v>0.23</v>
      </c>
    </row>
    <row r="503" spans="1:22" ht="14.25" x14ac:dyDescent="0.2">
      <c r="A503" s="84">
        <v>74</v>
      </c>
      <c r="B503" s="84" t="str">
        <f>[81]Source!E621</f>
        <v>5,1</v>
      </c>
      <c r="C503" s="85" t="str">
        <f>[81]Source!F621</f>
        <v>1.3-2-6</v>
      </c>
      <c r="D503" s="85" t="s">
        <v>193</v>
      </c>
      <c r="E503" s="86" t="str">
        <f>[81]Source!H621</f>
        <v>м3</v>
      </c>
      <c r="F503" s="87">
        <f>[81]Source!I621</f>
        <v>9.384E-3</v>
      </c>
      <c r="G503" s="88">
        <f>[81]Source!AK621</f>
        <v>478.96</v>
      </c>
      <c r="H503" s="123" t="s">
        <v>265</v>
      </c>
      <c r="I503" s="87">
        <f>[81]Source!AW622</f>
        <v>1</v>
      </c>
      <c r="J503" s="176">
        <f>[81]Source!O621</f>
        <v>26.97</v>
      </c>
      <c r="K503" s="87">
        <f>IF([81]Source!BC622&lt;&gt; 0, [81]Source!BC622, 1)</f>
        <v>6.91</v>
      </c>
      <c r="L503" s="176">
        <f>[81]Source!O622</f>
        <v>186.36</v>
      </c>
      <c r="Q503" s="47">
        <f>[81]Source!X621</f>
        <v>0</v>
      </c>
      <c r="R503" s="47">
        <f>[81]Source!X622</f>
        <v>0</v>
      </c>
      <c r="S503" s="47">
        <f>[81]Source!Y621</f>
        <v>0</v>
      </c>
      <c r="T503" s="47">
        <f>[81]Source!Y622</f>
        <v>0</v>
      </c>
      <c r="U503" s="47">
        <f>ROUND((175/100)*ROUND([81]Source!R621, 2), 2)</f>
        <v>0</v>
      </c>
      <c r="V503" s="47">
        <f>ROUND((157/100)*ROUND([81]Source!R622, 2), 2)</f>
        <v>0</v>
      </c>
    </row>
    <row r="504" spans="1:22" ht="14.25" x14ac:dyDescent="0.2">
      <c r="A504" s="84"/>
      <c r="B504" s="84"/>
      <c r="C504" s="85"/>
      <c r="D504" s="85" t="s">
        <v>47</v>
      </c>
      <c r="E504" s="86" t="s">
        <v>48</v>
      </c>
      <c r="F504" s="87">
        <f>[81]Source!DN620</f>
        <v>120</v>
      </c>
      <c r="G504" s="88"/>
      <c r="H504" s="89"/>
      <c r="I504" s="87"/>
      <c r="J504" s="176">
        <f>SUM(Q499:Q503)</f>
        <v>1.04</v>
      </c>
      <c r="K504" s="87">
        <f>[81]Source!BZ620</f>
        <v>87</v>
      </c>
      <c r="L504" s="176">
        <f>SUM(R499:R503)</f>
        <v>17.899999999999999</v>
      </c>
    </row>
    <row r="505" spans="1:22" ht="14.25" x14ac:dyDescent="0.2">
      <c r="A505" s="84"/>
      <c r="B505" s="84"/>
      <c r="C505" s="85"/>
      <c r="D505" s="85" t="s">
        <v>49</v>
      </c>
      <c r="E505" s="86" t="s">
        <v>48</v>
      </c>
      <c r="F505" s="87">
        <f>[81]Source!DO620</f>
        <v>84</v>
      </c>
      <c r="G505" s="88"/>
      <c r="H505" s="89"/>
      <c r="I505" s="87"/>
      <c r="J505" s="176">
        <f>SUM(S499:S504)</f>
        <v>0.73</v>
      </c>
      <c r="K505" s="87">
        <f>[81]Source!CA620</f>
        <v>41</v>
      </c>
      <c r="L505" s="176">
        <f>SUM(T499:T504)</f>
        <v>8.43</v>
      </c>
    </row>
    <row r="506" spans="1:22" ht="14.25" x14ac:dyDescent="0.2">
      <c r="A506" s="84"/>
      <c r="B506" s="84"/>
      <c r="C506" s="85"/>
      <c r="D506" s="85" t="s">
        <v>50</v>
      </c>
      <c r="E506" s="86" t="s">
        <v>48</v>
      </c>
      <c r="F506" s="87">
        <f>175</f>
        <v>175</v>
      </c>
      <c r="G506" s="88"/>
      <c r="H506" s="89"/>
      <c r="I506" s="87"/>
      <c r="J506" s="176">
        <f>SUM(U499:U505)-J513</f>
        <v>0.02</v>
      </c>
      <c r="K506" s="87">
        <f>157</f>
        <v>157</v>
      </c>
      <c r="L506" s="176">
        <f>SUM(V499:V505)-L513</f>
        <v>0.36</v>
      </c>
    </row>
    <row r="507" spans="1:22" ht="14.25" x14ac:dyDescent="0.2">
      <c r="A507" s="183"/>
      <c r="B507" s="183"/>
      <c r="C507" s="184"/>
      <c r="D507" s="184" t="s">
        <v>51</v>
      </c>
      <c r="E507" s="185" t="s">
        <v>52</v>
      </c>
      <c r="F507" s="186">
        <f>[81]Source!AQ619</f>
        <v>0.44</v>
      </c>
      <c r="G507" s="187"/>
      <c r="H507" s="188" t="str">
        <f>[81]Source!DI619</f>
        <v>)*6</v>
      </c>
      <c r="I507" s="186">
        <f>[81]Source!AV620</f>
        <v>1.0469999999999999</v>
      </c>
      <c r="J507" s="189">
        <f>[81]Source!U619</f>
        <v>0.05</v>
      </c>
      <c r="K507" s="186"/>
      <c r="L507" s="189"/>
    </row>
    <row r="508" spans="1:22" ht="15" x14ac:dyDescent="0.25">
      <c r="D508" s="194" t="s">
        <v>81</v>
      </c>
      <c r="I508" s="408">
        <f>J500+J501+J504+J505+J506+SUM(J503:J503)</f>
        <v>30</v>
      </c>
      <c r="J508" s="408"/>
      <c r="K508" s="408">
        <f>L500+L501+L504+L505+L506+SUM(L503:L503)</f>
        <v>234.2</v>
      </c>
      <c r="L508" s="408"/>
      <c r="O508" s="92">
        <f>J500+J501+J504+J505+J506+SUM(J503:J503)</f>
        <v>30</v>
      </c>
      <c r="P508" s="92">
        <f>L500+L501+L504+L505+L506+SUM(L503:L503)</f>
        <v>234.2</v>
      </c>
    </row>
    <row r="510" spans="1:22" ht="79.5" x14ac:dyDescent="0.2">
      <c r="A510" s="84">
        <v>75</v>
      </c>
      <c r="B510" s="84" t="str">
        <f>CONCATENATE([81]Source!E619, "/1")</f>
        <v>5/1</v>
      </c>
      <c r="C510" s="85" t="s">
        <v>197</v>
      </c>
      <c r="D510" s="85" t="s">
        <v>82</v>
      </c>
      <c r="E510" s="86" t="str">
        <f>[81]Source!H619</f>
        <v>100 м2 стяжки</v>
      </c>
      <c r="F510" s="87">
        <f>[81]Source!I619</f>
        <v>1.84E-2</v>
      </c>
      <c r="G510" s="88"/>
      <c r="H510" s="89"/>
      <c r="I510" s="87"/>
      <c r="J510" s="176"/>
      <c r="K510" s="87"/>
      <c r="L510" s="176"/>
    </row>
    <row r="511" spans="1:22" ht="14.25" x14ac:dyDescent="0.2">
      <c r="A511" s="84"/>
      <c r="B511" s="84"/>
      <c r="C511" s="85"/>
      <c r="D511" s="85" t="s">
        <v>44</v>
      </c>
      <c r="E511" s="86"/>
      <c r="F511" s="87"/>
      <c r="G511" s="88">
        <f t="shared" ref="G511:L511" si="22">G512</f>
        <v>0.08</v>
      </c>
      <c r="H511" s="195" t="str">
        <f t="shared" si="22"/>
        <v>)*(1.67-1)*6</v>
      </c>
      <c r="I511" s="87">
        <f t="shared" si="22"/>
        <v>1.0469999999999999</v>
      </c>
      <c r="J511" s="176">
        <f t="shared" si="22"/>
        <v>0.01</v>
      </c>
      <c r="K511" s="87">
        <f t="shared" si="22"/>
        <v>23.64</v>
      </c>
      <c r="L511" s="176">
        <f t="shared" si="22"/>
        <v>0.24</v>
      </c>
    </row>
    <row r="512" spans="1:22" ht="14.25" x14ac:dyDescent="0.2">
      <c r="A512" s="84"/>
      <c r="B512" s="84"/>
      <c r="C512" s="85"/>
      <c r="D512" s="85" t="s">
        <v>45</v>
      </c>
      <c r="E512" s="86"/>
      <c r="F512" s="87"/>
      <c r="G512" s="88">
        <f>[81]Source!AN619</f>
        <v>0.08</v>
      </c>
      <c r="H512" s="195" t="s">
        <v>210</v>
      </c>
      <c r="I512" s="87">
        <f>[81]Source!AV620</f>
        <v>1.0469999999999999</v>
      </c>
      <c r="J512" s="90">
        <f>ROUND(F499*G512*I512*(1.67-1)*6, 2)</f>
        <v>0.01</v>
      </c>
      <c r="K512" s="87">
        <f>IF([81]Source!BS620&lt;&gt; 0, [81]Source!BS620, 1)</f>
        <v>23.64</v>
      </c>
      <c r="L512" s="90">
        <f>ROUND(ROUND(F499*G512*I512*(1.67-1)*6, 2)*K512, 2)</f>
        <v>0.24</v>
      </c>
    </row>
    <row r="513" spans="1:22" ht="14.25" x14ac:dyDescent="0.2">
      <c r="A513" s="84"/>
      <c r="B513" s="84"/>
      <c r="C513" s="85"/>
      <c r="D513" s="85" t="s">
        <v>50</v>
      </c>
      <c r="E513" s="86" t="s">
        <v>48</v>
      </c>
      <c r="F513" s="87">
        <f>175</f>
        <v>175</v>
      </c>
      <c r="G513" s="88"/>
      <c r="H513" s="89"/>
      <c r="I513" s="87"/>
      <c r="J513" s="176">
        <f>ROUND(J512*(F513/100), 2)</f>
        <v>0.02</v>
      </c>
      <c r="K513" s="87">
        <f>157</f>
        <v>157</v>
      </c>
      <c r="L513" s="176">
        <f>ROUND(L512*(K513/100), 2)</f>
        <v>0.38</v>
      </c>
    </row>
    <row r="514" spans="1:22" ht="15" x14ac:dyDescent="0.25">
      <c r="A514" s="190"/>
      <c r="B514" s="190"/>
      <c r="C514" s="190"/>
      <c r="D514" s="191" t="s">
        <v>81</v>
      </c>
      <c r="E514" s="190"/>
      <c r="F514" s="190"/>
      <c r="G514" s="190"/>
      <c r="H514" s="190"/>
      <c r="I514" s="409">
        <f>J513+J512</f>
        <v>0.03</v>
      </c>
      <c r="J514" s="409"/>
      <c r="K514" s="409">
        <f>L513+L512</f>
        <v>0.62</v>
      </c>
      <c r="L514" s="409"/>
      <c r="O514" s="92">
        <f>I514</f>
        <v>0.03</v>
      </c>
      <c r="P514" s="92">
        <f>K514</f>
        <v>0.62</v>
      </c>
    </row>
    <row r="516" spans="1:22" ht="65.25" x14ac:dyDescent="0.2">
      <c r="A516" s="84">
        <v>76</v>
      </c>
      <c r="B516" s="84" t="str">
        <f>[81]Source!E623</f>
        <v>6</v>
      </c>
      <c r="C516" s="85" t="s">
        <v>254</v>
      </c>
      <c r="D516" s="85" t="s">
        <v>255</v>
      </c>
      <c r="E516" s="86" t="str">
        <f>[81]Source!H623</f>
        <v>100 м2 стяжки</v>
      </c>
      <c r="F516" s="87">
        <f>[81]Source!I623</f>
        <v>1.84E-2</v>
      </c>
      <c r="G516" s="88"/>
      <c r="H516" s="89"/>
      <c r="I516" s="87"/>
      <c r="J516" s="176"/>
      <c r="K516" s="87"/>
      <c r="L516" s="176"/>
      <c r="Q516" s="47">
        <f>[81]Source!X623</f>
        <v>15.11</v>
      </c>
      <c r="R516" s="47">
        <f>[81]Source!X624</f>
        <v>258.94</v>
      </c>
      <c r="S516" s="47">
        <f>[81]Source!Y623</f>
        <v>10.58</v>
      </c>
      <c r="T516" s="47">
        <f>[81]Source!Y624</f>
        <v>122.03</v>
      </c>
      <c r="U516" s="47">
        <f>ROUND((175/100)*ROUND([81]Source!R623, 2), 2)</f>
        <v>0.53</v>
      </c>
      <c r="V516" s="47">
        <f>ROUND((157/100)*ROUND([81]Source!R624, 2), 2)</f>
        <v>11.13</v>
      </c>
    </row>
    <row r="517" spans="1:22" ht="14.25" x14ac:dyDescent="0.2">
      <c r="A517" s="84"/>
      <c r="B517" s="84"/>
      <c r="C517" s="85"/>
      <c r="D517" s="85" t="s">
        <v>43</v>
      </c>
      <c r="E517" s="86"/>
      <c r="F517" s="87"/>
      <c r="G517" s="88">
        <f>[81]Source!AO623</f>
        <v>391.47</v>
      </c>
      <c r="H517" s="89" t="str">
        <f>[81]Source!DG623</f>
        <v>)*1,67</v>
      </c>
      <c r="I517" s="87">
        <f>[81]Source!AV624</f>
        <v>1.0469999999999999</v>
      </c>
      <c r="J517" s="176">
        <f>[81]Source!S623</f>
        <v>12.59</v>
      </c>
      <c r="K517" s="87">
        <f>IF([81]Source!BA624&lt;&gt; 0, [81]Source!BA624, 1)</f>
        <v>23.64</v>
      </c>
      <c r="L517" s="176">
        <f>[81]Source!S624</f>
        <v>297.63</v>
      </c>
    </row>
    <row r="518" spans="1:22" ht="14.25" x14ac:dyDescent="0.2">
      <c r="A518" s="84"/>
      <c r="B518" s="84"/>
      <c r="C518" s="85"/>
      <c r="D518" s="85" t="s">
        <v>44</v>
      </c>
      <c r="E518" s="86"/>
      <c r="F518" s="87"/>
      <c r="G518" s="88">
        <f>[81]Source!AM623</f>
        <v>65.87</v>
      </c>
      <c r="H518" s="89" t="str">
        <f>[81]Source!DE623</f>
        <v/>
      </c>
      <c r="I518" s="87">
        <f>[81]Source!AV624</f>
        <v>1.0469999999999999</v>
      </c>
      <c r="J518" s="176">
        <f>[81]Source!Q623-J530</f>
        <v>1.27</v>
      </c>
      <c r="K518" s="87">
        <f>IF([81]Source!BB624&lt;&gt; 0, [81]Source!BB624, 1)</f>
        <v>7.45</v>
      </c>
      <c r="L518" s="176">
        <f>[81]Source!Q624-L530</f>
        <v>9.4600000000000009</v>
      </c>
    </row>
    <row r="519" spans="1:22" ht="14.25" x14ac:dyDescent="0.2">
      <c r="A519" s="84"/>
      <c r="B519" s="84"/>
      <c r="C519" s="85"/>
      <c r="D519" s="85" t="s">
        <v>45</v>
      </c>
      <c r="E519" s="86"/>
      <c r="F519" s="87"/>
      <c r="G519" s="88">
        <f>[81]Source!AN623</f>
        <v>9.19</v>
      </c>
      <c r="H519" s="89" t="str">
        <f>[81]Source!DE623</f>
        <v/>
      </c>
      <c r="I519" s="87">
        <f>[81]Source!AV624</f>
        <v>1.0469999999999999</v>
      </c>
      <c r="J519" s="90">
        <f>[81]Source!R623-J531</f>
        <v>0.18</v>
      </c>
      <c r="K519" s="87">
        <f>IF([81]Source!BS624&lt;&gt; 0, [81]Source!BS624, 1)</f>
        <v>23.64</v>
      </c>
      <c r="L519" s="90">
        <f>[81]Source!R624-L531</f>
        <v>4.25</v>
      </c>
    </row>
    <row r="520" spans="1:22" ht="14.25" x14ac:dyDescent="0.2">
      <c r="A520" s="84"/>
      <c r="B520" s="84"/>
      <c r="C520" s="85"/>
      <c r="D520" s="85" t="s">
        <v>46</v>
      </c>
      <c r="E520" s="86"/>
      <c r="F520" s="87"/>
      <c r="G520" s="88">
        <f>[81]Source!AL623</f>
        <v>25.24</v>
      </c>
      <c r="H520" s="89" t="str">
        <f>[81]Source!DD623</f>
        <v/>
      </c>
      <c r="I520" s="87">
        <f>[81]Source!AW624</f>
        <v>1</v>
      </c>
      <c r="J520" s="176">
        <f>[81]Source!P623</f>
        <v>0.46</v>
      </c>
      <c r="K520" s="87">
        <f>IF([81]Source!BC624&lt;&gt; 0, [81]Source!BC624, 1)</f>
        <v>2.92</v>
      </c>
      <c r="L520" s="176">
        <f>[81]Source!P624</f>
        <v>1.34</v>
      </c>
    </row>
    <row r="521" spans="1:22" ht="42.75" x14ac:dyDescent="0.2">
      <c r="A521" s="84">
        <v>77</v>
      </c>
      <c r="B521" s="84" t="str">
        <f>[81]Source!E625</f>
        <v>6,2</v>
      </c>
      <c r="C521" s="85" t="str">
        <f>[81]Source!F625</f>
        <v>1.1-1-3108</v>
      </c>
      <c r="D521" s="85" t="s">
        <v>256</v>
      </c>
      <c r="E521" s="86" t="str">
        <f>[81]Source!H625</f>
        <v>кг</v>
      </c>
      <c r="F521" s="87">
        <f>[81]Source!I625</f>
        <v>0.36799999999999999</v>
      </c>
      <c r="G521" s="88">
        <f>[81]Source!AK625</f>
        <v>17.66</v>
      </c>
      <c r="H521" s="123" t="s">
        <v>20</v>
      </c>
      <c r="I521" s="87">
        <f>[81]Source!AW626</f>
        <v>1</v>
      </c>
      <c r="J521" s="176">
        <f>[81]Source!O625</f>
        <v>6.5</v>
      </c>
      <c r="K521" s="87">
        <f>IF([81]Source!BC626&lt;&gt; 0, [81]Source!BC626, 1)</f>
        <v>3.07</v>
      </c>
      <c r="L521" s="176">
        <f>[81]Source!O626</f>
        <v>19.96</v>
      </c>
      <c r="Q521" s="47">
        <f>[81]Source!X625</f>
        <v>0</v>
      </c>
      <c r="R521" s="47">
        <f>[81]Source!X626</f>
        <v>0</v>
      </c>
      <c r="S521" s="47">
        <f>[81]Source!Y625</f>
        <v>0</v>
      </c>
      <c r="T521" s="47">
        <f>[81]Source!Y626</f>
        <v>0</v>
      </c>
      <c r="U521" s="47">
        <f>ROUND((175/100)*ROUND([81]Source!R625, 2), 2)</f>
        <v>0</v>
      </c>
      <c r="V521" s="47">
        <f>ROUND((157/100)*ROUND([81]Source!R626, 2), 2)</f>
        <v>0</v>
      </c>
    </row>
    <row r="522" spans="1:22" ht="85.5" x14ac:dyDescent="0.2">
      <c r="A522" s="84">
        <v>78</v>
      </c>
      <c r="B522" s="84" t="str">
        <f>[81]Source!E627</f>
        <v>6,4</v>
      </c>
      <c r="C522" s="85" t="str">
        <f>[81]Source!F627</f>
        <v>1.3-2-178</v>
      </c>
      <c r="D522" s="85" t="s">
        <v>267</v>
      </c>
      <c r="E522" s="86" t="str">
        <f>[81]Source!H627</f>
        <v>т</v>
      </c>
      <c r="F522" s="87">
        <f>[81]Source!I627</f>
        <v>1.5493E-2</v>
      </c>
      <c r="G522" s="88">
        <f>[81]Source!AK627</f>
        <v>6564.53</v>
      </c>
      <c r="H522" s="123" t="s">
        <v>20</v>
      </c>
      <c r="I522" s="87">
        <f>[81]Source!AW628</f>
        <v>1</v>
      </c>
      <c r="J522" s="176">
        <f>[81]Source!O627</f>
        <v>101.7</v>
      </c>
      <c r="K522" s="87">
        <f>IF([81]Source!BC628&lt;&gt; 0, [81]Source!BC628, 1)</f>
        <v>2.19</v>
      </c>
      <c r="L522" s="176">
        <f>[81]Source!O628</f>
        <v>222.72</v>
      </c>
      <c r="Q522" s="47">
        <f>[81]Source!X627</f>
        <v>0</v>
      </c>
      <c r="R522" s="47">
        <f>[81]Source!X628</f>
        <v>0</v>
      </c>
      <c r="S522" s="47">
        <f>[81]Source!Y627</f>
        <v>0</v>
      </c>
      <c r="T522" s="47">
        <f>[81]Source!Y628</f>
        <v>0</v>
      </c>
      <c r="U522" s="47">
        <f>ROUND((175/100)*ROUND([81]Source!R627, 2), 2)</f>
        <v>0</v>
      </c>
      <c r="V522" s="47">
        <f>ROUND((157/100)*ROUND([81]Source!R628, 2), 2)</f>
        <v>0</v>
      </c>
    </row>
    <row r="523" spans="1:22" ht="14.25" x14ac:dyDescent="0.2">
      <c r="A523" s="84"/>
      <c r="B523" s="84"/>
      <c r="C523" s="85"/>
      <c r="D523" s="85" t="s">
        <v>47</v>
      </c>
      <c r="E523" s="86" t="s">
        <v>48</v>
      </c>
      <c r="F523" s="87">
        <f>[81]Source!DN624</f>
        <v>120</v>
      </c>
      <c r="G523" s="88"/>
      <c r="H523" s="89"/>
      <c r="I523" s="87"/>
      <c r="J523" s="176">
        <f>SUM(Q516:Q522)</f>
        <v>15.11</v>
      </c>
      <c r="K523" s="87">
        <f>[81]Source!BZ624</f>
        <v>87</v>
      </c>
      <c r="L523" s="176">
        <f>SUM(R516:R522)</f>
        <v>258.94</v>
      </c>
    </row>
    <row r="524" spans="1:22" ht="14.25" x14ac:dyDescent="0.2">
      <c r="A524" s="84"/>
      <c r="B524" s="84"/>
      <c r="C524" s="85"/>
      <c r="D524" s="85" t="s">
        <v>49</v>
      </c>
      <c r="E524" s="86" t="s">
        <v>48</v>
      </c>
      <c r="F524" s="87">
        <f>[81]Source!DO624</f>
        <v>84</v>
      </c>
      <c r="G524" s="88"/>
      <c r="H524" s="89"/>
      <c r="I524" s="87"/>
      <c r="J524" s="176">
        <f>SUM(S516:S523)</f>
        <v>10.58</v>
      </c>
      <c r="K524" s="87">
        <f>[81]Source!CA624</f>
        <v>41</v>
      </c>
      <c r="L524" s="176">
        <f>SUM(T516:T523)</f>
        <v>122.03</v>
      </c>
    </row>
    <row r="525" spans="1:22" ht="14.25" x14ac:dyDescent="0.2">
      <c r="A525" s="84"/>
      <c r="B525" s="84"/>
      <c r="C525" s="85"/>
      <c r="D525" s="85" t="s">
        <v>50</v>
      </c>
      <c r="E525" s="86" t="s">
        <v>48</v>
      </c>
      <c r="F525" s="87">
        <f>175</f>
        <v>175</v>
      </c>
      <c r="G525" s="88"/>
      <c r="H525" s="89"/>
      <c r="I525" s="87"/>
      <c r="J525" s="176">
        <f>SUM(U516:U524)-J532</f>
        <v>0.32</v>
      </c>
      <c r="K525" s="87">
        <f>157</f>
        <v>157</v>
      </c>
      <c r="L525" s="176">
        <f>SUM(V516:V524)-L532</f>
        <v>6.67</v>
      </c>
    </row>
    <row r="526" spans="1:22" ht="14.25" x14ac:dyDescent="0.2">
      <c r="A526" s="183"/>
      <c r="B526" s="183"/>
      <c r="C526" s="184"/>
      <c r="D526" s="184" t="s">
        <v>51</v>
      </c>
      <c r="E526" s="185" t="s">
        <v>52</v>
      </c>
      <c r="F526" s="186">
        <f>[81]Source!AQ623</f>
        <v>33.020000000000003</v>
      </c>
      <c r="G526" s="187"/>
      <c r="H526" s="188" t="str">
        <f>[81]Source!DI623</f>
        <v/>
      </c>
      <c r="I526" s="186">
        <f>[81]Source!AV624</f>
        <v>1.0469999999999999</v>
      </c>
      <c r="J526" s="189">
        <f>[81]Source!U623</f>
        <v>0.64</v>
      </c>
      <c r="K526" s="186"/>
      <c r="L526" s="189"/>
    </row>
    <row r="527" spans="1:22" ht="15" x14ac:dyDescent="0.25">
      <c r="D527" s="194" t="s">
        <v>81</v>
      </c>
      <c r="I527" s="408">
        <f>J517+J518+J520+J523+J524+J525+SUM(J521:J522)</f>
        <v>148.53</v>
      </c>
      <c r="J527" s="408"/>
      <c r="K527" s="408">
        <f>L517+L518+L520+L523+L524+L525+SUM(L521:L522)</f>
        <v>938.75</v>
      </c>
      <c r="L527" s="408"/>
      <c r="O527" s="92">
        <f>J517+J518+J520+J523+J524+J525+SUM(J521:J522)</f>
        <v>148.53</v>
      </c>
      <c r="P527" s="92">
        <f>L517+L518+L520+L523+L524+L525+SUM(L521:L522)</f>
        <v>938.75</v>
      </c>
    </row>
    <row r="529" spans="1:22" ht="79.5" x14ac:dyDescent="0.2">
      <c r="A529" s="84">
        <v>79</v>
      </c>
      <c r="B529" s="84" t="str">
        <f>CONCATENATE([81]Source!E623, "/1")</f>
        <v>6/1</v>
      </c>
      <c r="C529" s="85" t="s">
        <v>257</v>
      </c>
      <c r="D529" s="85" t="s">
        <v>82</v>
      </c>
      <c r="E529" s="86" t="str">
        <f>[81]Source!H623</f>
        <v>100 м2 стяжки</v>
      </c>
      <c r="F529" s="87">
        <f>[81]Source!I623</f>
        <v>1.84E-2</v>
      </c>
      <c r="G529" s="88"/>
      <c r="H529" s="89"/>
      <c r="I529" s="87"/>
      <c r="J529" s="176"/>
      <c r="K529" s="87"/>
      <c r="L529" s="176"/>
    </row>
    <row r="530" spans="1:22" ht="14.25" x14ac:dyDescent="0.2">
      <c r="A530" s="84"/>
      <c r="B530" s="84"/>
      <c r="C530" s="85"/>
      <c r="D530" s="85" t="s">
        <v>44</v>
      </c>
      <c r="E530" s="86"/>
      <c r="F530" s="87"/>
      <c r="G530" s="88">
        <f t="shared" ref="G530:L530" si="23">G531</f>
        <v>9.19</v>
      </c>
      <c r="H530" s="195" t="str">
        <f t="shared" si="23"/>
        <v>)*(1.67-1)</v>
      </c>
      <c r="I530" s="87">
        <f t="shared" si="23"/>
        <v>1.0469999999999999</v>
      </c>
      <c r="J530" s="176">
        <f t="shared" si="23"/>
        <v>0.12</v>
      </c>
      <c r="K530" s="87">
        <f t="shared" si="23"/>
        <v>23.64</v>
      </c>
      <c r="L530" s="176">
        <f t="shared" si="23"/>
        <v>2.84</v>
      </c>
    </row>
    <row r="531" spans="1:22" ht="14.25" x14ac:dyDescent="0.2">
      <c r="A531" s="84"/>
      <c r="B531" s="84"/>
      <c r="C531" s="85"/>
      <c r="D531" s="85" t="s">
        <v>45</v>
      </c>
      <c r="E531" s="86"/>
      <c r="F531" s="87"/>
      <c r="G531" s="88">
        <f>[81]Source!AN623</f>
        <v>9.19</v>
      </c>
      <c r="H531" s="195" t="s">
        <v>53</v>
      </c>
      <c r="I531" s="87">
        <f>[81]Source!AV624</f>
        <v>1.0469999999999999</v>
      </c>
      <c r="J531" s="90">
        <f>ROUND(F516*G531*I531*(1.67-1), 2)</f>
        <v>0.12</v>
      </c>
      <c r="K531" s="87">
        <f>IF([81]Source!BS624&lt;&gt; 0, [81]Source!BS624, 1)</f>
        <v>23.64</v>
      </c>
      <c r="L531" s="90">
        <f>ROUND(ROUND(F516*G531*I531*(1.67-1), 2)*K531, 2)</f>
        <v>2.84</v>
      </c>
    </row>
    <row r="532" spans="1:22" ht="14.25" x14ac:dyDescent="0.2">
      <c r="A532" s="84"/>
      <c r="B532" s="84"/>
      <c r="C532" s="85"/>
      <c r="D532" s="85" t="s">
        <v>50</v>
      </c>
      <c r="E532" s="86" t="s">
        <v>48</v>
      </c>
      <c r="F532" s="87">
        <f>175</f>
        <v>175</v>
      </c>
      <c r="G532" s="88"/>
      <c r="H532" s="89"/>
      <c r="I532" s="87"/>
      <c r="J532" s="176">
        <f>ROUND(J531*(F532/100), 2)</f>
        <v>0.21</v>
      </c>
      <c r="K532" s="87">
        <f>157</f>
        <v>157</v>
      </c>
      <c r="L532" s="176">
        <f>ROUND(L531*(K532/100), 2)</f>
        <v>4.46</v>
      </c>
    </row>
    <row r="533" spans="1:22" ht="15" x14ac:dyDescent="0.25">
      <c r="A533" s="190"/>
      <c r="B533" s="190"/>
      <c r="C533" s="190"/>
      <c r="D533" s="191" t="s">
        <v>81</v>
      </c>
      <c r="E533" s="190"/>
      <c r="F533" s="190"/>
      <c r="G533" s="190"/>
      <c r="H533" s="190"/>
      <c r="I533" s="409">
        <f>J532+J531</f>
        <v>0.33</v>
      </c>
      <c r="J533" s="409"/>
      <c r="K533" s="409">
        <f>L532+L531</f>
        <v>7.3</v>
      </c>
      <c r="L533" s="409"/>
      <c r="O533" s="92">
        <f>I533</f>
        <v>0.33</v>
      </c>
      <c r="P533" s="92">
        <f>K533</f>
        <v>7.3</v>
      </c>
    </row>
    <row r="535" spans="1:22" ht="65.25" x14ac:dyDescent="0.2">
      <c r="A535" s="84">
        <v>80</v>
      </c>
      <c r="B535" s="84" t="str">
        <f>[81]Source!E629</f>
        <v>7</v>
      </c>
      <c r="C535" s="85" t="s">
        <v>258</v>
      </c>
      <c r="D535" s="85" t="s">
        <v>268</v>
      </c>
      <c r="E535" s="86" t="str">
        <f>[81]Source!H629</f>
        <v>100 м2 стяжки</v>
      </c>
      <c r="F535" s="87">
        <f>[81]Source!I629</f>
        <v>1.84E-2</v>
      </c>
      <c r="G535" s="88"/>
      <c r="H535" s="89"/>
      <c r="I535" s="87"/>
      <c r="J535" s="176"/>
      <c r="K535" s="87"/>
      <c r="L535" s="176"/>
      <c r="Q535" s="47">
        <f>[81]Source!X629</f>
        <v>17.02</v>
      </c>
      <c r="R535" s="47">
        <f>[81]Source!X630</f>
        <v>291.64</v>
      </c>
      <c r="S535" s="47">
        <f>[81]Source!Y629</f>
        <v>11.91</v>
      </c>
      <c r="T535" s="47">
        <f>[81]Source!Y630</f>
        <v>137.44</v>
      </c>
      <c r="U535" s="47">
        <f>ROUND((175/100)*ROUND([81]Source!R629, 2), 2)</f>
        <v>0.82</v>
      </c>
      <c r="V535" s="47">
        <f>ROUND((157/100)*ROUND([81]Source!R630, 2), 2)</f>
        <v>17.440000000000001</v>
      </c>
    </row>
    <row r="536" spans="1:22" ht="14.25" x14ac:dyDescent="0.2">
      <c r="A536" s="84"/>
      <c r="B536" s="84"/>
      <c r="C536" s="85"/>
      <c r="D536" s="85" t="s">
        <v>43</v>
      </c>
      <c r="E536" s="86"/>
      <c r="F536" s="87"/>
      <c r="G536" s="88">
        <f>[81]Source!AO629</f>
        <v>44.07</v>
      </c>
      <c r="H536" s="89" t="str">
        <f>[81]Source!DG629</f>
        <v>)*1,67)*10</v>
      </c>
      <c r="I536" s="87">
        <f>[81]Source!AV630</f>
        <v>1.0469999999999999</v>
      </c>
      <c r="J536" s="176">
        <f>[81]Source!S629</f>
        <v>14.18</v>
      </c>
      <c r="K536" s="87">
        <f>IF([81]Source!BA630&lt;&gt; 0, [81]Source!BA630, 1)</f>
        <v>23.64</v>
      </c>
      <c r="L536" s="176">
        <f>[81]Source!S630</f>
        <v>335.22</v>
      </c>
    </row>
    <row r="537" spans="1:22" ht="14.25" x14ac:dyDescent="0.2">
      <c r="A537" s="84"/>
      <c r="B537" s="84"/>
      <c r="C537" s="85"/>
      <c r="D537" s="85" t="s">
        <v>44</v>
      </c>
      <c r="E537" s="86"/>
      <c r="F537" s="87"/>
      <c r="G537" s="88">
        <f>[81]Source!AM629</f>
        <v>9.1</v>
      </c>
      <c r="H537" s="89" t="str">
        <f>[81]Source!DE629</f>
        <v>)*10</v>
      </c>
      <c r="I537" s="87">
        <f>[81]Source!AV630</f>
        <v>1.0469999999999999</v>
      </c>
      <c r="J537" s="176">
        <f>[81]Source!Q629-J548</f>
        <v>1.75</v>
      </c>
      <c r="K537" s="87">
        <f>IF([81]Source!BB630&lt;&gt; 0, [81]Source!BB630, 1)</f>
        <v>8.09</v>
      </c>
      <c r="L537" s="176">
        <f>[81]Source!Q630-L548</f>
        <v>14.16</v>
      </c>
    </row>
    <row r="538" spans="1:22" ht="14.25" x14ac:dyDescent="0.2">
      <c r="A538" s="84"/>
      <c r="B538" s="84"/>
      <c r="C538" s="85"/>
      <c r="D538" s="85" t="s">
        <v>45</v>
      </c>
      <c r="E538" s="86"/>
      <c r="F538" s="87"/>
      <c r="G538" s="88">
        <f>[81]Source!AN629</f>
        <v>1.46</v>
      </c>
      <c r="H538" s="89" t="str">
        <f>[81]Source!DE629</f>
        <v>)*10</v>
      </c>
      <c r="I538" s="87">
        <f>[81]Source!AV630</f>
        <v>1.0469999999999999</v>
      </c>
      <c r="J538" s="90">
        <f>[81]Source!R629-J549</f>
        <v>0.28000000000000003</v>
      </c>
      <c r="K538" s="87">
        <f>IF([81]Source!BS630&lt;&gt; 0, [81]Source!BS630, 1)</f>
        <v>23.64</v>
      </c>
      <c r="L538" s="90">
        <f>[81]Source!R630-L549</f>
        <v>6.62</v>
      </c>
    </row>
    <row r="539" spans="1:22" ht="14.25" x14ac:dyDescent="0.2">
      <c r="A539" s="84"/>
      <c r="B539" s="84"/>
      <c r="C539" s="85"/>
      <c r="D539" s="85" t="s">
        <v>46</v>
      </c>
      <c r="E539" s="86"/>
      <c r="F539" s="87"/>
      <c r="G539" s="88">
        <f>[81]Source!AL629</f>
        <v>0.28999999999999998</v>
      </c>
      <c r="H539" s="89" t="str">
        <f>[81]Source!DD629</f>
        <v>)*10</v>
      </c>
      <c r="I539" s="87">
        <f>[81]Source!AW630</f>
        <v>1</v>
      </c>
      <c r="J539" s="176">
        <f>[81]Source!P629</f>
        <v>0.05</v>
      </c>
      <c r="K539" s="87">
        <f>IF([81]Source!BC630&lt;&gt; 0, [81]Source!BC630, 1)</f>
        <v>4.6900000000000004</v>
      </c>
      <c r="L539" s="176">
        <f>[81]Source!P630</f>
        <v>0.23</v>
      </c>
    </row>
    <row r="540" spans="1:22" ht="85.5" x14ac:dyDescent="0.2">
      <c r="A540" s="84">
        <v>81</v>
      </c>
      <c r="B540" s="84" t="str">
        <f>[81]Source!E631</f>
        <v>7,1</v>
      </c>
      <c r="C540" s="85" t="str">
        <f>[81]Source!F631</f>
        <v>1.3-2-178</v>
      </c>
      <c r="D540" s="85" t="s">
        <v>267</v>
      </c>
      <c r="E540" s="86" t="str">
        <f>[81]Source!H631</f>
        <v>т</v>
      </c>
      <c r="F540" s="87">
        <f>[81]Source!I631</f>
        <v>3.091E-3</v>
      </c>
      <c r="G540" s="88">
        <f>[81]Source!AK631</f>
        <v>6564.53</v>
      </c>
      <c r="H540" s="123" t="s">
        <v>269</v>
      </c>
      <c r="I540" s="87">
        <f>[81]Source!AW632</f>
        <v>1</v>
      </c>
      <c r="J540" s="176">
        <f>[81]Source!O631</f>
        <v>202.91</v>
      </c>
      <c r="K540" s="87">
        <f>IF([81]Source!BC632&lt;&gt; 0, [81]Source!BC632, 1)</f>
        <v>2.19</v>
      </c>
      <c r="L540" s="176">
        <f>[81]Source!O632</f>
        <v>444.37</v>
      </c>
      <c r="Q540" s="47">
        <f>[81]Source!X631</f>
        <v>0</v>
      </c>
      <c r="R540" s="47">
        <f>[81]Source!X632</f>
        <v>0</v>
      </c>
      <c r="S540" s="47">
        <f>[81]Source!Y631</f>
        <v>0</v>
      </c>
      <c r="T540" s="47">
        <f>[81]Source!Y632</f>
        <v>0</v>
      </c>
      <c r="U540" s="47">
        <f>ROUND((175/100)*ROUND([81]Source!R631, 2), 2)</f>
        <v>0</v>
      </c>
      <c r="V540" s="47">
        <f>ROUND((157/100)*ROUND([81]Source!R632, 2), 2)</f>
        <v>0</v>
      </c>
    </row>
    <row r="541" spans="1:22" ht="14.25" x14ac:dyDescent="0.2">
      <c r="A541" s="84"/>
      <c r="B541" s="84"/>
      <c r="C541" s="85"/>
      <c r="D541" s="85" t="s">
        <v>47</v>
      </c>
      <c r="E541" s="86" t="s">
        <v>48</v>
      </c>
      <c r="F541" s="87">
        <f>[81]Source!DN630</f>
        <v>120</v>
      </c>
      <c r="G541" s="88"/>
      <c r="H541" s="89"/>
      <c r="I541" s="87"/>
      <c r="J541" s="176">
        <f>SUM(Q535:Q540)</f>
        <v>17.02</v>
      </c>
      <c r="K541" s="87">
        <f>[81]Source!BZ630</f>
        <v>87</v>
      </c>
      <c r="L541" s="176">
        <f>SUM(R535:R540)</f>
        <v>291.64</v>
      </c>
    </row>
    <row r="542" spans="1:22" ht="14.25" x14ac:dyDescent="0.2">
      <c r="A542" s="84"/>
      <c r="B542" s="84"/>
      <c r="C542" s="85"/>
      <c r="D542" s="85" t="s">
        <v>49</v>
      </c>
      <c r="E542" s="86" t="s">
        <v>48</v>
      </c>
      <c r="F542" s="87">
        <f>[81]Source!DO630</f>
        <v>84</v>
      </c>
      <c r="G542" s="88"/>
      <c r="H542" s="89"/>
      <c r="I542" s="87"/>
      <c r="J542" s="176">
        <f>SUM(S535:S541)</f>
        <v>11.91</v>
      </c>
      <c r="K542" s="87">
        <f>[81]Source!CA630</f>
        <v>41</v>
      </c>
      <c r="L542" s="176">
        <f>SUM(T535:T541)</f>
        <v>137.44</v>
      </c>
    </row>
    <row r="543" spans="1:22" ht="14.25" x14ac:dyDescent="0.2">
      <c r="A543" s="84"/>
      <c r="B543" s="84"/>
      <c r="C543" s="85"/>
      <c r="D543" s="85" t="s">
        <v>50</v>
      </c>
      <c r="E543" s="86" t="s">
        <v>48</v>
      </c>
      <c r="F543" s="87">
        <f>175</f>
        <v>175</v>
      </c>
      <c r="G543" s="88"/>
      <c r="H543" s="89"/>
      <c r="I543" s="87"/>
      <c r="J543" s="176">
        <f>SUM(U535:U542)-J550</f>
        <v>0.49</v>
      </c>
      <c r="K543" s="87">
        <f>157</f>
        <v>157</v>
      </c>
      <c r="L543" s="176">
        <f>SUM(V535:V542)-L550</f>
        <v>10.39</v>
      </c>
    </row>
    <row r="544" spans="1:22" ht="14.25" x14ac:dyDescent="0.2">
      <c r="A544" s="183"/>
      <c r="B544" s="183"/>
      <c r="C544" s="184"/>
      <c r="D544" s="184" t="s">
        <v>51</v>
      </c>
      <c r="E544" s="185" t="s">
        <v>52</v>
      </c>
      <c r="F544" s="186">
        <f>[81]Source!AQ629</f>
        <v>3.44</v>
      </c>
      <c r="G544" s="187"/>
      <c r="H544" s="188" t="str">
        <f>[81]Source!DI629</f>
        <v>)*10</v>
      </c>
      <c r="I544" s="186">
        <f>[81]Source!AV630</f>
        <v>1.0469999999999999</v>
      </c>
      <c r="J544" s="189">
        <f>[81]Source!U629</f>
        <v>0.66</v>
      </c>
      <c r="K544" s="186"/>
      <c r="L544" s="189"/>
    </row>
    <row r="545" spans="1:16" ht="15" x14ac:dyDescent="0.25">
      <c r="D545" s="194" t="s">
        <v>81</v>
      </c>
      <c r="I545" s="408">
        <f>J536+J537+J539+J541+J542+J543+SUM(J540:J540)</f>
        <v>248.31</v>
      </c>
      <c r="J545" s="408"/>
      <c r="K545" s="408">
        <f>L536+L537+L539+L541+L542+L543+SUM(L540:L540)</f>
        <v>1233.45</v>
      </c>
      <c r="L545" s="408"/>
      <c r="O545" s="92">
        <f>J536+J537+J539+J541+J542+J543+SUM(J540:J540)</f>
        <v>248.31</v>
      </c>
      <c r="P545" s="92">
        <f>L536+L537+L539+L541+L542+L543+SUM(L540:L540)</f>
        <v>1233.45</v>
      </c>
    </row>
    <row r="547" spans="1:16" ht="79.5" x14ac:dyDescent="0.2">
      <c r="A547" s="84">
        <v>82</v>
      </c>
      <c r="B547" s="84" t="str">
        <f>CONCATENATE([81]Source!E629, "/1")</f>
        <v>7/1</v>
      </c>
      <c r="C547" s="85" t="s">
        <v>259</v>
      </c>
      <c r="D547" s="85" t="s">
        <v>82</v>
      </c>
      <c r="E547" s="86" t="str">
        <f>[81]Source!H629</f>
        <v>100 м2 стяжки</v>
      </c>
      <c r="F547" s="87">
        <f>[81]Source!I629</f>
        <v>1.84E-2</v>
      </c>
      <c r="G547" s="88"/>
      <c r="H547" s="89"/>
      <c r="I547" s="87"/>
      <c r="J547" s="176"/>
      <c r="K547" s="87"/>
      <c r="L547" s="176"/>
    </row>
    <row r="548" spans="1:16" ht="14.25" x14ac:dyDescent="0.2">
      <c r="A548" s="84"/>
      <c r="B548" s="84"/>
      <c r="C548" s="85"/>
      <c r="D548" s="85" t="s">
        <v>44</v>
      </c>
      <c r="E548" s="86"/>
      <c r="F548" s="87"/>
      <c r="G548" s="88">
        <f t="shared" ref="G548:L548" si="24">G549</f>
        <v>1.46</v>
      </c>
      <c r="H548" s="195" t="str">
        <f t="shared" si="24"/>
        <v>)*(1.67-1)*10</v>
      </c>
      <c r="I548" s="87">
        <f t="shared" si="24"/>
        <v>1.0469999999999999</v>
      </c>
      <c r="J548" s="176">
        <f t="shared" si="24"/>
        <v>0.19</v>
      </c>
      <c r="K548" s="87">
        <f t="shared" si="24"/>
        <v>23.64</v>
      </c>
      <c r="L548" s="176">
        <f t="shared" si="24"/>
        <v>4.49</v>
      </c>
    </row>
    <row r="549" spans="1:16" ht="14.25" x14ac:dyDescent="0.2">
      <c r="A549" s="84"/>
      <c r="B549" s="84"/>
      <c r="C549" s="85"/>
      <c r="D549" s="85" t="s">
        <v>45</v>
      </c>
      <c r="E549" s="86"/>
      <c r="F549" s="87"/>
      <c r="G549" s="88">
        <f>[81]Source!AN629</f>
        <v>1.46</v>
      </c>
      <c r="H549" s="195" t="s">
        <v>260</v>
      </c>
      <c r="I549" s="87">
        <f>[81]Source!AV630</f>
        <v>1.0469999999999999</v>
      </c>
      <c r="J549" s="90">
        <f>ROUND(F535*G549*I549*(1.67-1)*10, 2)</f>
        <v>0.19</v>
      </c>
      <c r="K549" s="87">
        <f>IF([81]Source!BS630&lt;&gt; 0, [81]Source!BS630, 1)</f>
        <v>23.64</v>
      </c>
      <c r="L549" s="90">
        <f>ROUND(ROUND(F535*G549*I549*(1.67-1)*10, 2)*K549, 2)</f>
        <v>4.49</v>
      </c>
    </row>
    <row r="550" spans="1:16" ht="14.25" x14ac:dyDescent="0.2">
      <c r="A550" s="84"/>
      <c r="B550" s="84"/>
      <c r="C550" s="85"/>
      <c r="D550" s="85" t="s">
        <v>50</v>
      </c>
      <c r="E550" s="86" t="s">
        <v>48</v>
      </c>
      <c r="F550" s="87">
        <f>175</f>
        <v>175</v>
      </c>
      <c r="G550" s="88"/>
      <c r="H550" s="89"/>
      <c r="I550" s="87"/>
      <c r="J550" s="176">
        <f>ROUND(J549*(F550/100), 2)</f>
        <v>0.33</v>
      </c>
      <c r="K550" s="87">
        <f>157</f>
        <v>157</v>
      </c>
      <c r="L550" s="176">
        <f>ROUND(L549*(K550/100), 2)</f>
        <v>7.05</v>
      </c>
    </row>
    <row r="551" spans="1:16" ht="15" x14ac:dyDescent="0.25">
      <c r="A551" s="190"/>
      <c r="B551" s="190"/>
      <c r="C551" s="190"/>
      <c r="D551" s="191" t="s">
        <v>81</v>
      </c>
      <c r="E551" s="190"/>
      <c r="F551" s="190"/>
      <c r="G551" s="190"/>
      <c r="H551" s="190"/>
      <c r="I551" s="409">
        <f>J550+J549</f>
        <v>0.52</v>
      </c>
      <c r="J551" s="409"/>
      <c r="K551" s="409">
        <f>L550+L549</f>
        <v>11.54</v>
      </c>
      <c r="L551" s="409"/>
      <c r="O551" s="92">
        <f>I551</f>
        <v>0.52</v>
      </c>
      <c r="P551" s="92">
        <f>K551</f>
        <v>11.54</v>
      </c>
    </row>
    <row r="554" spans="1:16" ht="15" x14ac:dyDescent="0.25">
      <c r="A554" s="403" t="str">
        <f>CONCATENATE("Итого по подразделу: ",IF([81]Source!G640&lt;&gt;"Новый подраздел", [81]Source!G640, ""))</f>
        <v>Итого по подразделу: Тип Т06**</v>
      </c>
      <c r="B554" s="403"/>
      <c r="C554" s="403"/>
      <c r="D554" s="403"/>
      <c r="E554" s="403"/>
      <c r="F554" s="403"/>
      <c r="G554" s="403"/>
      <c r="H554" s="403"/>
      <c r="I554" s="404">
        <f>SUM(O444:O553)</f>
        <v>679.77</v>
      </c>
      <c r="J554" s="405"/>
      <c r="K554" s="404">
        <f>SUM(P444:P553)</f>
        <v>4199.83</v>
      </c>
      <c r="L554" s="405"/>
    </row>
    <row r="555" spans="1:16" hidden="1" x14ac:dyDescent="0.2">
      <c r="A555" s="47" t="s">
        <v>54</v>
      </c>
      <c r="J555" s="47">
        <f>SUM(W444:W554)</f>
        <v>0</v>
      </c>
      <c r="K555" s="47">
        <f>SUM(X444:X554)</f>
        <v>0</v>
      </c>
    </row>
    <row r="556" spans="1:16" hidden="1" x14ac:dyDescent="0.2">
      <c r="A556" s="47" t="s">
        <v>55</v>
      </c>
      <c r="J556" s="47">
        <f>SUM(Y444:Y555)</f>
        <v>0</v>
      </c>
      <c r="K556" s="47">
        <f>SUM(Z444:Z555)</f>
        <v>0</v>
      </c>
    </row>
    <row r="557" spans="1:16" hidden="1" x14ac:dyDescent="0.2"/>
    <row r="558" spans="1:16" ht="16.5" hidden="1" x14ac:dyDescent="0.25">
      <c r="A558" s="402" t="str">
        <f>CONCATENATE("Подраздел: ",IF([81]Source!G670&lt;&gt;"Новый подраздел", [81]Source!G670, ""))</f>
        <v>Подраздел: Тип Т08*</v>
      </c>
      <c r="B558" s="402"/>
      <c r="C558" s="402"/>
      <c r="D558" s="402"/>
      <c r="E558" s="402"/>
      <c r="F558" s="402"/>
      <c r="G558" s="402"/>
      <c r="H558" s="402"/>
      <c r="I558" s="402"/>
      <c r="J558" s="402"/>
      <c r="K558" s="402"/>
      <c r="L558" s="402"/>
    </row>
    <row r="559" spans="1:16" hidden="1" x14ac:dyDescent="0.2"/>
    <row r="560" spans="1:16" ht="15" hidden="1" x14ac:dyDescent="0.25">
      <c r="A560" s="403" t="str">
        <f>CONCATENATE("Итого по подразделу: ",IF([81]Source!G693&lt;&gt;"Новый подраздел", [81]Source!G693, ""))</f>
        <v>Итого по подразделу: Тип Т08*</v>
      </c>
      <c r="B560" s="403"/>
      <c r="C560" s="403"/>
      <c r="D560" s="403"/>
      <c r="E560" s="403"/>
      <c r="F560" s="403"/>
      <c r="G560" s="403"/>
      <c r="H560" s="403"/>
      <c r="I560" s="404">
        <f>SUM(O558:O559)</f>
        <v>0</v>
      </c>
      <c r="J560" s="405"/>
      <c r="K560" s="404">
        <f>SUM(P558:P559)</f>
        <v>0</v>
      </c>
      <c r="L560" s="405"/>
    </row>
    <row r="561" spans="1:12" hidden="1" x14ac:dyDescent="0.2">
      <c r="A561" s="47" t="s">
        <v>54</v>
      </c>
      <c r="J561" s="47">
        <f>SUM(W558:W560)</f>
        <v>0</v>
      </c>
      <c r="K561" s="47">
        <f>SUM(X558:X560)</f>
        <v>0</v>
      </c>
    </row>
    <row r="562" spans="1:12" hidden="1" x14ac:dyDescent="0.2">
      <c r="A562" s="47" t="s">
        <v>55</v>
      </c>
      <c r="J562" s="47">
        <f>SUM(Y558:Y561)</f>
        <v>0</v>
      </c>
      <c r="K562" s="47">
        <f>SUM(Z558:Z561)</f>
        <v>0</v>
      </c>
    </row>
    <row r="563" spans="1:12" hidden="1" x14ac:dyDescent="0.2"/>
    <row r="564" spans="1:12" ht="16.5" hidden="1" x14ac:dyDescent="0.25">
      <c r="A564" s="402" t="str">
        <f>CONCATENATE("Подраздел: ",IF([81]Source!G723&lt;&gt;"Новый подраздел", [81]Source!G723, ""))</f>
        <v>Подраздел: Тип Т09</v>
      </c>
      <c r="B564" s="402"/>
      <c r="C564" s="402"/>
      <c r="D564" s="402"/>
      <c r="E564" s="402"/>
      <c r="F564" s="402"/>
      <c r="G564" s="402"/>
      <c r="H564" s="402"/>
      <c r="I564" s="402"/>
      <c r="J564" s="402"/>
      <c r="K564" s="402"/>
      <c r="L564" s="402"/>
    </row>
    <row r="565" spans="1:12" hidden="1" x14ac:dyDescent="0.2"/>
    <row r="566" spans="1:12" ht="15" hidden="1" x14ac:dyDescent="0.25">
      <c r="A566" s="403" t="str">
        <f>CONCATENATE("Итого по подразделу: ",IF([81]Source!G756&lt;&gt;"Новый подраздел", [81]Source!G756, ""))</f>
        <v>Итого по подразделу: Тип Т09</v>
      </c>
      <c r="B566" s="403"/>
      <c r="C566" s="403"/>
      <c r="D566" s="403"/>
      <c r="E566" s="403"/>
      <c r="F566" s="403"/>
      <c r="G566" s="403"/>
      <c r="H566" s="403"/>
      <c r="I566" s="404">
        <f>SUM(O564:O565)</f>
        <v>0</v>
      </c>
      <c r="J566" s="405"/>
      <c r="K566" s="404">
        <f>SUM(P564:P565)</f>
        <v>0</v>
      </c>
      <c r="L566" s="405"/>
    </row>
    <row r="567" spans="1:12" hidden="1" x14ac:dyDescent="0.2">
      <c r="A567" s="47" t="s">
        <v>54</v>
      </c>
      <c r="J567" s="47">
        <f>SUM(W564:W566)</f>
        <v>0</v>
      </c>
      <c r="K567" s="47">
        <f>SUM(X564:X566)</f>
        <v>0</v>
      </c>
    </row>
    <row r="568" spans="1:12" hidden="1" x14ac:dyDescent="0.2">
      <c r="A568" s="47" t="s">
        <v>55</v>
      </c>
      <c r="J568" s="47">
        <f>SUM(Y564:Y567)</f>
        <v>0</v>
      </c>
      <c r="K568" s="47">
        <f>SUM(Z564:Z567)</f>
        <v>0</v>
      </c>
    </row>
    <row r="569" spans="1:12" hidden="1" x14ac:dyDescent="0.2"/>
    <row r="570" spans="1:12" ht="16.5" hidden="1" x14ac:dyDescent="0.25">
      <c r="A570" s="402" t="str">
        <f>CONCATENATE("Подраздел: ",IF([81]Source!G786&lt;&gt;"Новый подраздел", [81]Source!G786, ""))</f>
        <v>Подраздел: Тип Т09*</v>
      </c>
      <c r="B570" s="402"/>
      <c r="C570" s="402"/>
      <c r="D570" s="402"/>
      <c r="E570" s="402"/>
      <c r="F570" s="402"/>
      <c r="G570" s="402"/>
      <c r="H570" s="402"/>
      <c r="I570" s="402"/>
      <c r="J570" s="402"/>
      <c r="K570" s="402"/>
      <c r="L570" s="402"/>
    </row>
    <row r="571" spans="1:12" hidden="1" x14ac:dyDescent="0.2"/>
    <row r="572" spans="1:12" ht="15" hidden="1" x14ac:dyDescent="0.25">
      <c r="A572" s="403" t="str">
        <f>CONCATENATE("Итого по подразделу: ",IF([81]Source!G819&lt;&gt;"Новый подраздел", [81]Source!G819, ""))</f>
        <v>Итого по подразделу: Тип Т09*</v>
      </c>
      <c r="B572" s="403"/>
      <c r="C572" s="403"/>
      <c r="D572" s="403"/>
      <c r="E572" s="403"/>
      <c r="F572" s="403"/>
      <c r="G572" s="403"/>
      <c r="H572" s="403"/>
      <c r="I572" s="404">
        <f>SUM(O570:O571)</f>
        <v>0</v>
      </c>
      <c r="J572" s="405"/>
      <c r="K572" s="404">
        <f>SUM(P570:P571)</f>
        <v>0</v>
      </c>
      <c r="L572" s="405"/>
    </row>
    <row r="573" spans="1:12" hidden="1" x14ac:dyDescent="0.2">
      <c r="A573" s="47" t="s">
        <v>54</v>
      </c>
      <c r="J573" s="47">
        <f>SUM(W570:W572)</f>
        <v>0</v>
      </c>
      <c r="K573" s="47">
        <f>SUM(X570:X572)</f>
        <v>0</v>
      </c>
    </row>
    <row r="574" spans="1:12" hidden="1" x14ac:dyDescent="0.2">
      <c r="A574" s="47" t="s">
        <v>55</v>
      </c>
      <c r="J574" s="47">
        <f>SUM(Y570:Y573)</f>
        <v>0</v>
      </c>
      <c r="K574" s="47">
        <f>SUM(Z570:Z573)</f>
        <v>0</v>
      </c>
    </row>
    <row r="575" spans="1:12" hidden="1" x14ac:dyDescent="0.2"/>
    <row r="576" spans="1:12" ht="16.5" hidden="1" x14ac:dyDescent="0.25">
      <c r="A576" s="402" t="str">
        <f>CONCATENATE("Подраздел: ",IF([81]Source!G849&lt;&gt;"Новый подраздел", [81]Source!G849, ""))</f>
        <v>Подраздел: Тип 10</v>
      </c>
      <c r="B576" s="402"/>
      <c r="C576" s="402"/>
      <c r="D576" s="402"/>
      <c r="E576" s="402"/>
      <c r="F576" s="402"/>
      <c r="G576" s="402"/>
      <c r="H576" s="402"/>
      <c r="I576" s="402"/>
      <c r="J576" s="402"/>
      <c r="K576" s="402"/>
      <c r="L576" s="402"/>
    </row>
    <row r="577" spans="1:12" hidden="1" x14ac:dyDescent="0.2"/>
    <row r="578" spans="1:12" ht="15" hidden="1" x14ac:dyDescent="0.25">
      <c r="A578" s="403" t="str">
        <f>CONCATENATE("Итого по подразделу: ",IF([81]Source!G874&lt;&gt;"Новый подраздел", [81]Source!G874, ""))</f>
        <v>Итого по подразделу: Тип 10</v>
      </c>
      <c r="B578" s="403"/>
      <c r="C578" s="403"/>
      <c r="D578" s="403"/>
      <c r="E578" s="403"/>
      <c r="F578" s="403"/>
      <c r="G578" s="403"/>
      <c r="H578" s="403"/>
      <c r="I578" s="404">
        <f>SUM(O576:O577)</f>
        <v>0</v>
      </c>
      <c r="J578" s="405"/>
      <c r="K578" s="404">
        <f>SUM(P576:P577)</f>
        <v>0</v>
      </c>
      <c r="L578" s="405"/>
    </row>
    <row r="579" spans="1:12" hidden="1" x14ac:dyDescent="0.2">
      <c r="A579" s="47" t="s">
        <v>54</v>
      </c>
      <c r="J579" s="47">
        <f>SUM(W576:W578)</f>
        <v>0</v>
      </c>
      <c r="K579" s="47">
        <f>SUM(X576:X578)</f>
        <v>0</v>
      </c>
    </row>
    <row r="580" spans="1:12" hidden="1" x14ac:dyDescent="0.2">
      <c r="A580" s="47" t="s">
        <v>55</v>
      </c>
      <c r="J580" s="47">
        <f>SUM(Y576:Y579)</f>
        <v>0</v>
      </c>
      <c r="K580" s="47">
        <f>SUM(Z576:Z579)</f>
        <v>0</v>
      </c>
    </row>
    <row r="581" spans="1:12" hidden="1" x14ac:dyDescent="0.2"/>
    <row r="582" spans="1:12" ht="16.5" hidden="1" x14ac:dyDescent="0.25">
      <c r="A582" s="402" t="str">
        <f>CONCATENATE("Подраздел: ",IF([81]Source!G904&lt;&gt;"Новый подраздел", [81]Source!G904, ""))</f>
        <v>Подраздел: Тип Т10*</v>
      </c>
      <c r="B582" s="402"/>
      <c r="C582" s="402"/>
      <c r="D582" s="402"/>
      <c r="E582" s="402"/>
      <c r="F582" s="402"/>
      <c r="G582" s="402"/>
      <c r="H582" s="402"/>
      <c r="I582" s="402"/>
      <c r="J582" s="402"/>
      <c r="K582" s="402"/>
      <c r="L582" s="402"/>
    </row>
    <row r="583" spans="1:12" hidden="1" x14ac:dyDescent="0.2"/>
    <row r="584" spans="1:12" ht="15" hidden="1" x14ac:dyDescent="0.25">
      <c r="A584" s="403" t="str">
        <f>CONCATENATE("Итого по подразделу: ",IF([81]Source!G929&lt;&gt;"Новый подраздел", [81]Source!G929, ""))</f>
        <v>Итого по подразделу: Тип Т10*</v>
      </c>
      <c r="B584" s="403"/>
      <c r="C584" s="403"/>
      <c r="D584" s="403"/>
      <c r="E584" s="403"/>
      <c r="F584" s="403"/>
      <c r="G584" s="403"/>
      <c r="H584" s="403"/>
      <c r="I584" s="404">
        <f>SUM(O582:O583)</f>
        <v>0</v>
      </c>
      <c r="J584" s="405"/>
      <c r="K584" s="404">
        <f>SUM(P582:P583)</f>
        <v>0</v>
      </c>
      <c r="L584" s="405"/>
    </row>
    <row r="585" spans="1:12" hidden="1" x14ac:dyDescent="0.2">
      <c r="A585" s="47" t="s">
        <v>54</v>
      </c>
      <c r="J585" s="47">
        <f>SUM(W582:W584)</f>
        <v>0</v>
      </c>
      <c r="K585" s="47">
        <f>SUM(X582:X584)</f>
        <v>0</v>
      </c>
    </row>
    <row r="586" spans="1:12" hidden="1" x14ac:dyDescent="0.2">
      <c r="A586" s="47" t="s">
        <v>55</v>
      </c>
      <c r="J586" s="47">
        <f>SUM(Y582:Y585)</f>
        <v>0</v>
      </c>
      <c r="K586" s="47">
        <f>SUM(Z582:Z585)</f>
        <v>0</v>
      </c>
    </row>
    <row r="587" spans="1:12" hidden="1" x14ac:dyDescent="0.2"/>
    <row r="588" spans="1:12" ht="16.5" hidden="1" x14ac:dyDescent="0.25">
      <c r="A588" s="402" t="str">
        <f>CONCATENATE("Подраздел: ",IF([81]Source!G959&lt;&gt;"Новый подраздел", [81]Source!G959, ""))</f>
        <v>Подраздел: Тип 10п</v>
      </c>
      <c r="B588" s="402"/>
      <c r="C588" s="402"/>
      <c r="D588" s="402"/>
      <c r="E588" s="402"/>
      <c r="F588" s="402"/>
      <c r="G588" s="402"/>
      <c r="H588" s="402"/>
      <c r="I588" s="402"/>
      <c r="J588" s="402"/>
      <c r="K588" s="402"/>
      <c r="L588" s="402"/>
    </row>
    <row r="589" spans="1:12" hidden="1" x14ac:dyDescent="0.2"/>
    <row r="590" spans="1:12" ht="15" hidden="1" x14ac:dyDescent="0.25">
      <c r="A590" s="403" t="str">
        <f>CONCATENATE("Итого по подразделу: ",IF([81]Source!G984&lt;&gt;"Новый подраздел", [81]Source!G984, ""))</f>
        <v>Итого по подразделу: Тип 10п</v>
      </c>
      <c r="B590" s="403"/>
      <c r="C590" s="403"/>
      <c r="D590" s="403"/>
      <c r="E590" s="403"/>
      <c r="F590" s="403"/>
      <c r="G590" s="403"/>
      <c r="H590" s="403"/>
      <c r="I590" s="404">
        <f>SUM(O588:O589)</f>
        <v>0</v>
      </c>
      <c r="J590" s="405"/>
      <c r="K590" s="404">
        <f>SUM(P588:P589)</f>
        <v>0</v>
      </c>
      <c r="L590" s="405"/>
    </row>
    <row r="591" spans="1:12" hidden="1" x14ac:dyDescent="0.2">
      <c r="A591" s="47" t="s">
        <v>54</v>
      </c>
      <c r="J591" s="47">
        <f>SUM(W588:W590)</f>
        <v>0</v>
      </c>
      <c r="K591" s="47">
        <f>SUM(X588:X590)</f>
        <v>0</v>
      </c>
    </row>
    <row r="592" spans="1:12" hidden="1" x14ac:dyDescent="0.2">
      <c r="A592" s="47" t="s">
        <v>55</v>
      </c>
      <c r="J592" s="47">
        <f>SUM(Y588:Y591)</f>
        <v>0</v>
      </c>
      <c r="K592" s="47">
        <f>SUM(Z588:Z591)</f>
        <v>0</v>
      </c>
    </row>
    <row r="593" spans="1:12" hidden="1" x14ac:dyDescent="0.2"/>
    <row r="594" spans="1:12" ht="16.5" hidden="1" x14ac:dyDescent="0.25">
      <c r="A594" s="402" t="str">
        <f>CONCATENATE("Подраздел: ",IF([81]Source!G1014&lt;&gt;"Новый подраздел", [81]Source!G1014, ""))</f>
        <v>Подраздел: Тип 11</v>
      </c>
      <c r="B594" s="402"/>
      <c r="C594" s="402"/>
      <c r="D594" s="402"/>
      <c r="E594" s="402"/>
      <c r="F594" s="402"/>
      <c r="G594" s="402"/>
      <c r="H594" s="402"/>
      <c r="I594" s="402"/>
      <c r="J594" s="402"/>
      <c r="K594" s="402"/>
      <c r="L594" s="402"/>
    </row>
    <row r="595" spans="1:12" hidden="1" x14ac:dyDescent="0.2"/>
    <row r="596" spans="1:12" ht="15" hidden="1" x14ac:dyDescent="0.25">
      <c r="A596" s="403" t="str">
        <f>CONCATENATE("Итого по подразделу: ",IF([81]Source!G1039&lt;&gt;"Новый подраздел", [81]Source!G1039, ""))</f>
        <v>Итого по подразделу: Тип 11</v>
      </c>
      <c r="B596" s="403"/>
      <c r="C596" s="403"/>
      <c r="D596" s="403"/>
      <c r="E596" s="403"/>
      <c r="F596" s="403"/>
      <c r="G596" s="403"/>
      <c r="H596" s="403"/>
      <c r="I596" s="404">
        <f>SUM(O594:O595)</f>
        <v>0</v>
      </c>
      <c r="J596" s="405"/>
      <c r="K596" s="404">
        <f>SUM(P594:P595)</f>
        <v>0</v>
      </c>
      <c r="L596" s="405"/>
    </row>
    <row r="597" spans="1:12" hidden="1" x14ac:dyDescent="0.2">
      <c r="A597" s="47" t="s">
        <v>54</v>
      </c>
      <c r="J597" s="47">
        <f>SUM(W594:W596)</f>
        <v>0</v>
      </c>
      <c r="K597" s="47">
        <f>SUM(X594:X596)</f>
        <v>0</v>
      </c>
    </row>
    <row r="598" spans="1:12" hidden="1" x14ac:dyDescent="0.2">
      <c r="A598" s="47" t="s">
        <v>55</v>
      </c>
      <c r="J598" s="47">
        <f>SUM(Y594:Y597)</f>
        <v>0</v>
      </c>
      <c r="K598" s="47">
        <f>SUM(Z594:Z597)</f>
        <v>0</v>
      </c>
    </row>
    <row r="599" spans="1:12" hidden="1" x14ac:dyDescent="0.2"/>
    <row r="600" spans="1:12" ht="16.5" hidden="1" x14ac:dyDescent="0.25">
      <c r="A600" s="402" t="str">
        <f>CONCATENATE("Подраздел: ",IF([81]Source!G1069&lt;&gt;"Новый подраздел", [81]Source!G1069, ""))</f>
        <v>Подраздел: Тип Т15</v>
      </c>
      <c r="B600" s="402"/>
      <c r="C600" s="402"/>
      <c r="D600" s="402"/>
      <c r="E600" s="402"/>
      <c r="F600" s="402"/>
      <c r="G600" s="402"/>
      <c r="H600" s="402"/>
      <c r="I600" s="402"/>
      <c r="J600" s="402"/>
      <c r="K600" s="402"/>
      <c r="L600" s="402"/>
    </row>
    <row r="601" spans="1:12" hidden="1" x14ac:dyDescent="0.2"/>
    <row r="602" spans="1:12" ht="15" hidden="1" x14ac:dyDescent="0.25">
      <c r="A602" s="403" t="str">
        <f>CONCATENATE("Итого по подразделу: ",IF([81]Source!G1078&lt;&gt;"Новый подраздел", [81]Source!G1078, ""))</f>
        <v>Итого по подразделу: Тип Т15</v>
      </c>
      <c r="B602" s="403"/>
      <c r="C602" s="403"/>
      <c r="D602" s="403"/>
      <c r="E602" s="403"/>
      <c r="F602" s="403"/>
      <c r="G602" s="403"/>
      <c r="H602" s="403"/>
      <c r="I602" s="404">
        <f>SUM(O600:O601)</f>
        <v>0</v>
      </c>
      <c r="J602" s="405"/>
      <c r="K602" s="404">
        <f>SUM(P600:P601)</f>
        <v>0</v>
      </c>
      <c r="L602" s="405"/>
    </row>
    <row r="603" spans="1:12" hidden="1" x14ac:dyDescent="0.2">
      <c r="A603" s="47" t="s">
        <v>54</v>
      </c>
      <c r="J603" s="47">
        <f>SUM(W600:W602)</f>
        <v>0</v>
      </c>
      <c r="K603" s="47">
        <f>SUM(X600:X602)</f>
        <v>0</v>
      </c>
    </row>
    <row r="604" spans="1:12" hidden="1" x14ac:dyDescent="0.2">
      <c r="A604" s="47" t="s">
        <v>55</v>
      </c>
      <c r="J604" s="47">
        <f>SUM(Y600:Y603)</f>
        <v>0</v>
      </c>
      <c r="K604" s="47">
        <f>SUM(Z600:Z603)</f>
        <v>0</v>
      </c>
    </row>
    <row r="605" spans="1:12" hidden="1" x14ac:dyDescent="0.2"/>
    <row r="606" spans="1:12" ht="16.5" hidden="1" x14ac:dyDescent="0.25">
      <c r="A606" s="402" t="str">
        <f>CONCATENATE("Подраздел: ",IF([81]Source!G1108&lt;&gt;"Новый подраздел", [81]Source!G1108, ""))</f>
        <v>Подраздел: Тип Т16*</v>
      </c>
      <c r="B606" s="402"/>
      <c r="C606" s="402"/>
      <c r="D606" s="402"/>
      <c r="E606" s="402"/>
      <c r="F606" s="402"/>
      <c r="G606" s="402"/>
      <c r="H606" s="402"/>
      <c r="I606" s="402"/>
      <c r="J606" s="402"/>
      <c r="K606" s="402"/>
      <c r="L606" s="402"/>
    </row>
    <row r="607" spans="1:12" hidden="1" x14ac:dyDescent="0.2"/>
    <row r="608" spans="1:12" ht="15" hidden="1" x14ac:dyDescent="0.25">
      <c r="C608" s="454" t="str">
        <f>[81]Source!G1134</f>
        <v>Лестница</v>
      </c>
      <c r="D608" s="454"/>
      <c r="E608" s="454"/>
      <c r="F608" s="454"/>
      <c r="G608" s="454"/>
      <c r="H608" s="454"/>
      <c r="I608" s="454"/>
      <c r="J608" s="454"/>
      <c r="K608" s="454"/>
    </row>
    <row r="609" spans="1:22" hidden="1" x14ac:dyDescent="0.2"/>
    <row r="610" spans="1:22" ht="15" hidden="1" x14ac:dyDescent="0.25">
      <c r="A610" s="403" t="str">
        <f>CONCATENATE("Итого по подразделу: ",IF([81]Source!G1152&lt;&gt;"Новый подраздел", [81]Source!G1152, ""))</f>
        <v>Итого по подразделу: Тип Т16*</v>
      </c>
      <c r="B610" s="403"/>
      <c r="C610" s="403"/>
      <c r="D610" s="403"/>
      <c r="E610" s="403"/>
      <c r="F610" s="403"/>
      <c r="G610" s="403"/>
      <c r="H610" s="403"/>
      <c r="I610" s="404">
        <f>SUM(O606:O609)</f>
        <v>0</v>
      </c>
      <c r="J610" s="405"/>
      <c r="K610" s="404">
        <f>SUM(P606:P609)</f>
        <v>0</v>
      </c>
      <c r="L610" s="405"/>
    </row>
    <row r="611" spans="1:22" hidden="1" x14ac:dyDescent="0.2">
      <c r="A611" s="47" t="s">
        <v>54</v>
      </c>
      <c r="J611" s="47">
        <f>SUM(W606:W610)</f>
        <v>0</v>
      </c>
      <c r="K611" s="47">
        <f>SUM(X606:X610)</f>
        <v>0</v>
      </c>
    </row>
    <row r="612" spans="1:22" hidden="1" x14ac:dyDescent="0.2">
      <c r="A612" s="47" t="s">
        <v>55</v>
      </c>
      <c r="J612" s="47">
        <f>SUM(Y606:Y611)</f>
        <v>0</v>
      </c>
      <c r="K612" s="47">
        <f>SUM(Z606:Z611)</f>
        <v>0</v>
      </c>
    </row>
    <row r="614" spans="1:22" ht="16.5" x14ac:dyDescent="0.25">
      <c r="A614" s="402" t="str">
        <f>CONCATENATE("Подраздел: ",IF([81]Source!G1182&lt;&gt;"Новый подраздел", [81]Source!G1182, ""))</f>
        <v>Подраздел: Закладные изделия в полу</v>
      </c>
      <c r="B614" s="402"/>
      <c r="C614" s="402"/>
      <c r="D614" s="402"/>
      <c r="E614" s="402"/>
      <c r="F614" s="402"/>
      <c r="G614" s="402"/>
      <c r="H614" s="402"/>
      <c r="I614" s="402"/>
      <c r="J614" s="402"/>
      <c r="K614" s="402"/>
      <c r="L614" s="402"/>
    </row>
    <row r="615" spans="1:22" ht="65.25" x14ac:dyDescent="0.2">
      <c r="A615" s="84">
        <v>83</v>
      </c>
      <c r="B615" s="84" t="str">
        <f>[81]Source!E1206</f>
        <v>6</v>
      </c>
      <c r="C615" s="85" t="s">
        <v>270</v>
      </c>
      <c r="D615" s="85" t="s">
        <v>271</v>
      </c>
      <c r="E615" s="86" t="str">
        <f>[81]Source!H1206</f>
        <v>1 Т</v>
      </c>
      <c r="F615" s="87">
        <f>[81]Source!I1206</f>
        <v>1.7999999999999999E-2</v>
      </c>
      <c r="G615" s="88"/>
      <c r="H615" s="89"/>
      <c r="I615" s="87"/>
      <c r="J615" s="176"/>
      <c r="K615" s="87"/>
      <c r="L615" s="176"/>
      <c r="Q615" s="47">
        <f>[81]Source!X1206</f>
        <v>72.680000000000007</v>
      </c>
      <c r="R615" s="47">
        <f>[81]Source!X1207</f>
        <v>1612.89</v>
      </c>
      <c r="S615" s="47">
        <f>[81]Source!Y1206</f>
        <v>51.91</v>
      </c>
      <c r="T615" s="47">
        <f>[81]Source!Y1207</f>
        <v>1139.54</v>
      </c>
      <c r="U615" s="47">
        <f>ROUND((175/100)*ROUND([81]Source!R1206, 2), 2)</f>
        <v>0.3</v>
      </c>
      <c r="V615" s="47">
        <f>ROUND((157/100)*ROUND([81]Source!R1207, 2), 2)</f>
        <v>6.31</v>
      </c>
    </row>
    <row r="616" spans="1:22" ht="14.25" x14ac:dyDescent="0.2">
      <c r="A616" s="84"/>
      <c r="B616" s="84"/>
      <c r="C616" s="85"/>
      <c r="D616" s="85" t="s">
        <v>43</v>
      </c>
      <c r="E616" s="86"/>
      <c r="F616" s="87"/>
      <c r="G616" s="88">
        <f>[81]Source!AO1206</f>
        <v>2356.1999999999998</v>
      </c>
      <c r="H616" s="89" t="str">
        <f>[81]Source!DG1206</f>
        <v>)*1,67</v>
      </c>
      <c r="I616" s="87">
        <f>[81]Source!AV1207</f>
        <v>1.0469999999999999</v>
      </c>
      <c r="J616" s="176">
        <f>[81]Source!S1206</f>
        <v>74.16</v>
      </c>
      <c r="K616" s="87">
        <f>IF([81]Source!BA1207&lt;&gt; 0, [81]Source!BA1207, 1)</f>
        <v>23.64</v>
      </c>
      <c r="L616" s="176">
        <f>[81]Source!S1207</f>
        <v>1753.14</v>
      </c>
    </row>
    <row r="617" spans="1:22" ht="14.25" x14ac:dyDescent="0.2">
      <c r="A617" s="84"/>
      <c r="B617" s="84"/>
      <c r="C617" s="85"/>
      <c r="D617" s="85" t="s">
        <v>44</v>
      </c>
      <c r="E617" s="86"/>
      <c r="F617" s="87"/>
      <c r="G617" s="88">
        <f>[81]Source!AM1206</f>
        <v>41.32</v>
      </c>
      <c r="H617" s="89" t="str">
        <f>[81]Source!DE1206</f>
        <v/>
      </c>
      <c r="I617" s="87">
        <f>[81]Source!AV1207</f>
        <v>1.0469999999999999</v>
      </c>
      <c r="J617" s="176">
        <f>[81]Source!Q1206-J627</f>
        <v>0.78</v>
      </c>
      <c r="K617" s="87">
        <f>IF([81]Source!BB1207&lt;&gt; 0, [81]Source!BB1207, 1)</f>
        <v>8.2899999999999991</v>
      </c>
      <c r="L617" s="176">
        <f>[81]Source!Q1207-L627</f>
        <v>6.47</v>
      </c>
    </row>
    <row r="618" spans="1:22" ht="14.25" x14ac:dyDescent="0.2">
      <c r="A618" s="84"/>
      <c r="B618" s="84"/>
      <c r="C618" s="85"/>
      <c r="D618" s="85" t="s">
        <v>45</v>
      </c>
      <c r="E618" s="86"/>
      <c r="F618" s="87"/>
      <c r="G618" s="88">
        <f>[81]Source!AN1206</f>
        <v>5.27</v>
      </c>
      <c r="H618" s="89" t="str">
        <f>[81]Source!DE1206</f>
        <v/>
      </c>
      <c r="I618" s="87">
        <f>[81]Source!AV1207</f>
        <v>1.0469999999999999</v>
      </c>
      <c r="J618" s="90">
        <f>[81]Source!R1206-J628</f>
        <v>0.1</v>
      </c>
      <c r="K618" s="87">
        <f>IF([81]Source!BS1207&lt;&gt; 0, [81]Source!BS1207, 1)</f>
        <v>23.64</v>
      </c>
      <c r="L618" s="90">
        <f>[81]Source!R1207-L628</f>
        <v>2.37</v>
      </c>
    </row>
    <row r="619" spans="1:22" ht="57" x14ac:dyDescent="0.2">
      <c r="A619" s="84">
        <v>84</v>
      </c>
      <c r="B619" s="84" t="str">
        <f>[81]Source!E1208</f>
        <v>6,1</v>
      </c>
      <c r="C619" s="85" t="str">
        <f>[81]Source!F1208</f>
        <v>1.12-6-28</v>
      </c>
      <c r="D619" s="85" t="s">
        <v>272</v>
      </c>
      <c r="E619" s="86" t="str">
        <f>[81]Source!H1208</f>
        <v>м</v>
      </c>
      <c r="F619" s="87">
        <f>[81]Source!I1208</f>
        <v>2.4609770000000002</v>
      </c>
      <c r="G619" s="88">
        <f>[81]Source!AK1208</f>
        <v>75.56</v>
      </c>
      <c r="H619" s="123" t="s">
        <v>20</v>
      </c>
      <c r="I619" s="87">
        <f>[81]Source!AW1209</f>
        <v>1.022</v>
      </c>
      <c r="J619" s="176">
        <f>[81]Source!O1208</f>
        <v>190.04</v>
      </c>
      <c r="K619" s="87">
        <f>IF([81]Source!BC1209&lt;&gt; 0, [81]Source!BC1209, 1)</f>
        <v>2.95</v>
      </c>
      <c r="L619" s="176">
        <f>[81]Source!O1209</f>
        <v>560.62</v>
      </c>
      <c r="Q619" s="47">
        <f>[81]Source!X1208</f>
        <v>0</v>
      </c>
      <c r="R619" s="47">
        <f>[81]Source!X1209</f>
        <v>0</v>
      </c>
      <c r="S619" s="47">
        <f>[81]Source!Y1208</f>
        <v>0</v>
      </c>
      <c r="T619" s="47">
        <f>[81]Source!Y1209</f>
        <v>0</v>
      </c>
      <c r="U619" s="47">
        <f>ROUND((175/100)*ROUND([81]Source!R1208, 2), 2)</f>
        <v>0</v>
      </c>
      <c r="V619" s="47">
        <f>ROUND((157/100)*ROUND([81]Source!R1209, 2), 2)</f>
        <v>0</v>
      </c>
    </row>
    <row r="620" spans="1:22" ht="14.25" x14ac:dyDescent="0.2">
      <c r="A620" s="84"/>
      <c r="B620" s="84"/>
      <c r="C620" s="85"/>
      <c r="D620" s="85" t="s">
        <v>47</v>
      </c>
      <c r="E620" s="86" t="s">
        <v>48</v>
      </c>
      <c r="F620" s="87">
        <f>[81]Source!DN1207</f>
        <v>98</v>
      </c>
      <c r="G620" s="88"/>
      <c r="H620" s="89"/>
      <c r="I620" s="87"/>
      <c r="J620" s="176">
        <f>SUM(Q615:Q619)</f>
        <v>72.680000000000007</v>
      </c>
      <c r="K620" s="87">
        <f>[81]Source!BZ1207</f>
        <v>92</v>
      </c>
      <c r="L620" s="176">
        <f>SUM(R615:R619)</f>
        <v>1612.89</v>
      </c>
    </row>
    <row r="621" spans="1:22" ht="14.25" x14ac:dyDescent="0.2">
      <c r="A621" s="84"/>
      <c r="B621" s="84"/>
      <c r="C621" s="85"/>
      <c r="D621" s="85" t="s">
        <v>49</v>
      </c>
      <c r="E621" s="86" t="s">
        <v>48</v>
      </c>
      <c r="F621" s="87">
        <f>[81]Source!DO1207</f>
        <v>70</v>
      </c>
      <c r="G621" s="88"/>
      <c r="H621" s="89"/>
      <c r="I621" s="87"/>
      <c r="J621" s="176">
        <f>SUM(S615:S620)</f>
        <v>51.91</v>
      </c>
      <c r="K621" s="87">
        <f>[81]Source!CA1207</f>
        <v>65</v>
      </c>
      <c r="L621" s="176">
        <f>SUM(T615:T620)</f>
        <v>1139.54</v>
      </c>
    </row>
    <row r="622" spans="1:22" ht="14.25" x14ac:dyDescent="0.2">
      <c r="A622" s="84"/>
      <c r="B622" s="84"/>
      <c r="C622" s="85"/>
      <c r="D622" s="85" t="s">
        <v>50</v>
      </c>
      <c r="E622" s="86" t="s">
        <v>48</v>
      </c>
      <c r="F622" s="87">
        <f>175</f>
        <v>175</v>
      </c>
      <c r="G622" s="88"/>
      <c r="H622" s="89"/>
      <c r="I622" s="87"/>
      <c r="J622" s="176">
        <f>SUM(U615:U621)-J629</f>
        <v>0.18</v>
      </c>
      <c r="K622" s="87">
        <f>157</f>
        <v>157</v>
      </c>
      <c r="L622" s="176">
        <f>SUM(V615:V621)-L629</f>
        <v>3.72</v>
      </c>
    </row>
    <row r="623" spans="1:22" ht="14.25" x14ac:dyDescent="0.2">
      <c r="A623" s="183"/>
      <c r="B623" s="183"/>
      <c r="C623" s="184"/>
      <c r="D623" s="184" t="s">
        <v>51</v>
      </c>
      <c r="E623" s="185" t="s">
        <v>52</v>
      </c>
      <c r="F623" s="186">
        <f>[81]Source!AQ1206</f>
        <v>198</v>
      </c>
      <c r="G623" s="187"/>
      <c r="H623" s="188" t="str">
        <f>[81]Source!DI1206</f>
        <v/>
      </c>
      <c r="I623" s="186">
        <f>[81]Source!AV1207</f>
        <v>1.0469999999999999</v>
      </c>
      <c r="J623" s="189">
        <f>[81]Source!U1206</f>
        <v>3.73</v>
      </c>
      <c r="K623" s="186"/>
      <c r="L623" s="189"/>
    </row>
    <row r="624" spans="1:22" ht="15" x14ac:dyDescent="0.25">
      <c r="D624" s="194" t="s">
        <v>81</v>
      </c>
      <c r="I624" s="408">
        <f>J616+J617+J620+J621+J622+SUM(J619:J619)</f>
        <v>389.75</v>
      </c>
      <c r="J624" s="408"/>
      <c r="K624" s="408">
        <f>L616+L617+L620+L621+L622+SUM(L619:L619)</f>
        <v>5076.38</v>
      </c>
      <c r="L624" s="408"/>
      <c r="O624" s="92">
        <f>J616+J617+J620+J621+J622+SUM(J619:J619)</f>
        <v>389.75</v>
      </c>
      <c r="P624" s="92">
        <f>L616+L617+L620+L621+L622+SUM(L619:L619)</f>
        <v>5076.38</v>
      </c>
    </row>
    <row r="626" spans="1:22" ht="65.25" x14ac:dyDescent="0.2">
      <c r="A626" s="84">
        <v>85</v>
      </c>
      <c r="B626" s="84" t="str">
        <f>CONCATENATE([81]Source!E1206, "/1")</f>
        <v>6/1</v>
      </c>
      <c r="C626" s="85" t="s">
        <v>273</v>
      </c>
      <c r="D626" s="85" t="s">
        <v>82</v>
      </c>
      <c r="E626" s="86" t="str">
        <f>[81]Source!H1206</f>
        <v>1 Т</v>
      </c>
      <c r="F626" s="87">
        <f>[81]Source!I1206</f>
        <v>1.7999999999999999E-2</v>
      </c>
      <c r="G626" s="88"/>
      <c r="H626" s="89"/>
      <c r="I626" s="87"/>
      <c r="J626" s="176"/>
      <c r="K626" s="87"/>
      <c r="L626" s="176"/>
    </row>
    <row r="627" spans="1:22" ht="14.25" x14ac:dyDescent="0.2">
      <c r="A627" s="84"/>
      <c r="B627" s="84"/>
      <c r="C627" s="85"/>
      <c r="D627" s="85" t="s">
        <v>44</v>
      </c>
      <c r="E627" s="86"/>
      <c r="F627" s="87"/>
      <c r="G627" s="88">
        <f t="shared" ref="G627:L627" si="25">G628</f>
        <v>5.27</v>
      </c>
      <c r="H627" s="195" t="str">
        <f t="shared" si="25"/>
        <v>)*(1.67-1)</v>
      </c>
      <c r="I627" s="87">
        <f t="shared" si="25"/>
        <v>1.0469999999999999</v>
      </c>
      <c r="J627" s="176">
        <f t="shared" si="25"/>
        <v>7.0000000000000007E-2</v>
      </c>
      <c r="K627" s="87">
        <f t="shared" si="25"/>
        <v>23.64</v>
      </c>
      <c r="L627" s="176">
        <f t="shared" si="25"/>
        <v>1.65</v>
      </c>
    </row>
    <row r="628" spans="1:22" ht="14.25" x14ac:dyDescent="0.2">
      <c r="A628" s="84"/>
      <c r="B628" s="84"/>
      <c r="C628" s="85"/>
      <c r="D628" s="85" t="s">
        <v>45</v>
      </c>
      <c r="E628" s="86"/>
      <c r="F628" s="87"/>
      <c r="G628" s="88">
        <f>[81]Source!AN1206</f>
        <v>5.27</v>
      </c>
      <c r="H628" s="195" t="s">
        <v>53</v>
      </c>
      <c r="I628" s="87">
        <f>[81]Source!AV1207</f>
        <v>1.0469999999999999</v>
      </c>
      <c r="J628" s="90">
        <f>ROUND(F615*G628*I628*(1.67-1), 2)</f>
        <v>7.0000000000000007E-2</v>
      </c>
      <c r="K628" s="87">
        <f>IF([81]Source!BS1207&lt;&gt; 0, [81]Source!BS1207, 1)</f>
        <v>23.64</v>
      </c>
      <c r="L628" s="90">
        <f>ROUND(ROUND(F615*G628*I628*(1.67-1), 2)*K628, 2)</f>
        <v>1.65</v>
      </c>
    </row>
    <row r="629" spans="1:22" ht="14.25" x14ac:dyDescent="0.2">
      <c r="A629" s="84"/>
      <c r="B629" s="84"/>
      <c r="C629" s="85"/>
      <c r="D629" s="85" t="s">
        <v>50</v>
      </c>
      <c r="E629" s="86" t="s">
        <v>48</v>
      </c>
      <c r="F629" s="87">
        <f>175</f>
        <v>175</v>
      </c>
      <c r="G629" s="88"/>
      <c r="H629" s="89"/>
      <c r="I629" s="87"/>
      <c r="J629" s="176">
        <f>ROUND(J628*(F629/100), 2)</f>
        <v>0.12</v>
      </c>
      <c r="K629" s="87">
        <f>157</f>
        <v>157</v>
      </c>
      <c r="L629" s="176">
        <f>ROUND(L628*(K629/100), 2)</f>
        <v>2.59</v>
      </c>
    </row>
    <row r="630" spans="1:22" ht="15" x14ac:dyDescent="0.25">
      <c r="A630" s="190"/>
      <c r="B630" s="190"/>
      <c r="C630" s="190"/>
      <c r="D630" s="191" t="s">
        <v>81</v>
      </c>
      <c r="E630" s="190"/>
      <c r="F630" s="190"/>
      <c r="G630" s="190"/>
      <c r="H630" s="190"/>
      <c r="I630" s="409">
        <f>J629+J628</f>
        <v>0.19</v>
      </c>
      <c r="J630" s="409"/>
      <c r="K630" s="409">
        <f>L629+L628</f>
        <v>4.24</v>
      </c>
      <c r="L630" s="409"/>
      <c r="O630" s="92">
        <f>I630</f>
        <v>0.19</v>
      </c>
      <c r="P630" s="92">
        <f>K630</f>
        <v>4.24</v>
      </c>
    </row>
    <row r="632" spans="1:22" ht="65.25" x14ac:dyDescent="0.2">
      <c r="A632" s="84">
        <v>86</v>
      </c>
      <c r="B632" s="84" t="str">
        <f>[81]Source!E1210</f>
        <v>11</v>
      </c>
      <c r="C632" s="85" t="s">
        <v>274</v>
      </c>
      <c r="D632" s="85" t="s">
        <v>275</v>
      </c>
      <c r="E632" s="86" t="str">
        <f>[81]Source!H1210</f>
        <v>100 м</v>
      </c>
      <c r="F632" s="87">
        <f>[81]Source!I1210</f>
        <v>3.9199999999999999E-2</v>
      </c>
      <c r="G632" s="88"/>
      <c r="H632" s="89"/>
      <c r="I632" s="87"/>
      <c r="J632" s="176"/>
      <c r="K632" s="87"/>
      <c r="L632" s="176"/>
      <c r="Q632" s="47">
        <f>[81]Source!X1210</f>
        <v>59.12</v>
      </c>
      <c r="R632" s="47">
        <f>[81]Source!X1211</f>
        <v>1312.1</v>
      </c>
      <c r="S632" s="47">
        <f>[81]Source!Y1210</f>
        <v>42.23</v>
      </c>
      <c r="T632" s="47">
        <f>[81]Source!Y1211</f>
        <v>927.03</v>
      </c>
      <c r="U632" s="47">
        <f>ROUND((175/100)*ROUND([81]Source!R1210, 2), 2)</f>
        <v>0.91</v>
      </c>
      <c r="V632" s="47">
        <f>ROUND((157/100)*ROUND([81]Source!R1211, 2), 2)</f>
        <v>19.3</v>
      </c>
    </row>
    <row r="633" spans="1:22" ht="14.25" x14ac:dyDescent="0.2">
      <c r="A633" s="84"/>
      <c r="B633" s="84"/>
      <c r="C633" s="85"/>
      <c r="D633" s="85" t="s">
        <v>43</v>
      </c>
      <c r="E633" s="86"/>
      <c r="F633" s="87"/>
      <c r="G633" s="88">
        <f>[81]Source!AO1210</f>
        <v>880.16</v>
      </c>
      <c r="H633" s="89" t="str">
        <f>[81]Source!DG1210</f>
        <v>)*1,67</v>
      </c>
      <c r="I633" s="87">
        <f>[81]Source!AV1211</f>
        <v>1.0469999999999999</v>
      </c>
      <c r="J633" s="176">
        <f>[81]Source!S1210</f>
        <v>60.33</v>
      </c>
      <c r="K633" s="87">
        <f>IF([81]Source!BA1211&lt;&gt; 0, [81]Source!BA1211, 1)</f>
        <v>23.64</v>
      </c>
      <c r="L633" s="176">
        <f>[81]Source!S1211</f>
        <v>1426.2</v>
      </c>
    </row>
    <row r="634" spans="1:22" ht="14.25" x14ac:dyDescent="0.2">
      <c r="A634" s="84"/>
      <c r="B634" s="84"/>
      <c r="C634" s="85"/>
      <c r="D634" s="85" t="s">
        <v>44</v>
      </c>
      <c r="E634" s="86"/>
      <c r="F634" s="87"/>
      <c r="G634" s="88">
        <f>[81]Source!AM1210</f>
        <v>69.849999999999994</v>
      </c>
      <c r="H634" s="89" t="str">
        <f>[81]Source!DE1210</f>
        <v/>
      </c>
      <c r="I634" s="87">
        <f>[81]Source!AV1211</f>
        <v>1.0469999999999999</v>
      </c>
      <c r="J634" s="176">
        <f>[81]Source!Q1210-J645</f>
        <v>2.87</v>
      </c>
      <c r="K634" s="87">
        <f>IF([81]Source!BB1211&lt;&gt; 0, [81]Source!BB1211, 1)</f>
        <v>5.45</v>
      </c>
      <c r="L634" s="176">
        <f>[81]Source!Q1211-L645</f>
        <v>15.64</v>
      </c>
    </row>
    <row r="635" spans="1:22" ht="14.25" x14ac:dyDescent="0.2">
      <c r="A635" s="84"/>
      <c r="B635" s="84"/>
      <c r="C635" s="85"/>
      <c r="D635" s="85" t="s">
        <v>45</v>
      </c>
      <c r="E635" s="86"/>
      <c r="F635" s="87"/>
      <c r="G635" s="88">
        <f>[81]Source!AN1210</f>
        <v>7.54</v>
      </c>
      <c r="H635" s="89" t="str">
        <f>[81]Source!DE1210</f>
        <v/>
      </c>
      <c r="I635" s="87">
        <f>[81]Source!AV1211</f>
        <v>1.0469999999999999</v>
      </c>
      <c r="J635" s="90">
        <f>[81]Source!R1210-J646</f>
        <v>0.31</v>
      </c>
      <c r="K635" s="87">
        <f>IF([81]Source!BS1211&lt;&gt; 0, [81]Source!BS1211, 1)</f>
        <v>23.64</v>
      </c>
      <c r="L635" s="90">
        <f>[81]Source!R1211-L646</f>
        <v>7.33</v>
      </c>
    </row>
    <row r="636" spans="1:22" ht="14.25" x14ac:dyDescent="0.2">
      <c r="A636" s="84"/>
      <c r="B636" s="84"/>
      <c r="C636" s="85"/>
      <c r="D636" s="85" t="s">
        <v>46</v>
      </c>
      <c r="E636" s="86"/>
      <c r="F636" s="87"/>
      <c r="G636" s="88">
        <f>[81]Source!AL1210</f>
        <v>179.95</v>
      </c>
      <c r="H636" s="89" t="str">
        <f>[81]Source!DD1210</f>
        <v/>
      </c>
      <c r="I636" s="87">
        <f>[81]Source!AW1211</f>
        <v>1.0620000000000001</v>
      </c>
      <c r="J636" s="176">
        <f>[81]Source!P1210</f>
        <v>7.49</v>
      </c>
      <c r="K636" s="87">
        <f>IF([81]Source!BC1211&lt;&gt; 0, [81]Source!BC1211, 1)</f>
        <v>7.62</v>
      </c>
      <c r="L636" s="176">
        <f>[81]Source!P1211</f>
        <v>57.07</v>
      </c>
    </row>
    <row r="637" spans="1:22" ht="57" x14ac:dyDescent="0.2">
      <c r="A637" s="84">
        <v>87</v>
      </c>
      <c r="B637" s="84" t="str">
        <f>[81]Source!E1212</f>
        <v>11,1</v>
      </c>
      <c r="C637" s="85" t="str">
        <f>[81]Source!F1212</f>
        <v>1.6-2-119</v>
      </c>
      <c r="D637" s="85" t="s">
        <v>276</v>
      </c>
      <c r="E637" s="86" t="str">
        <f>[81]Source!H1212</f>
        <v>м</v>
      </c>
      <c r="F637" s="87">
        <f>[81]Source!I1212</f>
        <v>3.92</v>
      </c>
      <c r="G637" s="88">
        <f>[81]Source!AK1212</f>
        <v>491.02</v>
      </c>
      <c r="H637" s="123" t="s">
        <v>20</v>
      </c>
      <c r="I637" s="87">
        <f>[81]Source!AW1213</f>
        <v>1.0620000000000001</v>
      </c>
      <c r="J637" s="176">
        <f>[81]Source!O1212</f>
        <v>2044.14</v>
      </c>
      <c r="K637" s="87">
        <f>IF([81]Source!BC1213&lt;&gt; 0, [81]Source!BC1213, 1)</f>
        <v>1.59</v>
      </c>
      <c r="L637" s="176">
        <f>[81]Source!O1213</f>
        <v>3250.18</v>
      </c>
      <c r="Q637" s="47">
        <f>[81]Source!X1212</f>
        <v>0</v>
      </c>
      <c r="R637" s="47">
        <f>[81]Source!X1213</f>
        <v>0</v>
      </c>
      <c r="S637" s="47">
        <f>[81]Source!Y1212</f>
        <v>0</v>
      </c>
      <c r="T637" s="47">
        <f>[81]Source!Y1213</f>
        <v>0</v>
      </c>
      <c r="U637" s="47">
        <f>ROUND((175/100)*ROUND([81]Source!R1212, 2), 2)</f>
        <v>0</v>
      </c>
      <c r="V637" s="47">
        <f>ROUND((157/100)*ROUND([81]Source!R1213, 2), 2)</f>
        <v>0</v>
      </c>
    </row>
    <row r="638" spans="1:22" ht="14.25" x14ac:dyDescent="0.2">
      <c r="A638" s="84"/>
      <c r="B638" s="84"/>
      <c r="C638" s="85"/>
      <c r="D638" s="85" t="s">
        <v>47</v>
      </c>
      <c r="E638" s="86" t="s">
        <v>48</v>
      </c>
      <c r="F638" s="87">
        <f>[81]Source!DN1211</f>
        <v>98</v>
      </c>
      <c r="G638" s="88"/>
      <c r="H638" s="89"/>
      <c r="I638" s="87"/>
      <c r="J638" s="176">
        <f>SUM(Q632:Q637)</f>
        <v>59.12</v>
      </c>
      <c r="K638" s="87">
        <f>[81]Source!BZ1211</f>
        <v>92</v>
      </c>
      <c r="L638" s="176">
        <f>SUM(R632:R637)</f>
        <v>1312.1</v>
      </c>
    </row>
    <row r="639" spans="1:22" ht="14.25" x14ac:dyDescent="0.2">
      <c r="A639" s="84"/>
      <c r="B639" s="84"/>
      <c r="C639" s="85"/>
      <c r="D639" s="85" t="s">
        <v>49</v>
      </c>
      <c r="E639" s="86" t="s">
        <v>48</v>
      </c>
      <c r="F639" s="87">
        <f>[81]Source!DO1211</f>
        <v>70</v>
      </c>
      <c r="G639" s="88"/>
      <c r="H639" s="89"/>
      <c r="I639" s="87"/>
      <c r="J639" s="176">
        <f>SUM(S632:S638)</f>
        <v>42.23</v>
      </c>
      <c r="K639" s="87">
        <f>[81]Source!CA1211</f>
        <v>65</v>
      </c>
      <c r="L639" s="176">
        <f>SUM(T632:T638)</f>
        <v>927.03</v>
      </c>
    </row>
    <row r="640" spans="1:22" ht="14.25" x14ac:dyDescent="0.2">
      <c r="A640" s="84"/>
      <c r="B640" s="84"/>
      <c r="C640" s="85"/>
      <c r="D640" s="85" t="s">
        <v>50</v>
      </c>
      <c r="E640" s="86" t="s">
        <v>48</v>
      </c>
      <c r="F640" s="87">
        <f>175</f>
        <v>175</v>
      </c>
      <c r="G640" s="88"/>
      <c r="H640" s="89"/>
      <c r="I640" s="87"/>
      <c r="J640" s="176">
        <f>SUM(U632:U639)-J647</f>
        <v>0.54</v>
      </c>
      <c r="K640" s="87">
        <f>157</f>
        <v>157</v>
      </c>
      <c r="L640" s="176">
        <f>SUM(V632:V639)-L647</f>
        <v>11.51</v>
      </c>
    </row>
    <row r="641" spans="1:16" ht="14.25" x14ac:dyDescent="0.2">
      <c r="A641" s="183"/>
      <c r="B641" s="183"/>
      <c r="C641" s="184"/>
      <c r="D641" s="184" t="s">
        <v>51</v>
      </c>
      <c r="E641" s="185" t="s">
        <v>52</v>
      </c>
      <c r="F641" s="186">
        <f>[81]Source!AQ1210</f>
        <v>74.709999999999994</v>
      </c>
      <c r="G641" s="187"/>
      <c r="H641" s="188" t="str">
        <f>[81]Source!DI1210</f>
        <v/>
      </c>
      <c r="I641" s="186">
        <f>[81]Source!AV1211</f>
        <v>1.0469999999999999</v>
      </c>
      <c r="J641" s="189">
        <f>[81]Source!U1210</f>
        <v>3.07</v>
      </c>
      <c r="K641" s="186"/>
      <c r="L641" s="189"/>
    </row>
    <row r="642" spans="1:16" ht="15" x14ac:dyDescent="0.25">
      <c r="D642" s="194" t="s">
        <v>81</v>
      </c>
      <c r="I642" s="408">
        <f>J633+J634+J636+J638+J639+J640+SUM(J637:J637)</f>
        <v>2216.7199999999998</v>
      </c>
      <c r="J642" s="408"/>
      <c r="K642" s="408">
        <f>L633+L634+L636+L638+L639+L640+SUM(L637:L637)</f>
        <v>6999.73</v>
      </c>
      <c r="L642" s="408"/>
      <c r="O642" s="92">
        <f>J633+J634+J636+J638+J639+J640+SUM(J637:J637)</f>
        <v>2216.7199999999998</v>
      </c>
      <c r="P642" s="92">
        <f>L633+L634+L636+L638+L639+L640+SUM(L637:L637)</f>
        <v>6999.73</v>
      </c>
    </row>
    <row r="644" spans="1:16" ht="79.5" x14ac:dyDescent="0.2">
      <c r="A644" s="84">
        <v>88</v>
      </c>
      <c r="B644" s="84" t="str">
        <f>CONCATENATE([81]Source!E1210, "/1")</f>
        <v>11/1</v>
      </c>
      <c r="C644" s="85" t="s">
        <v>277</v>
      </c>
      <c r="D644" s="85" t="s">
        <v>82</v>
      </c>
      <c r="E644" s="86" t="str">
        <f>[81]Source!H1210</f>
        <v>100 м</v>
      </c>
      <c r="F644" s="87">
        <f>[81]Source!I1210</f>
        <v>3.9199999999999999E-2</v>
      </c>
      <c r="G644" s="88"/>
      <c r="H644" s="89"/>
      <c r="I644" s="87"/>
      <c r="J644" s="176"/>
      <c r="K644" s="87"/>
      <c r="L644" s="176"/>
    </row>
    <row r="645" spans="1:16" ht="14.25" x14ac:dyDescent="0.2">
      <c r="A645" s="84"/>
      <c r="B645" s="84"/>
      <c r="C645" s="85"/>
      <c r="D645" s="85" t="s">
        <v>44</v>
      </c>
      <c r="E645" s="86"/>
      <c r="F645" s="87"/>
      <c r="G645" s="88">
        <f t="shared" ref="G645:L645" si="26">G646</f>
        <v>7.54</v>
      </c>
      <c r="H645" s="195" t="str">
        <f t="shared" si="26"/>
        <v>)*(1.67-1)</v>
      </c>
      <c r="I645" s="87">
        <f t="shared" si="26"/>
        <v>1.0469999999999999</v>
      </c>
      <c r="J645" s="176">
        <f t="shared" si="26"/>
        <v>0.21</v>
      </c>
      <c r="K645" s="87">
        <f t="shared" si="26"/>
        <v>23.64</v>
      </c>
      <c r="L645" s="176">
        <f t="shared" si="26"/>
        <v>4.96</v>
      </c>
    </row>
    <row r="646" spans="1:16" ht="14.25" x14ac:dyDescent="0.2">
      <c r="A646" s="84"/>
      <c r="B646" s="84"/>
      <c r="C646" s="85"/>
      <c r="D646" s="85" t="s">
        <v>45</v>
      </c>
      <c r="E646" s="86"/>
      <c r="F646" s="87"/>
      <c r="G646" s="88">
        <f>[81]Source!AN1210</f>
        <v>7.54</v>
      </c>
      <c r="H646" s="195" t="s">
        <v>53</v>
      </c>
      <c r="I646" s="87">
        <f>[81]Source!AV1211</f>
        <v>1.0469999999999999</v>
      </c>
      <c r="J646" s="90">
        <f>ROUND(F632*G646*I646*(1.67-1), 2)</f>
        <v>0.21</v>
      </c>
      <c r="K646" s="87">
        <f>IF([81]Source!BS1211&lt;&gt; 0, [81]Source!BS1211, 1)</f>
        <v>23.64</v>
      </c>
      <c r="L646" s="90">
        <f>ROUND(ROUND(F632*G646*I646*(1.67-1), 2)*K646, 2)</f>
        <v>4.96</v>
      </c>
    </row>
    <row r="647" spans="1:16" ht="14.25" x14ac:dyDescent="0.2">
      <c r="A647" s="84"/>
      <c r="B647" s="84"/>
      <c r="C647" s="85"/>
      <c r="D647" s="85" t="s">
        <v>50</v>
      </c>
      <c r="E647" s="86" t="s">
        <v>48</v>
      </c>
      <c r="F647" s="87">
        <f>175</f>
        <v>175</v>
      </c>
      <c r="G647" s="88"/>
      <c r="H647" s="89"/>
      <c r="I647" s="87"/>
      <c r="J647" s="176">
        <f>ROUND(J646*(F647/100), 2)</f>
        <v>0.37</v>
      </c>
      <c r="K647" s="87">
        <f>157</f>
        <v>157</v>
      </c>
      <c r="L647" s="176">
        <f>ROUND(L646*(K647/100), 2)</f>
        <v>7.79</v>
      </c>
    </row>
    <row r="648" spans="1:16" ht="15" x14ac:dyDescent="0.25">
      <c r="A648" s="190"/>
      <c r="B648" s="190"/>
      <c r="C648" s="190"/>
      <c r="D648" s="191" t="s">
        <v>81</v>
      </c>
      <c r="E648" s="190"/>
      <c r="F648" s="190"/>
      <c r="G648" s="190"/>
      <c r="H648" s="190"/>
      <c r="I648" s="409">
        <f>J647+J646</f>
        <v>0.57999999999999996</v>
      </c>
      <c r="J648" s="409"/>
      <c r="K648" s="409">
        <f>L647+L646</f>
        <v>12.75</v>
      </c>
      <c r="L648" s="409"/>
      <c r="O648" s="92">
        <f>I648</f>
        <v>0.57999999999999996</v>
      </c>
      <c r="P648" s="92">
        <f>K648</f>
        <v>12.75</v>
      </c>
    </row>
    <row r="651" spans="1:16" ht="15" x14ac:dyDescent="0.25">
      <c r="A651" s="403" t="str">
        <f>CONCATENATE("Итого по подразделу: ",IF([81]Source!G1221&lt;&gt;"Новый подраздел", [81]Source!G1221, ""))</f>
        <v>Итого по подразделу: Закладные изделия в полу</v>
      </c>
      <c r="B651" s="403"/>
      <c r="C651" s="403"/>
      <c r="D651" s="403"/>
      <c r="E651" s="403"/>
      <c r="F651" s="403"/>
      <c r="G651" s="403"/>
      <c r="H651" s="403"/>
      <c r="I651" s="404">
        <f>SUM(O614:O650)</f>
        <v>2607.2399999999998</v>
      </c>
      <c r="J651" s="405"/>
      <c r="K651" s="404">
        <f>SUM(P614:P650)</f>
        <v>12093.1</v>
      </c>
      <c r="L651" s="405"/>
    </row>
    <row r="652" spans="1:16" hidden="1" x14ac:dyDescent="0.2">
      <c r="A652" s="47" t="s">
        <v>54</v>
      </c>
      <c r="J652" s="47">
        <f>SUM(W614:W651)</f>
        <v>0</v>
      </c>
      <c r="K652" s="47">
        <f>SUM(X614:X651)</f>
        <v>0</v>
      </c>
    </row>
    <row r="653" spans="1:16" hidden="1" x14ac:dyDescent="0.2">
      <c r="A653" s="47" t="s">
        <v>55</v>
      </c>
      <c r="J653" s="47">
        <f>SUM(Y614:Y652)</f>
        <v>0</v>
      </c>
      <c r="K653" s="47">
        <f>SUM(Z614:Z652)</f>
        <v>0</v>
      </c>
    </row>
    <row r="654" spans="1:16" hidden="1" x14ac:dyDescent="0.2"/>
    <row r="655" spans="1:16" ht="16.5" hidden="1" x14ac:dyDescent="0.25">
      <c r="A655" s="402" t="str">
        <f>CONCATENATE("Подраздел: ",IF([81]Source!G1251&lt;&gt;"Новый подраздел", [81]Source!G1251, ""))</f>
        <v>Подраздел: Возведение кирпичных перегородок</v>
      </c>
      <c r="B655" s="402"/>
      <c r="C655" s="402"/>
      <c r="D655" s="402"/>
      <c r="E655" s="402"/>
      <c r="F655" s="402"/>
      <c r="G655" s="402"/>
      <c r="H655" s="402"/>
      <c r="I655" s="402"/>
      <c r="J655" s="402"/>
      <c r="K655" s="402"/>
      <c r="L655" s="402"/>
    </row>
    <row r="656" spans="1:16" hidden="1" x14ac:dyDescent="0.2"/>
    <row r="657" spans="1:12" ht="15" hidden="1" x14ac:dyDescent="0.25">
      <c r="C657" s="454" t="str">
        <f>[81]Source!G1261</f>
        <v>Отделка ж/б стен</v>
      </c>
      <c r="D657" s="454"/>
      <c r="E657" s="454"/>
      <c r="F657" s="454"/>
      <c r="G657" s="454"/>
      <c r="H657" s="454"/>
      <c r="I657" s="454"/>
      <c r="J657" s="454"/>
      <c r="K657" s="454"/>
    </row>
    <row r="658" spans="1:12" hidden="1" x14ac:dyDescent="0.2"/>
    <row r="659" spans="1:12" ht="15" hidden="1" x14ac:dyDescent="0.25">
      <c r="C659" s="454" t="str">
        <f>[81]Source!G1314</f>
        <v>Отделка перегородок</v>
      </c>
      <c r="D659" s="454"/>
      <c r="E659" s="454"/>
      <c r="F659" s="454"/>
      <c r="G659" s="454"/>
      <c r="H659" s="454"/>
      <c r="I659" s="454"/>
      <c r="J659" s="454"/>
      <c r="K659" s="454"/>
    </row>
    <row r="660" spans="1:12" hidden="1" x14ac:dyDescent="0.2"/>
    <row r="661" spans="1:12" ht="15" hidden="1" x14ac:dyDescent="0.25">
      <c r="C661" s="454" t="str">
        <f>[81]Source!G1365</f>
        <v>Цокольная часть стен (колонн)</v>
      </c>
      <c r="D661" s="454"/>
      <c r="E661" s="454"/>
      <c r="F661" s="454"/>
      <c r="G661" s="454"/>
      <c r="H661" s="454"/>
      <c r="I661" s="454"/>
      <c r="J661" s="454"/>
      <c r="K661" s="454"/>
    </row>
    <row r="662" spans="1:12" hidden="1" x14ac:dyDescent="0.2"/>
    <row r="663" spans="1:12" ht="15" hidden="1" x14ac:dyDescent="0.25">
      <c r="C663" s="454" t="str">
        <f>[81]Source!G1400</f>
        <v>Кабельная канализация в перегородках</v>
      </c>
      <c r="D663" s="454"/>
      <c r="E663" s="454"/>
      <c r="F663" s="454"/>
      <c r="G663" s="454"/>
      <c r="H663" s="454"/>
      <c r="I663" s="454"/>
      <c r="J663" s="454"/>
      <c r="K663" s="454"/>
    </row>
    <row r="664" spans="1:12" hidden="1" x14ac:dyDescent="0.2"/>
    <row r="665" spans="1:12" ht="15" hidden="1" x14ac:dyDescent="0.25">
      <c r="A665" s="403" t="str">
        <f>CONCATENATE("Итого по подразделу: ",IF([81]Source!G1428&lt;&gt;"Новый подраздел", [81]Source!G1428, ""))</f>
        <v>Итого по подразделу: Возведение кирпичных перегородок</v>
      </c>
      <c r="B665" s="403"/>
      <c r="C665" s="403"/>
      <c r="D665" s="403"/>
      <c r="E665" s="403"/>
      <c r="F665" s="403"/>
      <c r="G665" s="403"/>
      <c r="H665" s="403"/>
      <c r="I665" s="404">
        <f>SUM(O655:O664)</f>
        <v>0</v>
      </c>
      <c r="J665" s="405"/>
      <c r="K665" s="404">
        <f>SUM(P655:P664)</f>
        <v>0</v>
      </c>
      <c r="L665" s="405"/>
    </row>
    <row r="666" spans="1:12" hidden="1" x14ac:dyDescent="0.2">
      <c r="A666" s="47" t="s">
        <v>54</v>
      </c>
      <c r="J666" s="47">
        <f>SUM(W655:W665)</f>
        <v>0</v>
      </c>
      <c r="K666" s="47">
        <f>SUM(X655:X665)</f>
        <v>0</v>
      </c>
    </row>
    <row r="667" spans="1:12" hidden="1" x14ac:dyDescent="0.2">
      <c r="A667" s="47" t="s">
        <v>55</v>
      </c>
      <c r="J667" s="47">
        <f>SUM(Y655:Y666)</f>
        <v>0</v>
      </c>
      <c r="K667" s="47">
        <f>SUM(Z655:Z666)</f>
        <v>0</v>
      </c>
    </row>
    <row r="668" spans="1:12" hidden="1" x14ac:dyDescent="0.2"/>
    <row r="669" spans="1:12" ht="16.5" hidden="1" x14ac:dyDescent="0.25">
      <c r="A669" s="402" t="str">
        <f>CONCATENATE("Подраздел: ",IF([81]Source!G1458&lt;&gt;"Новый подраздел", [81]Source!G1458, ""))</f>
        <v>Подраздел: Потолки</v>
      </c>
      <c r="B669" s="402"/>
      <c r="C669" s="402"/>
      <c r="D669" s="402"/>
      <c r="E669" s="402"/>
      <c r="F669" s="402"/>
      <c r="G669" s="402"/>
      <c r="H669" s="402"/>
      <c r="I669" s="402"/>
      <c r="J669" s="402"/>
      <c r="K669" s="402"/>
      <c r="L669" s="402"/>
    </row>
    <row r="670" spans="1:12" hidden="1" x14ac:dyDescent="0.2"/>
    <row r="671" spans="1:12" ht="15" hidden="1" x14ac:dyDescent="0.25">
      <c r="A671" s="403" t="str">
        <f>CONCATENATE("Итого по подразделу: ",IF([81]Source!G1521&lt;&gt;"Новый подраздел", [81]Source!G1521, ""))</f>
        <v>Итого по подразделу: Потолки</v>
      </c>
      <c r="B671" s="403"/>
      <c r="C671" s="403"/>
      <c r="D671" s="403"/>
      <c r="E671" s="403"/>
      <c r="F671" s="403"/>
      <c r="G671" s="403"/>
      <c r="H671" s="403"/>
      <c r="I671" s="404">
        <f>SUM(O669:O670)</f>
        <v>0</v>
      </c>
      <c r="J671" s="405"/>
      <c r="K671" s="404">
        <f>SUM(P669:P670)</f>
        <v>0</v>
      </c>
      <c r="L671" s="405"/>
    </row>
    <row r="672" spans="1:12" hidden="1" x14ac:dyDescent="0.2">
      <c r="A672" s="47" t="s">
        <v>54</v>
      </c>
      <c r="J672" s="47">
        <f>SUM(W669:W671)</f>
        <v>0</v>
      </c>
      <c r="K672" s="47">
        <f>SUM(X669:X671)</f>
        <v>0</v>
      </c>
    </row>
    <row r="673" spans="1:12" hidden="1" x14ac:dyDescent="0.2">
      <c r="A673" s="47" t="s">
        <v>55</v>
      </c>
      <c r="J673" s="47">
        <f>SUM(Y669:Y672)</f>
        <v>0</v>
      </c>
      <c r="K673" s="47">
        <f>SUM(Z669:Z672)</f>
        <v>0</v>
      </c>
    </row>
    <row r="674" spans="1:12" hidden="1" x14ac:dyDescent="0.2"/>
    <row r="675" spans="1:12" ht="16.5" hidden="1" x14ac:dyDescent="0.25">
      <c r="A675" s="402" t="str">
        <f>CONCATENATE("Подраздел: ",IF([81]Source!G1551&lt;&gt;"Новый подраздел", [81]Source!G1551, ""))</f>
        <v>Подраздел: Отделка стен (запотолочного пространства)</v>
      </c>
      <c r="B675" s="402"/>
      <c r="C675" s="402"/>
      <c r="D675" s="402"/>
      <c r="E675" s="402"/>
      <c r="F675" s="402"/>
      <c r="G675" s="402"/>
      <c r="H675" s="402"/>
      <c r="I675" s="402"/>
      <c r="J675" s="402"/>
      <c r="K675" s="402"/>
      <c r="L675" s="402"/>
    </row>
    <row r="676" spans="1:12" hidden="1" x14ac:dyDescent="0.2"/>
    <row r="677" spans="1:12" ht="15" hidden="1" x14ac:dyDescent="0.25">
      <c r="A677" s="403" t="str">
        <f>CONCATENATE("Итого по подразделу: ",IF([81]Source!G1560&lt;&gt;"Новый подраздел", [81]Source!G1560, ""))</f>
        <v>Итого по подразделу: Отделка стен (запотолочного пространства)</v>
      </c>
      <c r="B677" s="403"/>
      <c r="C677" s="403"/>
      <c r="D677" s="403"/>
      <c r="E677" s="403"/>
      <c r="F677" s="403"/>
      <c r="G677" s="403"/>
      <c r="H677" s="403"/>
      <c r="I677" s="404">
        <f>SUM(O675:O676)</f>
        <v>0</v>
      </c>
      <c r="J677" s="405"/>
      <c r="K677" s="404">
        <f>SUM(P675:P676)</f>
        <v>0</v>
      </c>
      <c r="L677" s="405"/>
    </row>
    <row r="678" spans="1:12" hidden="1" x14ac:dyDescent="0.2">
      <c r="A678" s="47" t="s">
        <v>54</v>
      </c>
      <c r="J678" s="47">
        <f>SUM(W675:W677)</f>
        <v>0</v>
      </c>
      <c r="K678" s="47">
        <f>SUM(X675:X677)</f>
        <v>0</v>
      </c>
    </row>
    <row r="679" spans="1:12" hidden="1" x14ac:dyDescent="0.2">
      <c r="A679" s="47" t="s">
        <v>55</v>
      </c>
      <c r="J679" s="47">
        <f>SUM(Y675:Y678)</f>
        <v>0</v>
      </c>
      <c r="K679" s="47">
        <f>SUM(Z675:Z678)</f>
        <v>0</v>
      </c>
    </row>
    <row r="681" spans="1:12" ht="15" x14ac:dyDescent="0.25">
      <c r="A681" s="403" t="str">
        <f>CONCATENATE("Итого по разделу: ",IF([81]Source!G1590&lt;&gt;"Новый раздел", [81]Source!G1590, ""))</f>
        <v>Итого по разделу: Полы, стены, покрытие</v>
      </c>
      <c r="B681" s="403"/>
      <c r="C681" s="403"/>
      <c r="D681" s="403"/>
      <c r="E681" s="403"/>
      <c r="F681" s="403"/>
      <c r="G681" s="403"/>
      <c r="H681" s="403"/>
      <c r="I681" s="404">
        <f>SUM(O43:O680)</f>
        <v>21325.33</v>
      </c>
      <c r="J681" s="405"/>
      <c r="K681" s="404">
        <f>SUM(P43:P680)</f>
        <v>132117.26999999999</v>
      </c>
      <c r="L681" s="405"/>
    </row>
    <row r="682" spans="1:12" hidden="1" x14ac:dyDescent="0.2">
      <c r="A682" s="47" t="s">
        <v>54</v>
      </c>
      <c r="J682" s="47">
        <f>SUM(W43:W681)</f>
        <v>0</v>
      </c>
      <c r="K682" s="47">
        <f>SUM(X43:X681)</f>
        <v>0</v>
      </c>
    </row>
    <row r="683" spans="1:12" hidden="1" x14ac:dyDescent="0.2">
      <c r="A683" s="47" t="s">
        <v>55</v>
      </c>
      <c r="J683" s="47">
        <f>SUM(Y43:Y682)</f>
        <v>0</v>
      </c>
      <c r="K683" s="47">
        <f>SUM(Z43:Z682)</f>
        <v>0</v>
      </c>
    </row>
    <row r="684" spans="1:12" hidden="1" x14ac:dyDescent="0.2"/>
    <row r="685" spans="1:12" ht="16.5" hidden="1" x14ac:dyDescent="0.25">
      <c r="A685" s="402" t="str">
        <f>CONCATENATE("Раздел: ",IF([81]Source!G1620&lt;&gt;"Новый раздел", [81]Source!G1620, ""))</f>
        <v>Раздел: Заполнение проемов</v>
      </c>
      <c r="B685" s="402"/>
      <c r="C685" s="402"/>
      <c r="D685" s="402"/>
      <c r="E685" s="402"/>
      <c r="F685" s="402"/>
      <c r="G685" s="402"/>
      <c r="H685" s="402"/>
      <c r="I685" s="402"/>
      <c r="J685" s="402"/>
      <c r="K685" s="402"/>
      <c r="L685" s="402"/>
    </row>
    <row r="686" spans="1:12" hidden="1" x14ac:dyDescent="0.2"/>
    <row r="687" spans="1:12" ht="15" hidden="1" x14ac:dyDescent="0.25">
      <c r="A687" s="403" t="str">
        <f>CONCATENATE("Итого по разделу: ",IF([81]Source!G1657&lt;&gt;"Новый раздел", [81]Source!G1657, ""))</f>
        <v>Итого по разделу: Заполнение проемов</v>
      </c>
      <c r="B687" s="403"/>
      <c r="C687" s="403"/>
      <c r="D687" s="403"/>
      <c r="E687" s="403"/>
      <c r="F687" s="403"/>
      <c r="G687" s="403"/>
      <c r="H687" s="403"/>
      <c r="I687" s="404">
        <f>SUM(O685:O686)</f>
        <v>0</v>
      </c>
      <c r="J687" s="405"/>
      <c r="K687" s="404">
        <f>SUM(P685:P686)</f>
        <v>0</v>
      </c>
      <c r="L687" s="405"/>
    </row>
    <row r="688" spans="1:12" hidden="1" x14ac:dyDescent="0.2">
      <c r="A688" s="47" t="s">
        <v>54</v>
      </c>
      <c r="J688" s="47">
        <f>SUM(W685:W687)</f>
        <v>0</v>
      </c>
      <c r="K688" s="47">
        <f>SUM(X685:X687)</f>
        <v>0</v>
      </c>
    </row>
    <row r="689" spans="1:32" hidden="1" x14ac:dyDescent="0.2">
      <c r="A689" s="47" t="s">
        <v>55</v>
      </c>
      <c r="J689" s="47">
        <f>SUM(Y685:Y688)</f>
        <v>0</v>
      </c>
      <c r="K689" s="47">
        <f>SUM(Z685:Z688)</f>
        <v>0</v>
      </c>
    </row>
    <row r="690" spans="1:32" hidden="1" x14ac:dyDescent="0.2"/>
    <row r="691" spans="1:32" ht="16.5" hidden="1" x14ac:dyDescent="0.25">
      <c r="A691" s="402" t="str">
        <f>CONCATENATE("Раздел: ",IF([81]Source!G1687&lt;&gt;"Новый раздел", [81]Source!G1687, ""))</f>
        <v>Раздел: Перемычки</v>
      </c>
      <c r="B691" s="402"/>
      <c r="C691" s="402"/>
      <c r="D691" s="402"/>
      <c r="E691" s="402"/>
      <c r="F691" s="402"/>
      <c r="G691" s="402"/>
      <c r="H691" s="402"/>
      <c r="I691" s="402"/>
      <c r="J691" s="402"/>
      <c r="K691" s="402"/>
      <c r="L691" s="402"/>
    </row>
    <row r="692" spans="1:32" hidden="1" x14ac:dyDescent="0.2"/>
    <row r="693" spans="1:32" ht="15" hidden="1" x14ac:dyDescent="0.25">
      <c r="A693" s="403" t="str">
        <f>CONCATENATE("Итого по разделу: ",IF([81]Source!G1710&lt;&gt;"Новый раздел", [81]Source!G1710, ""))</f>
        <v>Итого по разделу: Перемычки</v>
      </c>
      <c r="B693" s="403"/>
      <c r="C693" s="403"/>
      <c r="D693" s="403"/>
      <c r="E693" s="403"/>
      <c r="F693" s="403"/>
      <c r="G693" s="403"/>
      <c r="H693" s="403"/>
      <c r="I693" s="404">
        <f>SUM(O691:O692)</f>
        <v>0</v>
      </c>
      <c r="J693" s="405"/>
      <c r="K693" s="404">
        <f>SUM(P691:P692)</f>
        <v>0</v>
      </c>
      <c r="L693" s="405"/>
    </row>
    <row r="694" spans="1:32" hidden="1" x14ac:dyDescent="0.2">
      <c r="A694" s="47" t="s">
        <v>54</v>
      </c>
      <c r="J694" s="47">
        <f>SUM(W691:W693)</f>
        <v>0</v>
      </c>
      <c r="K694" s="47">
        <f>SUM(X691:X693)</f>
        <v>0</v>
      </c>
    </row>
    <row r="695" spans="1:32" hidden="1" x14ac:dyDescent="0.2">
      <c r="A695" s="47" t="s">
        <v>55</v>
      </c>
      <c r="J695" s="47">
        <f>SUM(Y691:Y694)</f>
        <v>0</v>
      </c>
      <c r="K695" s="47">
        <f>SUM(Z691:Z694)</f>
        <v>0</v>
      </c>
    </row>
    <row r="696" spans="1:32" hidden="1" x14ac:dyDescent="0.2"/>
    <row r="697" spans="1:32" ht="15" hidden="1" x14ac:dyDescent="0.25">
      <c r="A697" s="403" t="str">
        <f>CONCATENATE("Итого по локальной смете: ",IF([81]Source!G1740&lt;&gt;"Новая локальная смета", [81]Source!G1740, ""))</f>
        <v xml:space="preserve">Итого по локальной смете: </v>
      </c>
      <c r="B697" s="403"/>
      <c r="C697" s="403"/>
      <c r="D697" s="403"/>
      <c r="E697" s="403"/>
      <c r="F697" s="403"/>
      <c r="G697" s="403"/>
      <c r="H697" s="403"/>
      <c r="I697" s="404">
        <f>SUM(O41:O696)</f>
        <v>21325.33</v>
      </c>
      <c r="J697" s="405"/>
      <c r="K697" s="404">
        <f>SUM(P41:P696)</f>
        <v>132117.26999999999</v>
      </c>
      <c r="L697" s="405"/>
    </row>
    <row r="698" spans="1:32" hidden="1" x14ac:dyDescent="0.2">
      <c r="A698" s="47" t="s">
        <v>54</v>
      </c>
      <c r="J698" s="47">
        <f>SUM(W41:W697)</f>
        <v>0</v>
      </c>
      <c r="K698" s="47">
        <f>SUM(X41:X697)</f>
        <v>0</v>
      </c>
    </row>
    <row r="699" spans="1:32" hidden="1" x14ac:dyDescent="0.2">
      <c r="A699" s="47" t="s">
        <v>55</v>
      </c>
      <c r="J699" s="47">
        <f>SUM(Y41:Y698)</f>
        <v>0</v>
      </c>
      <c r="K699" s="47">
        <f>SUM(Z41:Z698)</f>
        <v>0</v>
      </c>
    </row>
    <row r="700" spans="1:32" ht="14.25" hidden="1" x14ac:dyDescent="0.2">
      <c r="D700" s="410" t="str">
        <f>[81]Source!H1746</f>
        <v>Стоимость материалов (всего)</v>
      </c>
      <c r="E700" s="410"/>
      <c r="F700" s="410"/>
      <c r="G700" s="410"/>
      <c r="H700" s="410"/>
      <c r="I700" s="411">
        <f>[81]Source!F1746</f>
        <v>17661.689999999999</v>
      </c>
      <c r="J700" s="411"/>
      <c r="K700" s="411">
        <f>[81]Source!P1746</f>
        <v>65433.56</v>
      </c>
      <c r="L700" s="411"/>
    </row>
    <row r="701" spans="1:32" ht="14.25" hidden="1" x14ac:dyDescent="0.2">
      <c r="D701" s="410" t="str">
        <f>[81]Source!H1754</f>
        <v>ЗП машинистов</v>
      </c>
      <c r="E701" s="410"/>
      <c r="F701" s="410"/>
      <c r="G701" s="410"/>
      <c r="H701" s="410"/>
      <c r="I701" s="411">
        <f>[81]Source!F1754</f>
        <v>47.62</v>
      </c>
      <c r="J701" s="411"/>
      <c r="K701" s="411">
        <f>[81]Source!P1754</f>
        <v>1125.71</v>
      </c>
      <c r="L701" s="411"/>
    </row>
    <row r="702" spans="1:32" ht="14.25" hidden="1" x14ac:dyDescent="0.2">
      <c r="D702" s="410" t="str">
        <f>[81]Source!H1755</f>
        <v>Основная ЗП рабочих</v>
      </c>
      <c r="E702" s="410"/>
      <c r="F702" s="410"/>
      <c r="G702" s="410"/>
      <c r="H702" s="410"/>
      <c r="I702" s="411">
        <f>[81]Source!F1755</f>
        <v>1134.3</v>
      </c>
      <c r="J702" s="411"/>
      <c r="K702" s="411">
        <f>[81]Source!P1755</f>
        <v>26814.86</v>
      </c>
      <c r="L702" s="411"/>
    </row>
    <row r="704" spans="1:32" ht="15" x14ac:dyDescent="0.25">
      <c r="A704" s="403" t="str">
        <f>CONCATENATE("Итого по акту: ",IF([81]Source!G1770&lt;&gt;"Новый объект", [81]Source!G1770, ""))</f>
        <v>Итого по акту: 49109-ТПК_5-0867-Р-ССР2 изм. 1.1 12-4017-Л-Р-11.4.1.2.2-АР1-СМ1К</v>
      </c>
      <c r="B704" s="403"/>
      <c r="C704" s="403"/>
      <c r="D704" s="403"/>
      <c r="E704" s="403"/>
      <c r="F704" s="403"/>
      <c r="G704" s="403"/>
      <c r="H704" s="403"/>
      <c r="I704" s="404">
        <f>SUM(O1:O703)</f>
        <v>21325.33</v>
      </c>
      <c r="J704" s="405"/>
      <c r="K704" s="404">
        <f>SUM(P1:P703)</f>
        <v>132117.26999999999</v>
      </c>
      <c r="L704" s="405"/>
      <c r="AF704" s="180" t="str">
        <f>CONCATENATE("Итого по акту: ",IF([81]Source!G1770&lt;&gt;"Новый объект", [81]Source!G1770, ""))</f>
        <v>Итого по акту: 49109-ТПК_5-0867-Р-ССР2 изм. 1.1 12-4017-Л-Р-11.4.1.2.2-АР1-СМ1К</v>
      </c>
    </row>
    <row r="705" spans="1:12" hidden="1" x14ac:dyDescent="0.2">
      <c r="A705" s="47" t="s">
        <v>54</v>
      </c>
      <c r="J705" s="47">
        <f>SUM(W1:W704)</f>
        <v>0</v>
      </c>
      <c r="K705" s="47">
        <f>SUM(X1:X704)</f>
        <v>0</v>
      </c>
    </row>
    <row r="706" spans="1:12" hidden="1" x14ac:dyDescent="0.2">
      <c r="A706" s="47" t="s">
        <v>55</v>
      </c>
      <c r="J706" s="47">
        <f>SUM(Y1:Y705)</f>
        <v>0</v>
      </c>
      <c r="K706" s="47">
        <f>SUM(Z1:Z705)</f>
        <v>0</v>
      </c>
    </row>
    <row r="707" spans="1:12" ht="14.25" x14ac:dyDescent="0.2">
      <c r="D707" s="410" t="str">
        <f>[81]Source!H1799</f>
        <v>Стоимость материалов (всего)</v>
      </c>
      <c r="E707" s="410"/>
      <c r="F707" s="410"/>
      <c r="G707" s="410"/>
      <c r="H707" s="410"/>
      <c r="I707" s="411">
        <f>[81]Source!F1799</f>
        <v>17661.689999999999</v>
      </c>
      <c r="J707" s="411"/>
      <c r="K707" s="411">
        <f>[81]Source!P1799</f>
        <v>65433.56</v>
      </c>
      <c r="L707" s="411"/>
    </row>
    <row r="708" spans="1:12" ht="14.25" x14ac:dyDescent="0.2">
      <c r="D708" s="410" t="str">
        <f>[81]Source!H1800</f>
        <v>ЗП машинистов</v>
      </c>
      <c r="E708" s="410"/>
      <c r="F708" s="410"/>
      <c r="G708" s="410"/>
      <c r="H708" s="410"/>
      <c r="I708" s="411">
        <f>[81]Source!F1800</f>
        <v>47.62</v>
      </c>
      <c r="J708" s="411"/>
      <c r="K708" s="411">
        <f>[81]Source!P1800</f>
        <v>1125.71</v>
      </c>
      <c r="L708" s="411"/>
    </row>
    <row r="709" spans="1:12" ht="14.25" x14ac:dyDescent="0.2">
      <c r="D709" s="410" t="str">
        <f>[81]Source!H1801</f>
        <v>Основная ЗП рабочих</v>
      </c>
      <c r="E709" s="410"/>
      <c r="F709" s="410"/>
      <c r="G709" s="410"/>
      <c r="H709" s="410"/>
      <c r="I709" s="411">
        <f>[81]Source!F1801</f>
        <v>1134.3</v>
      </c>
      <c r="J709" s="411"/>
      <c r="K709" s="411">
        <f>[81]Source!P1801</f>
        <v>26814.86</v>
      </c>
      <c r="L709" s="411"/>
    </row>
    <row r="710" spans="1:12" ht="14.25" x14ac:dyDescent="0.2">
      <c r="D710" s="410" t="str">
        <f>[81]Source!H1802</f>
        <v>Оборудование</v>
      </c>
      <c r="E710" s="410"/>
      <c r="F710" s="410"/>
      <c r="G710" s="410"/>
      <c r="H710" s="410"/>
      <c r="I710" s="411">
        <f>[81]Source!F1802</f>
        <v>0</v>
      </c>
      <c r="J710" s="411"/>
      <c r="K710" s="411">
        <f>[81]Source!P1802</f>
        <v>0</v>
      </c>
      <c r="L710" s="411"/>
    </row>
    <row r="711" spans="1:12" s="105" customFormat="1" ht="14.25" x14ac:dyDescent="0.2">
      <c r="D711" s="172"/>
      <c r="E711" s="172"/>
      <c r="F711" s="172"/>
      <c r="G711" s="172"/>
      <c r="H711" s="172"/>
      <c r="I711" s="197"/>
      <c r="J711" s="197"/>
      <c r="K711" s="197"/>
      <c r="L711" s="197"/>
    </row>
    <row r="712" spans="1:12" s="105" customFormat="1" ht="15" x14ac:dyDescent="0.25">
      <c r="D712" s="178" t="s">
        <v>57</v>
      </c>
      <c r="E712" s="178"/>
      <c r="F712" s="178"/>
      <c r="G712" s="178"/>
      <c r="H712" s="178"/>
      <c r="I712" s="198"/>
      <c r="J712" s="199">
        <f>I704</f>
        <v>21325.33</v>
      </c>
      <c r="K712" s="199"/>
      <c r="L712" s="199">
        <f>K704</f>
        <v>132117.26999999999</v>
      </c>
    </row>
    <row r="713" spans="1:12" s="105" customFormat="1" ht="14.25" x14ac:dyDescent="0.2">
      <c r="D713" s="172" t="s">
        <v>3</v>
      </c>
      <c r="E713" s="172"/>
      <c r="F713" s="172"/>
      <c r="G713" s="172"/>
      <c r="H713" s="172"/>
      <c r="I713" s="198"/>
      <c r="J713" s="200">
        <f>I704-J716</f>
        <v>21325.33</v>
      </c>
      <c r="K713" s="200"/>
      <c r="L713" s="200">
        <f>K704-L716</f>
        <v>132117.26999999999</v>
      </c>
    </row>
    <row r="714" spans="1:12" s="105" customFormat="1" ht="14.25" x14ac:dyDescent="0.2">
      <c r="D714" s="172" t="s">
        <v>58</v>
      </c>
      <c r="E714" s="172"/>
      <c r="F714" s="172"/>
      <c r="G714" s="172"/>
      <c r="H714" s="172"/>
      <c r="I714" s="198"/>
      <c r="J714" s="200">
        <f>I708+I709</f>
        <v>1181.92</v>
      </c>
      <c r="K714" s="200"/>
      <c r="L714" s="200">
        <f>K708+K709</f>
        <v>27940.57</v>
      </c>
    </row>
    <row r="715" spans="1:12" s="105" customFormat="1" ht="14.25" x14ac:dyDescent="0.2">
      <c r="D715" s="172" t="s">
        <v>59</v>
      </c>
      <c r="E715" s="172"/>
      <c r="F715" s="172"/>
      <c r="G715" s="172"/>
      <c r="H715" s="172"/>
      <c r="I715" s="198"/>
      <c r="J715" s="200">
        <f>I707</f>
        <v>17661.689999999999</v>
      </c>
      <c r="K715" s="200"/>
      <c r="L715" s="200">
        <f>K707</f>
        <v>65433.56</v>
      </c>
    </row>
    <row r="716" spans="1:12" s="105" customFormat="1" ht="16.5" customHeight="1" x14ac:dyDescent="0.2">
      <c r="D716" s="172" t="s">
        <v>62</v>
      </c>
      <c r="E716" s="172"/>
      <c r="F716" s="172"/>
      <c r="G716" s="172"/>
      <c r="H716" s="172"/>
      <c r="J716" s="201">
        <f>I710</f>
        <v>0</v>
      </c>
      <c r="L716" s="201">
        <f>K710</f>
        <v>0</v>
      </c>
    </row>
    <row r="717" spans="1:12" s="105" customFormat="1" ht="16.5" customHeight="1" x14ac:dyDescent="0.25">
      <c r="A717" s="96"/>
      <c r="B717" s="96"/>
      <c r="C717" s="96"/>
      <c r="D717" s="79" t="s">
        <v>60</v>
      </c>
      <c r="E717" s="79"/>
      <c r="F717" s="79"/>
      <c r="G717" s="79"/>
      <c r="H717" s="79"/>
      <c r="I717" s="412">
        <v>0</v>
      </c>
      <c r="J717" s="412"/>
      <c r="K717" s="412">
        <v>0</v>
      </c>
      <c r="L717" s="412"/>
    </row>
    <row r="718" spans="1:12" s="105" customFormat="1" ht="16.5" customHeight="1" x14ac:dyDescent="0.25">
      <c r="A718" s="96"/>
      <c r="B718" s="96"/>
      <c r="C718" s="96"/>
      <c r="D718" s="79" t="s">
        <v>108</v>
      </c>
      <c r="E718" s="79"/>
      <c r="F718" s="79"/>
      <c r="G718" s="79"/>
      <c r="H718" s="79"/>
      <c r="I718" s="95"/>
      <c r="J718" s="95">
        <v>0</v>
      </c>
      <c r="K718" s="95"/>
      <c r="L718" s="95">
        <v>0</v>
      </c>
    </row>
    <row r="719" spans="1:12" s="105" customFormat="1" ht="16.5" customHeight="1" x14ac:dyDescent="0.2">
      <c r="A719" s="94"/>
      <c r="B719" s="94"/>
      <c r="C719" s="94"/>
      <c r="D719" s="79" t="s">
        <v>109</v>
      </c>
      <c r="E719" s="79"/>
      <c r="F719" s="79"/>
      <c r="G719" s="79"/>
      <c r="H719" s="79"/>
      <c r="I719" s="413">
        <f>(J713+J718)*5.61%</f>
        <v>1196.3499999999999</v>
      </c>
      <c r="J719" s="414"/>
      <c r="K719" s="413">
        <f>(L713+L718)*5.61%</f>
        <v>7411.78</v>
      </c>
      <c r="L719" s="414"/>
    </row>
    <row r="720" spans="1:12" s="105" customFormat="1" ht="16.5" customHeight="1" x14ac:dyDescent="0.2">
      <c r="A720" s="97"/>
      <c r="B720" s="97"/>
      <c r="C720" s="97"/>
      <c r="D720" s="79" t="s">
        <v>70</v>
      </c>
      <c r="E720" s="79"/>
      <c r="F720" s="79"/>
      <c r="G720" s="79"/>
      <c r="H720" s="79"/>
      <c r="I720" s="413">
        <f>J713+J718+I719</f>
        <v>22521.68</v>
      </c>
      <c r="J720" s="414"/>
      <c r="K720" s="413">
        <f>L713+L718+K719</f>
        <v>139529.04999999999</v>
      </c>
      <c r="L720" s="414"/>
    </row>
    <row r="721" spans="1:12" s="105" customFormat="1" ht="16.5" customHeight="1" x14ac:dyDescent="0.2">
      <c r="A721" s="94"/>
      <c r="B721" s="94"/>
      <c r="C721" s="94"/>
      <c r="D721" s="79" t="s">
        <v>71</v>
      </c>
      <c r="E721" s="79"/>
      <c r="F721" s="79"/>
      <c r="G721" s="79"/>
      <c r="H721" s="79"/>
      <c r="J721" s="151">
        <f>J714*0.15</f>
        <v>177.29</v>
      </c>
      <c r="L721" s="151">
        <f>L714*0.15</f>
        <v>4191.09</v>
      </c>
    </row>
    <row r="722" spans="1:12" s="105" customFormat="1" ht="14.25" customHeight="1" x14ac:dyDescent="0.25">
      <c r="D722" s="98" t="s">
        <v>72</v>
      </c>
      <c r="E722" s="98"/>
      <c r="F722" s="98"/>
      <c r="G722" s="98"/>
      <c r="H722" s="98"/>
      <c r="I722" s="418">
        <f>I720+J721+J716</f>
        <v>22698.97</v>
      </c>
      <c r="J722" s="418"/>
      <c r="K722" s="419">
        <f>K720+L721+L716</f>
        <v>143720.14000000001</v>
      </c>
      <c r="L722" s="418"/>
    </row>
    <row r="723" spans="1:12" s="105" customFormat="1" ht="14.25" x14ac:dyDescent="0.2">
      <c r="D723" s="79"/>
      <c r="E723" s="79"/>
      <c r="F723" s="79"/>
      <c r="G723" s="79"/>
      <c r="H723" s="79"/>
      <c r="I723" s="413"/>
      <c r="J723" s="413"/>
      <c r="K723" s="413"/>
      <c r="L723" s="413"/>
    </row>
    <row r="724" spans="1:12" s="105" customFormat="1" ht="15" x14ac:dyDescent="0.25">
      <c r="D724" s="98" t="s">
        <v>110</v>
      </c>
      <c r="E724" s="98"/>
      <c r="F724" s="98"/>
      <c r="G724" s="98"/>
      <c r="H724" s="98"/>
      <c r="I724" s="97"/>
      <c r="J724" s="97"/>
      <c r="K724" s="97"/>
      <c r="L724" s="99">
        <f>L725+L728+L727</f>
        <v>128783.08</v>
      </c>
    </row>
    <row r="725" spans="1:12" s="105" customFormat="1" ht="14.25" x14ac:dyDescent="0.2">
      <c r="D725" s="79" t="s">
        <v>3</v>
      </c>
      <c r="E725" s="79"/>
      <c r="F725" s="79"/>
      <c r="G725" s="79"/>
      <c r="H725" s="79"/>
      <c r="I725" s="94"/>
      <c r="J725" s="100"/>
      <c r="L725" s="151">
        <f>(L713-L715)*0.95+L726</f>
        <v>128783.08</v>
      </c>
    </row>
    <row r="726" spans="1:12" s="105" customFormat="1" ht="14.25" x14ac:dyDescent="0.2">
      <c r="D726" s="79" t="s">
        <v>111</v>
      </c>
      <c r="E726" s="79"/>
      <c r="F726" s="79"/>
      <c r="G726" s="79"/>
      <c r="H726" s="79"/>
      <c r="I726" s="94"/>
      <c r="J726" s="100"/>
      <c r="L726" s="151">
        <f>L715*1</f>
        <v>65433.56</v>
      </c>
    </row>
    <row r="727" spans="1:12" s="105" customFormat="1" ht="14.25" x14ac:dyDescent="0.2">
      <c r="D727" s="101" t="s">
        <v>62</v>
      </c>
      <c r="E727" s="101"/>
      <c r="F727" s="101"/>
      <c r="G727" s="80"/>
      <c r="H727" s="80"/>
      <c r="I727" s="94"/>
      <c r="J727" s="100"/>
      <c r="K727" s="177"/>
      <c r="L727" s="177">
        <f>L716</f>
        <v>0</v>
      </c>
    </row>
    <row r="728" spans="1:12" s="105" customFormat="1" ht="14.25" x14ac:dyDescent="0.2">
      <c r="D728" s="79" t="s">
        <v>112</v>
      </c>
      <c r="E728" s="79"/>
      <c r="F728" s="79"/>
      <c r="G728" s="79"/>
      <c r="H728" s="79"/>
      <c r="I728" s="413"/>
      <c r="J728" s="413"/>
      <c r="L728" s="151">
        <v>0</v>
      </c>
    </row>
    <row r="729" spans="1:12" s="105" customFormat="1" ht="14.25" customHeight="1" x14ac:dyDescent="0.2">
      <c r="D729" s="79" t="s">
        <v>108</v>
      </c>
      <c r="E729" s="79"/>
      <c r="F729" s="79"/>
      <c r="G729" s="79"/>
      <c r="H729" s="79"/>
      <c r="I729" s="177"/>
      <c r="J729" s="177"/>
      <c r="K729" s="177"/>
      <c r="L729" s="177">
        <v>0</v>
      </c>
    </row>
    <row r="730" spans="1:12" s="105" customFormat="1" ht="14.25" x14ac:dyDescent="0.2">
      <c r="D730" s="79" t="s">
        <v>113</v>
      </c>
      <c r="E730" s="79"/>
      <c r="F730" s="79"/>
      <c r="G730" s="79"/>
      <c r="H730" s="79"/>
      <c r="I730" s="94"/>
      <c r="J730" s="100"/>
      <c r="L730" s="151">
        <f>L714*0.95</f>
        <v>26543.54</v>
      </c>
    </row>
    <row r="731" spans="1:12" s="105" customFormat="1" ht="14.25" x14ac:dyDescent="0.2">
      <c r="D731" s="79" t="s">
        <v>114</v>
      </c>
      <c r="E731" s="79"/>
      <c r="F731" s="79"/>
      <c r="G731" s="79"/>
      <c r="H731" s="79"/>
      <c r="I731" s="413"/>
      <c r="J731" s="413"/>
      <c r="L731" s="151">
        <f>(L725+L729)*5.61%</f>
        <v>7224.73</v>
      </c>
    </row>
    <row r="732" spans="1:12" s="105" customFormat="1" ht="14.25" x14ac:dyDescent="0.2">
      <c r="D732" s="79" t="s">
        <v>70</v>
      </c>
      <c r="E732" s="79"/>
      <c r="F732" s="79"/>
      <c r="G732" s="79"/>
      <c r="H732" s="79"/>
      <c r="I732" s="94"/>
      <c r="J732" s="103"/>
      <c r="L732" s="151">
        <f>L725+L729+L731+L727</f>
        <v>136007.81</v>
      </c>
    </row>
    <row r="733" spans="1:12" s="105" customFormat="1" ht="14.25" x14ac:dyDescent="0.2">
      <c r="D733" s="79" t="s">
        <v>71</v>
      </c>
      <c r="E733" s="79"/>
      <c r="F733" s="79"/>
      <c r="G733" s="79"/>
      <c r="H733" s="79"/>
      <c r="I733" s="94"/>
      <c r="J733" s="94"/>
      <c r="L733" s="151">
        <f>L730*15%</f>
        <v>3981.53</v>
      </c>
    </row>
    <row r="734" spans="1:12" s="105" customFormat="1" ht="15" x14ac:dyDescent="0.25">
      <c r="D734" s="98" t="s">
        <v>72</v>
      </c>
      <c r="E734" s="98"/>
      <c r="F734" s="98"/>
      <c r="G734" s="98"/>
      <c r="H734" s="98"/>
      <c r="I734" s="97"/>
      <c r="J734" s="97"/>
      <c r="L734" s="152">
        <f>L732+L733+L728</f>
        <v>139989.34</v>
      </c>
    </row>
    <row r="735" spans="1:12" s="105" customFormat="1" x14ac:dyDescent="0.2"/>
    <row r="736" spans="1:12" s="105" customFormat="1" ht="12.75" x14ac:dyDescent="0.2">
      <c r="A736" s="104"/>
      <c r="B736" s="104"/>
      <c r="C736" s="104"/>
      <c r="D736" s="104"/>
      <c r="E736" s="104"/>
      <c r="F736" s="104"/>
      <c r="G736" s="104"/>
      <c r="H736" s="104"/>
      <c r="I736" s="104"/>
      <c r="J736" s="104"/>
      <c r="K736" s="104"/>
      <c r="L736" s="104"/>
    </row>
    <row r="737" spans="1:12" s="105" customFormat="1" ht="12.75" x14ac:dyDescent="0.2">
      <c r="A737" s="104"/>
      <c r="B737" s="104"/>
      <c r="C737" s="104"/>
      <c r="D737" s="104"/>
      <c r="E737" s="104"/>
      <c r="F737" s="104"/>
      <c r="G737" s="104"/>
      <c r="H737" s="104"/>
      <c r="I737" s="104"/>
      <c r="J737" s="104"/>
      <c r="K737" s="104"/>
      <c r="L737" s="104"/>
    </row>
    <row r="738" spans="1:12" s="105" customFormat="1" ht="12.75" x14ac:dyDescent="0.2">
      <c r="A738" s="104"/>
      <c r="B738" s="104"/>
      <c r="C738" s="104"/>
      <c r="D738" s="104"/>
      <c r="E738" s="104"/>
      <c r="F738" s="104"/>
      <c r="G738" s="104"/>
      <c r="H738" s="104"/>
      <c r="I738" s="104"/>
      <c r="J738" s="104"/>
      <c r="K738" s="104"/>
      <c r="L738" s="104"/>
    </row>
    <row r="739" spans="1:12" s="105" customFormat="1" ht="12.75" x14ac:dyDescent="0.2">
      <c r="A739" s="104"/>
      <c r="B739" s="104"/>
      <c r="C739" s="104"/>
      <c r="D739" s="104"/>
      <c r="E739" s="104"/>
      <c r="F739" s="104"/>
      <c r="G739" s="104"/>
      <c r="H739" s="104"/>
      <c r="I739" s="104"/>
      <c r="J739" s="104"/>
      <c r="K739" s="104"/>
      <c r="L739" s="104"/>
    </row>
    <row r="740" spans="1:12" s="105" customFormat="1" ht="15.75" x14ac:dyDescent="0.25">
      <c r="A740" s="104"/>
      <c r="B740" s="142" t="s">
        <v>131</v>
      </c>
      <c r="C740" s="143"/>
      <c r="D740" s="143"/>
      <c r="E740" s="104"/>
      <c r="F740" s="104"/>
      <c r="G740" s="104"/>
      <c r="H740" s="104"/>
      <c r="I740" s="104"/>
      <c r="J740" s="104"/>
      <c r="K740" s="104"/>
      <c r="L740" s="104"/>
    </row>
    <row r="741" spans="1:12" s="105" customFormat="1" ht="15" x14ac:dyDescent="0.2">
      <c r="A741" s="104"/>
      <c r="B741" s="143"/>
      <c r="C741" s="143"/>
      <c r="D741" s="143"/>
      <c r="E741" s="104"/>
      <c r="F741" s="104"/>
      <c r="G741" s="104"/>
      <c r="H741" s="104"/>
      <c r="I741" s="104"/>
      <c r="J741" s="104"/>
      <c r="K741" s="104"/>
      <c r="L741" s="104"/>
    </row>
    <row r="742" spans="1:12" s="105" customFormat="1" ht="15.75" x14ac:dyDescent="0.25">
      <c r="B742" s="142" t="s">
        <v>115</v>
      </c>
      <c r="C742" s="142"/>
      <c r="D742" s="142"/>
      <c r="E742" s="106"/>
      <c r="F742" s="106"/>
      <c r="G742" s="106"/>
      <c r="H742" s="106"/>
      <c r="I742" s="106"/>
      <c r="J742" s="106"/>
      <c r="K742" s="106"/>
      <c r="L742" s="106"/>
    </row>
    <row r="743" spans="1:12" s="105" customFormat="1" ht="15.75" x14ac:dyDescent="0.25">
      <c r="B743" s="144" t="s">
        <v>116</v>
      </c>
      <c r="C743" s="145"/>
      <c r="D743" s="145"/>
      <c r="E743" s="108"/>
      <c r="F743" s="107"/>
      <c r="G743" s="415"/>
      <c r="H743" s="415"/>
      <c r="I743" s="109"/>
      <c r="J743" s="110" t="s">
        <v>117</v>
      </c>
      <c r="K743" s="111"/>
      <c r="L743" s="112"/>
    </row>
    <row r="744" spans="1:12" s="105" customFormat="1" ht="15.75" x14ac:dyDescent="0.25">
      <c r="B744" s="192" t="s">
        <v>132</v>
      </c>
      <c r="C744" s="147"/>
      <c r="D744" s="147"/>
      <c r="E744" s="113"/>
      <c r="F744" s="113"/>
      <c r="G744" s="113"/>
      <c r="H744" s="113"/>
      <c r="I744" s="112"/>
      <c r="J744" s="112"/>
      <c r="K744" s="112"/>
      <c r="L744" s="112"/>
    </row>
    <row r="745" spans="1:12" s="105" customFormat="1" ht="15.75" x14ac:dyDescent="0.25">
      <c r="B745" s="114"/>
      <c r="C745" s="114"/>
      <c r="D745" s="148"/>
      <c r="E745" s="115"/>
      <c r="F745" s="115"/>
      <c r="G745" s="116"/>
      <c r="H745" s="117"/>
      <c r="I745" s="115"/>
      <c r="J745" s="118"/>
      <c r="K745" s="119"/>
    </row>
    <row r="746" spans="1:12" s="105" customFormat="1" ht="15.75" x14ac:dyDescent="0.25">
      <c r="B746" s="114"/>
      <c r="C746" s="114"/>
      <c r="D746" s="148"/>
      <c r="E746" s="115"/>
      <c r="F746" s="115"/>
      <c r="G746" s="116"/>
      <c r="H746" s="117"/>
      <c r="I746" s="115"/>
      <c r="J746" s="118"/>
      <c r="K746" s="119"/>
    </row>
    <row r="747" spans="1:12" s="105" customFormat="1" ht="15.75" x14ac:dyDescent="0.25">
      <c r="B747" s="114"/>
      <c r="C747" s="114"/>
      <c r="D747" s="148"/>
      <c r="E747" s="115"/>
      <c r="F747" s="115"/>
      <c r="G747" s="116"/>
      <c r="H747" s="117"/>
      <c r="I747" s="115"/>
      <c r="J747" s="118"/>
      <c r="K747" s="119"/>
    </row>
    <row r="748" spans="1:12" s="105" customFormat="1" ht="15.75" x14ac:dyDescent="0.25">
      <c r="B748" s="114"/>
      <c r="C748" s="114"/>
      <c r="D748" s="115"/>
      <c r="E748" s="115"/>
      <c r="F748" s="115"/>
      <c r="G748" s="115"/>
      <c r="H748" s="117"/>
      <c r="I748" s="115"/>
      <c r="J748" s="118"/>
      <c r="K748" s="119"/>
    </row>
    <row r="749" spans="1:12" s="105" customFormat="1" ht="15.75" x14ac:dyDescent="0.25">
      <c r="B749" s="142" t="s">
        <v>118</v>
      </c>
      <c r="C749" s="193"/>
      <c r="D749" s="142"/>
      <c r="E749" s="113"/>
      <c r="F749" s="106"/>
      <c r="G749" s="113"/>
      <c r="H749" s="106"/>
      <c r="I749" s="112"/>
      <c r="J749" s="112"/>
      <c r="K749" s="112"/>
    </row>
    <row r="750" spans="1:12" s="105" customFormat="1" ht="15.75" x14ac:dyDescent="0.25">
      <c r="B750" s="142"/>
      <c r="C750" s="193"/>
      <c r="D750" s="142"/>
      <c r="E750" s="113"/>
      <c r="F750" s="106"/>
      <c r="G750" s="113"/>
      <c r="H750" s="106"/>
      <c r="I750" s="112"/>
      <c r="J750" s="112"/>
      <c r="K750" s="112"/>
    </row>
    <row r="751" spans="1:12" s="105" customFormat="1" ht="15.75" x14ac:dyDescent="0.25">
      <c r="B751" s="416" t="s">
        <v>119</v>
      </c>
      <c r="C751" s="416"/>
      <c r="D751" s="416"/>
      <c r="E751" s="113"/>
      <c r="F751" s="106"/>
      <c r="G751" s="113"/>
      <c r="H751" s="106"/>
      <c r="I751" s="112"/>
      <c r="J751" s="112"/>
      <c r="K751" s="112"/>
    </row>
    <row r="752" spans="1:12" s="105" customFormat="1" ht="15.75" x14ac:dyDescent="0.25">
      <c r="B752" s="417" t="s">
        <v>120</v>
      </c>
      <c r="C752" s="417"/>
      <c r="D752" s="417"/>
      <c r="E752" s="120"/>
      <c r="F752" s="107"/>
      <c r="G752" s="108"/>
      <c r="H752" s="121"/>
      <c r="I752" s="111"/>
      <c r="J752" s="110" t="s">
        <v>84</v>
      </c>
      <c r="K752" s="111"/>
    </row>
    <row r="753" spans="2:11" s="105" customFormat="1" ht="15.75" x14ac:dyDescent="0.25">
      <c r="B753" s="192" t="s">
        <v>73</v>
      </c>
      <c r="C753" s="150"/>
      <c r="D753" s="150"/>
      <c r="E753" s="122"/>
      <c r="F753" s="113"/>
      <c r="G753" s="106"/>
      <c r="H753" s="106"/>
      <c r="I753" s="112"/>
      <c r="J753" s="112"/>
      <c r="K753" s="112"/>
    </row>
  </sheetData>
  <mergeCells count="305">
    <mergeCell ref="G743:H743"/>
    <mergeCell ref="B751:D751"/>
    <mergeCell ref="B752:D752"/>
    <mergeCell ref="I722:J722"/>
    <mergeCell ref="K722:L722"/>
    <mergeCell ref="I723:J723"/>
    <mergeCell ref="K723:L723"/>
    <mergeCell ref="I728:J728"/>
    <mergeCell ref="I731:J731"/>
    <mergeCell ref="I717:J717"/>
    <mergeCell ref="K717:L717"/>
    <mergeCell ref="I719:J719"/>
    <mergeCell ref="K719:L719"/>
    <mergeCell ref="I720:J720"/>
    <mergeCell ref="K720:L720"/>
    <mergeCell ref="D709:H709"/>
    <mergeCell ref="I709:J709"/>
    <mergeCell ref="K709:L709"/>
    <mergeCell ref="D710:H710"/>
    <mergeCell ref="I710:J710"/>
    <mergeCell ref="K710:L710"/>
    <mergeCell ref="D707:H707"/>
    <mergeCell ref="I707:J707"/>
    <mergeCell ref="K707:L707"/>
    <mergeCell ref="D708:H708"/>
    <mergeCell ref="I708:J708"/>
    <mergeCell ref="K708:L708"/>
    <mergeCell ref="D702:H702"/>
    <mergeCell ref="I702:J702"/>
    <mergeCell ref="K702:L702"/>
    <mergeCell ref="A704:H704"/>
    <mergeCell ref="I704:J704"/>
    <mergeCell ref="K704:L704"/>
    <mergeCell ref="D700:H700"/>
    <mergeCell ref="I700:J700"/>
    <mergeCell ref="K700:L700"/>
    <mergeCell ref="D701:H701"/>
    <mergeCell ref="I701:J701"/>
    <mergeCell ref="K701:L701"/>
    <mergeCell ref="A691:L691"/>
    <mergeCell ref="A693:H693"/>
    <mergeCell ref="I693:J693"/>
    <mergeCell ref="K693:L693"/>
    <mergeCell ref="A697:H697"/>
    <mergeCell ref="I697:J697"/>
    <mergeCell ref="K697:L697"/>
    <mergeCell ref="A681:H681"/>
    <mergeCell ref="I681:J681"/>
    <mergeCell ref="K681:L681"/>
    <mergeCell ref="A685:L685"/>
    <mergeCell ref="A687:H687"/>
    <mergeCell ref="I687:J687"/>
    <mergeCell ref="K687:L687"/>
    <mergeCell ref="A669:L669"/>
    <mergeCell ref="A671:H671"/>
    <mergeCell ref="I671:J671"/>
    <mergeCell ref="K671:L671"/>
    <mergeCell ref="A675:L675"/>
    <mergeCell ref="A677:H677"/>
    <mergeCell ref="I677:J677"/>
    <mergeCell ref="K677:L677"/>
    <mergeCell ref="C657:K657"/>
    <mergeCell ref="C659:K659"/>
    <mergeCell ref="C661:K661"/>
    <mergeCell ref="C663:K663"/>
    <mergeCell ref="A665:H665"/>
    <mergeCell ref="I665:J665"/>
    <mergeCell ref="K665:L665"/>
    <mergeCell ref="I648:J648"/>
    <mergeCell ref="K648:L648"/>
    <mergeCell ref="A651:H651"/>
    <mergeCell ref="I651:J651"/>
    <mergeCell ref="K651:L651"/>
    <mergeCell ref="A655:L655"/>
    <mergeCell ref="I624:J624"/>
    <mergeCell ref="K624:L624"/>
    <mergeCell ref="I630:J630"/>
    <mergeCell ref="K630:L630"/>
    <mergeCell ref="I642:J642"/>
    <mergeCell ref="K642:L642"/>
    <mergeCell ref="A606:L606"/>
    <mergeCell ref="C608:K608"/>
    <mergeCell ref="A610:H610"/>
    <mergeCell ref="I610:J610"/>
    <mergeCell ref="K610:L610"/>
    <mergeCell ref="A614:L614"/>
    <mergeCell ref="A594:L594"/>
    <mergeCell ref="A596:H596"/>
    <mergeCell ref="I596:J596"/>
    <mergeCell ref="K596:L596"/>
    <mergeCell ref="A600:L600"/>
    <mergeCell ref="A602:H602"/>
    <mergeCell ref="I602:J602"/>
    <mergeCell ref="K602:L602"/>
    <mergeCell ref="A582:L582"/>
    <mergeCell ref="A584:H584"/>
    <mergeCell ref="I584:J584"/>
    <mergeCell ref="K584:L584"/>
    <mergeCell ref="A588:L588"/>
    <mergeCell ref="A590:H590"/>
    <mergeCell ref="I590:J590"/>
    <mergeCell ref="K590:L590"/>
    <mergeCell ref="A570:L570"/>
    <mergeCell ref="A572:H572"/>
    <mergeCell ref="I572:J572"/>
    <mergeCell ref="K572:L572"/>
    <mergeCell ref="A576:L576"/>
    <mergeCell ref="A578:H578"/>
    <mergeCell ref="I578:J578"/>
    <mergeCell ref="K578:L578"/>
    <mergeCell ref="A558:L558"/>
    <mergeCell ref="A560:H560"/>
    <mergeCell ref="I560:J560"/>
    <mergeCell ref="K560:L560"/>
    <mergeCell ref="A564:L564"/>
    <mergeCell ref="A566:H566"/>
    <mergeCell ref="I566:J566"/>
    <mergeCell ref="K566:L566"/>
    <mergeCell ref="I545:J545"/>
    <mergeCell ref="K545:L545"/>
    <mergeCell ref="I551:J551"/>
    <mergeCell ref="K551:L551"/>
    <mergeCell ref="A554:H554"/>
    <mergeCell ref="I554:J554"/>
    <mergeCell ref="K554:L554"/>
    <mergeCell ref="I514:J514"/>
    <mergeCell ref="K514:L514"/>
    <mergeCell ref="I527:J527"/>
    <mergeCell ref="K527:L527"/>
    <mergeCell ref="I533:J533"/>
    <mergeCell ref="K533:L533"/>
    <mergeCell ref="I491:J491"/>
    <mergeCell ref="K491:L491"/>
    <mergeCell ref="I497:J497"/>
    <mergeCell ref="K497:L497"/>
    <mergeCell ref="I508:J508"/>
    <mergeCell ref="K508:L508"/>
    <mergeCell ref="I461:J461"/>
    <mergeCell ref="K461:L461"/>
    <mergeCell ref="I473:J473"/>
    <mergeCell ref="K473:L473"/>
    <mergeCell ref="I479:J479"/>
    <mergeCell ref="K479:L479"/>
    <mergeCell ref="A438:L438"/>
    <mergeCell ref="A440:H440"/>
    <mergeCell ref="I440:J440"/>
    <mergeCell ref="K440:L440"/>
    <mergeCell ref="A444:L444"/>
    <mergeCell ref="I455:J455"/>
    <mergeCell ref="K455:L455"/>
    <mergeCell ref="A428:H428"/>
    <mergeCell ref="I428:J428"/>
    <mergeCell ref="K428:L428"/>
    <mergeCell ref="A432:L432"/>
    <mergeCell ref="A434:H434"/>
    <mergeCell ref="I434:J434"/>
    <mergeCell ref="K434:L434"/>
    <mergeCell ref="I405:J405"/>
    <mergeCell ref="K405:L405"/>
    <mergeCell ref="I419:J419"/>
    <mergeCell ref="K419:L419"/>
    <mergeCell ref="I425:J425"/>
    <mergeCell ref="K425:L425"/>
    <mergeCell ref="I382:J382"/>
    <mergeCell ref="K382:L382"/>
    <mergeCell ref="I388:J388"/>
    <mergeCell ref="K388:L388"/>
    <mergeCell ref="I399:J399"/>
    <mergeCell ref="K399:L399"/>
    <mergeCell ref="I352:J352"/>
    <mergeCell ref="K352:L352"/>
    <mergeCell ref="I364:J364"/>
    <mergeCell ref="K364:L364"/>
    <mergeCell ref="I370:J370"/>
    <mergeCell ref="K370:L370"/>
    <mergeCell ref="A329:L329"/>
    <mergeCell ref="A331:H331"/>
    <mergeCell ref="I331:J331"/>
    <mergeCell ref="K331:L331"/>
    <mergeCell ref="A335:L335"/>
    <mergeCell ref="I346:J346"/>
    <mergeCell ref="K346:L346"/>
    <mergeCell ref="A317:L317"/>
    <mergeCell ref="A319:H319"/>
    <mergeCell ref="I319:J319"/>
    <mergeCell ref="K319:L319"/>
    <mergeCell ref="A323:L323"/>
    <mergeCell ref="A325:H325"/>
    <mergeCell ref="I325:J325"/>
    <mergeCell ref="K325:L325"/>
    <mergeCell ref="I304:J304"/>
    <mergeCell ref="K304:L304"/>
    <mergeCell ref="I310:J310"/>
    <mergeCell ref="K310:L310"/>
    <mergeCell ref="A313:H313"/>
    <mergeCell ref="I313:J313"/>
    <mergeCell ref="K313:L313"/>
    <mergeCell ref="I273:J273"/>
    <mergeCell ref="K273:L273"/>
    <mergeCell ref="I284:J284"/>
    <mergeCell ref="K284:L284"/>
    <mergeCell ref="I290:J290"/>
    <mergeCell ref="K290:L290"/>
    <mergeCell ref="I249:J249"/>
    <mergeCell ref="K249:L249"/>
    <mergeCell ref="I255:J255"/>
    <mergeCell ref="K255:L255"/>
    <mergeCell ref="I267:J267"/>
    <mergeCell ref="K267:L267"/>
    <mergeCell ref="I219:J219"/>
    <mergeCell ref="K219:L219"/>
    <mergeCell ref="I231:J231"/>
    <mergeCell ref="K231:L231"/>
    <mergeCell ref="I237:J237"/>
    <mergeCell ref="K237:L237"/>
    <mergeCell ref="A184:L184"/>
    <mergeCell ref="I195:J195"/>
    <mergeCell ref="K195:L195"/>
    <mergeCell ref="I201:J201"/>
    <mergeCell ref="K201:L201"/>
    <mergeCell ref="I213:J213"/>
    <mergeCell ref="K213:L213"/>
    <mergeCell ref="I171:J171"/>
    <mergeCell ref="K171:L171"/>
    <mergeCell ref="I177:J177"/>
    <mergeCell ref="K177:L177"/>
    <mergeCell ref="A180:H180"/>
    <mergeCell ref="I180:J180"/>
    <mergeCell ref="K180:L180"/>
    <mergeCell ref="I140:J140"/>
    <mergeCell ref="K140:L140"/>
    <mergeCell ref="I151:J151"/>
    <mergeCell ref="K151:L151"/>
    <mergeCell ref="I157:J157"/>
    <mergeCell ref="K157:L157"/>
    <mergeCell ref="I116:J116"/>
    <mergeCell ref="K116:L116"/>
    <mergeCell ref="I122:J122"/>
    <mergeCell ref="K122:L122"/>
    <mergeCell ref="I134:J134"/>
    <mergeCell ref="K134:L134"/>
    <mergeCell ref="I86:J86"/>
    <mergeCell ref="K86:L86"/>
    <mergeCell ref="I98:J98"/>
    <mergeCell ref="K98:L98"/>
    <mergeCell ref="I104:J104"/>
    <mergeCell ref="K104:L104"/>
    <mergeCell ref="A51:L51"/>
    <mergeCell ref="I62:J62"/>
    <mergeCell ref="K62:L62"/>
    <mergeCell ref="I68:J68"/>
    <mergeCell ref="K68:L68"/>
    <mergeCell ref="I80:J80"/>
    <mergeCell ref="K80:L80"/>
    <mergeCell ref="A41:L41"/>
    <mergeCell ref="A43:L43"/>
    <mergeCell ref="A45:L45"/>
    <mergeCell ref="A47:H47"/>
    <mergeCell ref="I47:J47"/>
    <mergeCell ref="K47:L47"/>
    <mergeCell ref="H31:H38"/>
    <mergeCell ref="I31:I38"/>
    <mergeCell ref="J31:J38"/>
    <mergeCell ref="K31:K38"/>
    <mergeCell ref="L31:L38"/>
    <mergeCell ref="A33:A38"/>
    <mergeCell ref="B33:B38"/>
    <mergeCell ref="A25:L25"/>
    <mergeCell ref="A26:L26"/>
    <mergeCell ref="H28:I28"/>
    <mergeCell ref="A30:L30"/>
    <mergeCell ref="A31:B32"/>
    <mergeCell ref="C31:C38"/>
    <mergeCell ref="D31:D38"/>
    <mergeCell ref="E31:E38"/>
    <mergeCell ref="F31:F38"/>
    <mergeCell ref="G31:G38"/>
    <mergeCell ref="G15:H15"/>
    <mergeCell ref="J15:L15"/>
    <mergeCell ref="J16:L16"/>
    <mergeCell ref="J17:L17"/>
    <mergeCell ref="J18:L18"/>
    <mergeCell ref="G20:G21"/>
    <mergeCell ref="H20:H21"/>
    <mergeCell ref="I20:J20"/>
    <mergeCell ref="C11:H11"/>
    <mergeCell ref="J11:L12"/>
    <mergeCell ref="C12:H12"/>
    <mergeCell ref="C13:H13"/>
    <mergeCell ref="G14:I14"/>
    <mergeCell ref="J14:L14"/>
    <mergeCell ref="C7:H7"/>
    <mergeCell ref="J7:L8"/>
    <mergeCell ref="A8:B8"/>
    <mergeCell ref="C8:H8"/>
    <mergeCell ref="C9:H9"/>
    <mergeCell ref="J9:L10"/>
    <mergeCell ref="C10:H10"/>
    <mergeCell ref="I1:L1"/>
    <mergeCell ref="I2:L2"/>
    <mergeCell ref="J3:L3"/>
    <mergeCell ref="J4:L4"/>
    <mergeCell ref="J5:L6"/>
    <mergeCell ref="A6:B6"/>
    <mergeCell ref="C6:H6"/>
  </mergeCells>
  <pageMargins left="0.39370078740157483" right="0.19685039370078741" top="0.19685039370078741" bottom="0.39370078740157483" header="0.31496062992125984" footer="0.31496062992125984"/>
  <pageSetup paperSize="9" scale="61" fitToHeight="0" orientation="portrait" blackAndWhite="1" r:id="rId1"/>
  <headerFooter>
    <oddFooter>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fitToPage="1"/>
  </sheetPr>
  <dimension ref="A1:IM79"/>
  <sheetViews>
    <sheetView view="pageBreakPreview" topLeftCell="A22" zoomScale="60" zoomScaleNormal="70" workbookViewId="0">
      <selection activeCell="H32" sqref="H32"/>
    </sheetView>
  </sheetViews>
  <sheetFormatPr defaultColWidth="10.6640625" defaultRowHeight="15.75" outlineLevelCol="1" x14ac:dyDescent="0.25"/>
  <cols>
    <col min="1" max="1" width="6.5" style="338" customWidth="1"/>
    <col min="2" max="2" width="42" style="338" customWidth="1"/>
    <col min="3" max="3" width="23.5" style="338" customWidth="1"/>
    <col min="4" max="4" width="25.1640625" style="338" customWidth="1"/>
    <col min="5" max="5" width="22.1640625" style="338" customWidth="1"/>
    <col min="6" max="6" width="27.83203125" style="338" customWidth="1"/>
    <col min="7" max="7" width="19.33203125" style="338" customWidth="1"/>
    <col min="8" max="8" width="25.1640625" style="338" customWidth="1"/>
    <col min="9" max="12" width="27.1640625" style="541" hidden="1" customWidth="1" outlineLevel="1"/>
    <col min="13" max="13" width="27.1640625" style="338" customWidth="1" collapsed="1"/>
    <col min="14" max="14" width="33" style="338" customWidth="1"/>
    <col min="15" max="16" width="27.1640625" style="338" customWidth="1"/>
    <col min="17" max="17" width="18" style="338" bestFit="1" customWidth="1"/>
    <col min="18" max="18" width="26" style="338" customWidth="1"/>
    <col min="19" max="19" width="16.83203125" style="338" customWidth="1"/>
    <col min="20" max="20" width="21.83203125" style="338" customWidth="1"/>
    <col min="21" max="21" width="14.83203125" style="338" bestFit="1" customWidth="1"/>
    <col min="22" max="22" width="18.5" style="338" bestFit="1" customWidth="1"/>
    <col min="23" max="16384" width="10.6640625" style="338"/>
  </cols>
  <sheetData>
    <row r="1" spans="1:247" ht="15.75" hidden="1" customHeight="1" x14ac:dyDescent="0.25">
      <c r="A1" s="540"/>
      <c r="B1" s="540"/>
      <c r="C1" s="540"/>
      <c r="D1" s="540"/>
      <c r="E1" s="540"/>
      <c r="F1" s="540"/>
      <c r="G1" s="540"/>
      <c r="H1" s="540"/>
    </row>
    <row r="2" spans="1:247" ht="15.75" hidden="1" customHeight="1" x14ac:dyDescent="0.25">
      <c r="A2" s="540"/>
      <c r="B2" s="540"/>
      <c r="C2" s="540"/>
      <c r="D2" s="540"/>
      <c r="E2" s="540"/>
      <c r="F2" s="540"/>
      <c r="G2" s="540"/>
      <c r="H2" s="540"/>
    </row>
    <row r="3" spans="1:247" hidden="1" x14ac:dyDescent="0.25">
      <c r="A3" s="540"/>
      <c r="B3" s="540"/>
      <c r="C3" s="540"/>
      <c r="D3" s="540"/>
      <c r="E3" s="540"/>
      <c r="F3" s="540"/>
      <c r="G3" s="540"/>
      <c r="H3" s="540"/>
    </row>
    <row r="4" spans="1:247" x14ac:dyDescent="0.25">
      <c r="A4" s="540"/>
      <c r="B4" s="540"/>
      <c r="C4" s="540"/>
      <c r="D4" s="540"/>
      <c r="E4" s="540"/>
      <c r="F4" s="540"/>
      <c r="G4" s="540"/>
      <c r="H4" s="540"/>
    </row>
    <row r="5" spans="1:247" x14ac:dyDescent="0.25">
      <c r="A5" s="540"/>
      <c r="B5" s="540"/>
      <c r="C5" s="540"/>
      <c r="D5" s="540"/>
      <c r="E5" s="540"/>
      <c r="F5" s="540"/>
      <c r="G5" s="542" t="s">
        <v>302</v>
      </c>
      <c r="H5" s="543"/>
    </row>
    <row r="6" spans="1:247" x14ac:dyDescent="0.25">
      <c r="A6" s="540"/>
      <c r="B6" s="540"/>
      <c r="C6" s="540"/>
      <c r="D6" s="540"/>
      <c r="E6" s="540"/>
      <c r="F6" s="540"/>
      <c r="G6" s="542" t="s">
        <v>303</v>
      </c>
      <c r="H6" s="543"/>
    </row>
    <row r="7" spans="1:247" x14ac:dyDescent="0.25">
      <c r="A7" s="540"/>
      <c r="B7" s="540"/>
      <c r="C7" s="540"/>
      <c r="D7" s="540"/>
      <c r="E7" s="540"/>
      <c r="F7" s="540"/>
      <c r="G7" s="542" t="s">
        <v>304</v>
      </c>
      <c r="H7" s="543"/>
    </row>
    <row r="8" spans="1:247" x14ac:dyDescent="0.25">
      <c r="A8" s="540"/>
      <c r="B8" s="540"/>
      <c r="C8" s="540"/>
      <c r="D8" s="540"/>
      <c r="E8" s="540"/>
      <c r="F8" s="540"/>
      <c r="G8" s="540"/>
      <c r="H8" s="540"/>
    </row>
    <row r="9" spans="1:247" s="549" customFormat="1" x14ac:dyDescent="0.25">
      <c r="A9" s="338"/>
      <c r="B9" s="338"/>
      <c r="C9" s="338"/>
      <c r="D9" s="338"/>
      <c r="E9" s="338"/>
      <c r="F9" s="338"/>
      <c r="G9" s="544" t="s">
        <v>17</v>
      </c>
      <c r="H9" s="545"/>
      <c r="I9" s="546"/>
      <c r="J9" s="546"/>
      <c r="K9" s="546"/>
      <c r="L9" s="546"/>
      <c r="M9" s="547"/>
      <c r="N9" s="547"/>
      <c r="O9" s="547"/>
      <c r="P9" s="547"/>
      <c r="Q9" s="547"/>
      <c r="R9" s="547"/>
      <c r="S9" s="547"/>
      <c r="T9" s="547"/>
      <c r="U9" s="547"/>
      <c r="V9" s="548"/>
      <c r="W9" s="548"/>
      <c r="X9" s="548"/>
      <c r="Y9" s="548"/>
      <c r="Z9" s="548"/>
      <c r="AA9" s="548"/>
      <c r="AB9" s="548"/>
      <c r="AC9" s="548"/>
      <c r="AD9" s="548"/>
      <c r="AE9" s="548"/>
      <c r="AF9" s="548"/>
      <c r="AG9" s="548"/>
      <c r="AH9" s="548"/>
      <c r="AI9" s="548"/>
      <c r="AJ9" s="548"/>
      <c r="AK9" s="548"/>
      <c r="AL9" s="548"/>
      <c r="AM9" s="548"/>
      <c r="AN9" s="548"/>
      <c r="AO9" s="548"/>
      <c r="AP9" s="548"/>
      <c r="AQ9" s="548"/>
      <c r="AR9" s="548"/>
      <c r="AS9" s="548"/>
      <c r="AT9" s="548"/>
      <c r="AU9" s="548"/>
      <c r="AV9" s="548"/>
      <c r="AW9" s="548"/>
      <c r="AX9" s="548"/>
      <c r="AY9" s="548"/>
      <c r="AZ9" s="548"/>
      <c r="BA9" s="548"/>
      <c r="BB9" s="548"/>
      <c r="BC9" s="548"/>
      <c r="BD9" s="548"/>
      <c r="BE9" s="548"/>
      <c r="BF9" s="548"/>
      <c r="BG9" s="548"/>
      <c r="BH9" s="548"/>
      <c r="BI9" s="548"/>
      <c r="BJ9" s="548"/>
      <c r="BK9" s="548"/>
      <c r="BL9" s="548"/>
      <c r="BM9" s="548"/>
      <c r="BN9" s="548"/>
      <c r="BO9" s="548"/>
      <c r="BP9" s="548"/>
      <c r="BQ9" s="548"/>
      <c r="BR9" s="548"/>
      <c r="BS9" s="548"/>
      <c r="BT9" s="548"/>
      <c r="BU9" s="548"/>
      <c r="BV9" s="548"/>
      <c r="BW9" s="548"/>
      <c r="BX9" s="548"/>
      <c r="BY9" s="548"/>
      <c r="BZ9" s="548"/>
      <c r="CA9" s="548"/>
      <c r="CB9" s="548"/>
      <c r="CC9" s="548"/>
      <c r="CD9" s="548"/>
      <c r="CE9" s="548"/>
      <c r="CF9" s="548"/>
      <c r="CG9" s="548"/>
      <c r="CH9" s="548"/>
      <c r="CI9" s="548"/>
      <c r="CJ9" s="548"/>
      <c r="CK9" s="548"/>
      <c r="CL9" s="548"/>
      <c r="CM9" s="548"/>
      <c r="CN9" s="548"/>
      <c r="CO9" s="548"/>
      <c r="CP9" s="548"/>
      <c r="CQ9" s="548"/>
      <c r="CR9" s="548"/>
      <c r="CS9" s="548"/>
      <c r="CT9" s="548"/>
      <c r="CU9" s="548"/>
      <c r="CV9" s="548"/>
      <c r="CW9" s="548"/>
      <c r="CX9" s="548"/>
      <c r="CY9" s="548"/>
      <c r="CZ9" s="548"/>
      <c r="DA9" s="548"/>
      <c r="DB9" s="548"/>
      <c r="DC9" s="548"/>
      <c r="DD9" s="548"/>
      <c r="DE9" s="548"/>
      <c r="DF9" s="548"/>
      <c r="DG9" s="548"/>
      <c r="DH9" s="548"/>
      <c r="DI9" s="548"/>
      <c r="DJ9" s="548"/>
      <c r="DK9" s="548"/>
      <c r="DL9" s="548"/>
      <c r="DM9" s="548"/>
      <c r="DN9" s="548"/>
      <c r="DO9" s="548"/>
      <c r="DP9" s="548"/>
      <c r="DQ9" s="548"/>
      <c r="DR9" s="548"/>
      <c r="DS9" s="548"/>
      <c r="DT9" s="548"/>
      <c r="DU9" s="548"/>
      <c r="DV9" s="548"/>
      <c r="DW9" s="548"/>
      <c r="DX9" s="548"/>
      <c r="DY9" s="548"/>
      <c r="DZ9" s="548"/>
      <c r="EA9" s="548"/>
      <c r="EB9" s="548"/>
      <c r="EC9" s="548"/>
      <c r="ED9" s="548"/>
      <c r="EE9" s="548"/>
      <c r="EF9" s="548"/>
      <c r="EG9" s="548"/>
      <c r="EH9" s="548"/>
      <c r="EI9" s="548"/>
      <c r="EJ9" s="548"/>
      <c r="EK9" s="548"/>
      <c r="EL9" s="548"/>
      <c r="EM9" s="548"/>
      <c r="EN9" s="548"/>
      <c r="EO9" s="548"/>
      <c r="EP9" s="548"/>
      <c r="EQ9" s="548"/>
      <c r="ER9" s="548"/>
      <c r="ES9" s="548"/>
      <c r="ET9" s="548"/>
      <c r="EU9" s="548"/>
      <c r="EV9" s="548"/>
      <c r="EW9" s="548"/>
      <c r="EX9" s="548"/>
      <c r="EY9" s="548"/>
      <c r="EZ9" s="548"/>
      <c r="FA9" s="548"/>
      <c r="FB9" s="548"/>
      <c r="FC9" s="548"/>
      <c r="FD9" s="548"/>
      <c r="FE9" s="548"/>
      <c r="FF9" s="548"/>
      <c r="FG9" s="548"/>
      <c r="FH9" s="548"/>
      <c r="FI9" s="548"/>
      <c r="FJ9" s="548"/>
      <c r="FK9" s="548"/>
      <c r="FL9" s="548"/>
      <c r="FM9" s="548"/>
      <c r="FN9" s="548"/>
      <c r="FO9" s="548"/>
      <c r="FP9" s="548"/>
      <c r="FQ9" s="548"/>
      <c r="FR9" s="548"/>
      <c r="FS9" s="548"/>
      <c r="FT9" s="548"/>
      <c r="FU9" s="548"/>
      <c r="FV9" s="548"/>
      <c r="FW9" s="548"/>
      <c r="FX9" s="548"/>
      <c r="FY9" s="548"/>
      <c r="FZ9" s="548"/>
      <c r="GA9" s="548"/>
      <c r="GB9" s="548"/>
      <c r="GC9" s="548"/>
      <c r="GD9" s="548"/>
      <c r="GE9" s="548"/>
      <c r="GF9" s="548"/>
      <c r="GG9" s="548"/>
      <c r="GH9" s="548"/>
      <c r="GI9" s="548"/>
      <c r="GJ9" s="548"/>
      <c r="GK9" s="548"/>
      <c r="GL9" s="548"/>
      <c r="GM9" s="548"/>
      <c r="GN9" s="548"/>
      <c r="GO9" s="548"/>
      <c r="GP9" s="548"/>
      <c r="GQ9" s="548"/>
      <c r="GR9" s="548"/>
      <c r="GS9" s="548"/>
      <c r="GT9" s="548"/>
      <c r="GU9" s="548"/>
      <c r="GV9" s="548"/>
      <c r="GW9" s="548"/>
      <c r="GX9" s="548"/>
      <c r="GY9" s="548"/>
      <c r="GZ9" s="548"/>
      <c r="HA9" s="548"/>
      <c r="HB9" s="548"/>
      <c r="HC9" s="548"/>
      <c r="HD9" s="548"/>
      <c r="HE9" s="548"/>
      <c r="HF9" s="548"/>
      <c r="HG9" s="548"/>
      <c r="HH9" s="548"/>
      <c r="HI9" s="548"/>
      <c r="HJ9" s="548"/>
      <c r="HK9" s="548"/>
      <c r="HL9" s="548"/>
      <c r="HM9" s="548"/>
      <c r="HN9" s="548"/>
      <c r="HO9" s="548"/>
      <c r="HP9" s="548"/>
      <c r="HQ9" s="548"/>
      <c r="HR9" s="548"/>
      <c r="HS9" s="548"/>
      <c r="HT9" s="548"/>
      <c r="HU9" s="548"/>
      <c r="HV9" s="548"/>
      <c r="HW9" s="548"/>
      <c r="HX9" s="548"/>
      <c r="HY9" s="548"/>
      <c r="HZ9" s="548"/>
      <c r="IA9" s="548"/>
      <c r="IB9" s="548"/>
      <c r="IC9" s="548"/>
      <c r="ID9" s="548"/>
      <c r="IE9" s="548"/>
      <c r="IF9" s="548"/>
      <c r="IG9" s="548"/>
      <c r="IH9" s="548"/>
      <c r="II9" s="548"/>
      <c r="IJ9" s="548"/>
      <c r="IK9" s="548"/>
      <c r="IL9" s="548"/>
      <c r="IM9" s="548"/>
    </row>
    <row r="10" spans="1:247" s="549" customFormat="1" x14ac:dyDescent="0.25">
      <c r="A10" s="338"/>
      <c r="B10" s="338"/>
      <c r="C10" s="338"/>
      <c r="D10" s="338"/>
      <c r="E10" s="338"/>
      <c r="F10" s="382" t="s">
        <v>18</v>
      </c>
      <c r="G10" s="550" t="s">
        <v>19</v>
      </c>
      <c r="H10" s="551"/>
      <c r="I10" s="546"/>
      <c r="J10" s="546"/>
      <c r="K10" s="546"/>
      <c r="L10" s="546"/>
      <c r="M10" s="547"/>
      <c r="N10" s="547"/>
      <c r="O10" s="547"/>
      <c r="P10" s="547"/>
      <c r="Q10" s="547"/>
      <c r="R10" s="547"/>
      <c r="S10" s="547"/>
      <c r="T10" s="547"/>
      <c r="U10" s="547"/>
      <c r="V10" s="552"/>
      <c r="W10" s="548"/>
      <c r="X10" s="548"/>
      <c r="Y10" s="548"/>
      <c r="Z10" s="548"/>
      <c r="AA10" s="548"/>
      <c r="AB10" s="548"/>
      <c r="AC10" s="548"/>
      <c r="AD10" s="548"/>
      <c r="AE10" s="548"/>
      <c r="AF10" s="548"/>
      <c r="AG10" s="548"/>
      <c r="AH10" s="548"/>
      <c r="AI10" s="548"/>
      <c r="AJ10" s="548"/>
      <c r="AK10" s="548"/>
      <c r="AL10" s="548"/>
      <c r="AM10" s="548"/>
      <c r="AN10" s="548"/>
      <c r="AO10" s="548"/>
      <c r="AP10" s="548"/>
      <c r="AQ10" s="548"/>
      <c r="AR10" s="548"/>
      <c r="AS10" s="548"/>
      <c r="AT10" s="548"/>
      <c r="AU10" s="548"/>
      <c r="AV10" s="548"/>
      <c r="AW10" s="548"/>
      <c r="AX10" s="548"/>
      <c r="AY10" s="548"/>
      <c r="AZ10" s="548"/>
      <c r="BA10" s="548"/>
      <c r="BB10" s="548"/>
      <c r="BC10" s="548"/>
      <c r="BD10" s="548"/>
      <c r="BE10" s="548"/>
      <c r="BF10" s="548"/>
      <c r="BG10" s="548"/>
      <c r="BH10" s="548"/>
      <c r="BI10" s="548"/>
      <c r="BJ10" s="548"/>
      <c r="BK10" s="548"/>
      <c r="BL10" s="548"/>
      <c r="BM10" s="548"/>
      <c r="BN10" s="548"/>
      <c r="BO10" s="548"/>
      <c r="BP10" s="548"/>
      <c r="BQ10" s="548"/>
      <c r="BR10" s="548"/>
      <c r="BS10" s="548"/>
      <c r="BT10" s="548"/>
      <c r="BU10" s="548"/>
      <c r="BV10" s="548"/>
      <c r="BW10" s="548"/>
      <c r="BX10" s="548"/>
      <c r="BY10" s="548"/>
      <c r="BZ10" s="548"/>
      <c r="CA10" s="548"/>
      <c r="CB10" s="548"/>
      <c r="CC10" s="548"/>
      <c r="CD10" s="548"/>
      <c r="CE10" s="548"/>
      <c r="CF10" s="548"/>
      <c r="CG10" s="548"/>
      <c r="CH10" s="548"/>
      <c r="CI10" s="548"/>
      <c r="CJ10" s="548"/>
      <c r="CK10" s="548"/>
      <c r="CL10" s="548"/>
      <c r="CM10" s="548"/>
      <c r="CN10" s="548"/>
      <c r="CO10" s="548"/>
      <c r="CP10" s="548"/>
      <c r="CQ10" s="548"/>
      <c r="CR10" s="548"/>
      <c r="CS10" s="548"/>
      <c r="CT10" s="548"/>
      <c r="CU10" s="548"/>
      <c r="CV10" s="548"/>
      <c r="CW10" s="548"/>
      <c r="CX10" s="548"/>
      <c r="CY10" s="548"/>
      <c r="CZ10" s="548"/>
      <c r="DA10" s="548"/>
      <c r="DB10" s="548"/>
      <c r="DC10" s="548"/>
      <c r="DD10" s="548"/>
      <c r="DE10" s="548"/>
      <c r="DF10" s="548"/>
      <c r="DG10" s="548"/>
      <c r="DH10" s="548"/>
      <c r="DI10" s="548"/>
      <c r="DJ10" s="548"/>
      <c r="DK10" s="548"/>
      <c r="DL10" s="548"/>
      <c r="DM10" s="548"/>
      <c r="DN10" s="548"/>
      <c r="DO10" s="548"/>
      <c r="DP10" s="548"/>
      <c r="DQ10" s="548"/>
      <c r="DR10" s="548"/>
      <c r="DS10" s="548"/>
      <c r="DT10" s="548"/>
      <c r="DU10" s="548"/>
      <c r="DV10" s="548"/>
      <c r="DW10" s="548"/>
      <c r="DX10" s="548"/>
      <c r="DY10" s="548"/>
      <c r="DZ10" s="548"/>
      <c r="EA10" s="548"/>
      <c r="EB10" s="548"/>
      <c r="EC10" s="548"/>
      <c r="ED10" s="548"/>
      <c r="EE10" s="548"/>
      <c r="EF10" s="548"/>
      <c r="EG10" s="548"/>
      <c r="EH10" s="548"/>
      <c r="EI10" s="548"/>
      <c r="EJ10" s="548"/>
      <c r="EK10" s="548"/>
      <c r="EL10" s="548"/>
      <c r="EM10" s="548"/>
      <c r="EN10" s="548"/>
      <c r="EO10" s="548"/>
      <c r="EP10" s="548"/>
      <c r="EQ10" s="548"/>
      <c r="ER10" s="548"/>
      <c r="ES10" s="548"/>
      <c r="ET10" s="548"/>
      <c r="EU10" s="548"/>
      <c r="EV10" s="548"/>
      <c r="EW10" s="548"/>
      <c r="EX10" s="548"/>
      <c r="EY10" s="548"/>
      <c r="EZ10" s="548"/>
      <c r="FA10" s="548"/>
      <c r="FB10" s="548"/>
      <c r="FC10" s="548"/>
      <c r="FD10" s="548"/>
      <c r="FE10" s="548"/>
      <c r="FF10" s="548"/>
      <c r="FG10" s="548"/>
      <c r="FH10" s="548"/>
      <c r="FI10" s="548"/>
      <c r="FJ10" s="548"/>
      <c r="FK10" s="548"/>
      <c r="FL10" s="548"/>
      <c r="FM10" s="548"/>
      <c r="FN10" s="548"/>
      <c r="FO10" s="548"/>
      <c r="FP10" s="548"/>
      <c r="FQ10" s="548"/>
      <c r="FR10" s="548"/>
      <c r="FS10" s="548"/>
      <c r="FT10" s="548"/>
      <c r="FU10" s="548"/>
      <c r="FV10" s="548"/>
      <c r="FW10" s="548"/>
      <c r="FX10" s="548"/>
      <c r="FY10" s="548"/>
      <c r="FZ10" s="548"/>
      <c r="GA10" s="548"/>
      <c r="GB10" s="548"/>
      <c r="GC10" s="548"/>
      <c r="GD10" s="548"/>
      <c r="GE10" s="548"/>
      <c r="GF10" s="548"/>
      <c r="GG10" s="548"/>
      <c r="GH10" s="548"/>
      <c r="GI10" s="548"/>
      <c r="GJ10" s="548"/>
      <c r="GK10" s="548"/>
      <c r="GL10" s="548"/>
      <c r="GM10" s="548"/>
      <c r="GN10" s="548"/>
      <c r="GO10" s="548"/>
      <c r="GP10" s="548"/>
      <c r="GQ10" s="548"/>
      <c r="GR10" s="548"/>
      <c r="GS10" s="548"/>
      <c r="GT10" s="548"/>
      <c r="GU10" s="548"/>
      <c r="GV10" s="548"/>
      <c r="GW10" s="548"/>
      <c r="GX10" s="548"/>
      <c r="GY10" s="548"/>
      <c r="GZ10" s="548"/>
      <c r="HA10" s="548"/>
      <c r="HB10" s="548"/>
      <c r="HC10" s="548"/>
      <c r="HD10" s="548"/>
      <c r="HE10" s="548"/>
      <c r="HF10" s="548"/>
      <c r="HG10" s="548"/>
      <c r="HH10" s="548"/>
      <c r="HI10" s="548"/>
      <c r="HJ10" s="548"/>
      <c r="HK10" s="548"/>
      <c r="HL10" s="548"/>
      <c r="HM10" s="548"/>
      <c r="HN10" s="548"/>
      <c r="HO10" s="548"/>
      <c r="HP10" s="548"/>
      <c r="HQ10" s="548"/>
      <c r="HR10" s="548"/>
      <c r="HS10" s="548"/>
      <c r="HT10" s="548"/>
      <c r="HU10" s="548"/>
      <c r="HV10" s="548"/>
      <c r="HW10" s="548"/>
      <c r="HX10" s="548"/>
      <c r="HY10" s="548"/>
      <c r="HZ10" s="548"/>
      <c r="IA10" s="548"/>
      <c r="IB10" s="548"/>
      <c r="IC10" s="548"/>
      <c r="ID10" s="548"/>
      <c r="IE10" s="548"/>
      <c r="IF10" s="548"/>
      <c r="IG10" s="548"/>
      <c r="IH10" s="548"/>
      <c r="II10" s="548"/>
      <c r="IJ10" s="548"/>
      <c r="IK10" s="548"/>
      <c r="IL10" s="548"/>
      <c r="IM10" s="548"/>
    </row>
    <row r="11" spans="1:247" s="549" customFormat="1" x14ac:dyDescent="0.25">
      <c r="A11" s="338"/>
      <c r="B11" s="338"/>
      <c r="C11" s="338"/>
      <c r="D11" s="338"/>
      <c r="E11" s="338"/>
      <c r="F11" s="338"/>
      <c r="G11" s="553" t="s">
        <v>279</v>
      </c>
      <c r="H11" s="554"/>
      <c r="I11" s="546"/>
      <c r="J11" s="546"/>
      <c r="K11" s="546"/>
      <c r="L11" s="546"/>
      <c r="M11" s="547"/>
      <c r="N11" s="547"/>
      <c r="O11" s="547"/>
      <c r="P11" s="547"/>
      <c r="Q11" s="547"/>
      <c r="R11" s="547"/>
      <c r="S11" s="547"/>
      <c r="T11" s="547"/>
      <c r="U11" s="547"/>
      <c r="V11" s="548"/>
      <c r="W11" s="548"/>
      <c r="X11" s="548"/>
      <c r="Y11" s="548"/>
      <c r="Z11" s="548"/>
      <c r="AA11" s="548"/>
      <c r="AB11" s="548"/>
      <c r="AC11" s="548"/>
      <c r="AD11" s="548"/>
      <c r="AE11" s="548"/>
      <c r="AF11" s="548"/>
      <c r="AG11" s="548"/>
      <c r="AH11" s="548"/>
      <c r="AI11" s="548"/>
      <c r="AJ11" s="548"/>
      <c r="AK11" s="548"/>
      <c r="AL11" s="548"/>
      <c r="AM11" s="548"/>
      <c r="AN11" s="548"/>
      <c r="AO11" s="548"/>
      <c r="AP11" s="548"/>
      <c r="AQ11" s="548"/>
      <c r="AR11" s="548"/>
      <c r="AS11" s="548"/>
      <c r="AT11" s="548"/>
      <c r="AU11" s="548"/>
      <c r="AV11" s="548"/>
      <c r="AW11" s="548"/>
      <c r="AX11" s="548"/>
      <c r="AY11" s="548"/>
      <c r="AZ11" s="548"/>
      <c r="BA11" s="548"/>
      <c r="BB11" s="548"/>
      <c r="BC11" s="548"/>
      <c r="BD11" s="548"/>
      <c r="BE11" s="548"/>
      <c r="BF11" s="548"/>
      <c r="BG11" s="548"/>
      <c r="BH11" s="548"/>
      <c r="BI11" s="548"/>
      <c r="BJ11" s="548"/>
      <c r="BK11" s="548"/>
      <c r="BL11" s="548"/>
      <c r="BM11" s="548"/>
      <c r="BN11" s="548"/>
      <c r="BO11" s="548"/>
      <c r="BP11" s="548"/>
      <c r="BQ11" s="548"/>
      <c r="BR11" s="548"/>
      <c r="BS11" s="548"/>
      <c r="BT11" s="548"/>
      <c r="BU11" s="548"/>
      <c r="BV11" s="548"/>
      <c r="BW11" s="548"/>
      <c r="BX11" s="548"/>
      <c r="BY11" s="548"/>
      <c r="BZ11" s="548"/>
      <c r="CA11" s="548"/>
      <c r="CB11" s="548"/>
      <c r="CC11" s="548"/>
      <c r="CD11" s="548"/>
      <c r="CE11" s="548"/>
      <c r="CF11" s="548"/>
      <c r="CG11" s="548"/>
      <c r="CH11" s="548"/>
      <c r="CI11" s="548"/>
      <c r="CJ11" s="548"/>
      <c r="CK11" s="548"/>
      <c r="CL11" s="548"/>
      <c r="CM11" s="548"/>
      <c r="CN11" s="548"/>
      <c r="CO11" s="548"/>
      <c r="CP11" s="548"/>
      <c r="CQ11" s="548"/>
      <c r="CR11" s="548"/>
      <c r="CS11" s="548"/>
      <c r="CT11" s="548"/>
      <c r="CU11" s="548"/>
      <c r="CV11" s="548"/>
      <c r="CW11" s="548"/>
      <c r="CX11" s="548"/>
      <c r="CY11" s="548"/>
      <c r="CZ11" s="548"/>
      <c r="DA11" s="548"/>
      <c r="DB11" s="548"/>
      <c r="DC11" s="548"/>
      <c r="DD11" s="548"/>
      <c r="DE11" s="548"/>
      <c r="DF11" s="548"/>
      <c r="DG11" s="548"/>
      <c r="DH11" s="548"/>
      <c r="DI11" s="548"/>
      <c r="DJ11" s="548"/>
      <c r="DK11" s="548"/>
      <c r="DL11" s="548"/>
      <c r="DM11" s="548"/>
      <c r="DN11" s="548"/>
      <c r="DO11" s="548"/>
      <c r="DP11" s="548"/>
      <c r="DQ11" s="548"/>
      <c r="DR11" s="548"/>
      <c r="DS11" s="548"/>
      <c r="DT11" s="548"/>
      <c r="DU11" s="548"/>
      <c r="DV11" s="548"/>
      <c r="DW11" s="548"/>
      <c r="DX11" s="548"/>
      <c r="DY11" s="548"/>
      <c r="DZ11" s="548"/>
      <c r="EA11" s="548"/>
      <c r="EB11" s="548"/>
      <c r="EC11" s="548"/>
      <c r="ED11" s="548"/>
      <c r="EE11" s="548"/>
      <c r="EF11" s="548"/>
      <c r="EG11" s="548"/>
      <c r="EH11" s="548"/>
      <c r="EI11" s="548"/>
      <c r="EJ11" s="548"/>
      <c r="EK11" s="548"/>
      <c r="EL11" s="548"/>
      <c r="EM11" s="548"/>
      <c r="EN11" s="548"/>
      <c r="EO11" s="548"/>
      <c r="EP11" s="548"/>
      <c r="EQ11" s="548"/>
      <c r="ER11" s="548"/>
      <c r="ES11" s="548"/>
      <c r="ET11" s="548"/>
      <c r="EU11" s="548"/>
      <c r="EV11" s="548"/>
      <c r="EW11" s="548"/>
      <c r="EX11" s="548"/>
      <c r="EY11" s="548"/>
      <c r="EZ11" s="548"/>
      <c r="FA11" s="548"/>
      <c r="FB11" s="548"/>
      <c r="FC11" s="548"/>
      <c r="FD11" s="548"/>
      <c r="FE11" s="548"/>
      <c r="FF11" s="548"/>
      <c r="FG11" s="548"/>
      <c r="FH11" s="548"/>
      <c r="FI11" s="548"/>
      <c r="FJ11" s="548"/>
      <c r="FK11" s="548"/>
      <c r="FL11" s="548"/>
      <c r="FM11" s="548"/>
      <c r="FN11" s="548"/>
      <c r="FO11" s="548"/>
      <c r="FP11" s="548"/>
      <c r="FQ11" s="548"/>
      <c r="FR11" s="548"/>
      <c r="FS11" s="548"/>
      <c r="FT11" s="548"/>
      <c r="FU11" s="548"/>
      <c r="FV11" s="548"/>
      <c r="FW11" s="548"/>
      <c r="FX11" s="548"/>
      <c r="FY11" s="548"/>
      <c r="FZ11" s="548"/>
      <c r="GA11" s="548"/>
      <c r="GB11" s="548"/>
      <c r="GC11" s="548"/>
      <c r="GD11" s="548"/>
      <c r="GE11" s="548"/>
      <c r="GF11" s="548"/>
      <c r="GG11" s="548"/>
      <c r="GH11" s="548"/>
      <c r="GI11" s="548"/>
      <c r="GJ11" s="548"/>
      <c r="GK11" s="548"/>
      <c r="GL11" s="548"/>
      <c r="GM11" s="548"/>
      <c r="GN11" s="548"/>
      <c r="GO11" s="548"/>
      <c r="GP11" s="548"/>
      <c r="GQ11" s="548"/>
      <c r="GR11" s="548"/>
      <c r="GS11" s="548"/>
      <c r="GT11" s="548"/>
      <c r="GU11" s="548"/>
      <c r="GV11" s="548"/>
      <c r="GW11" s="548"/>
      <c r="GX11" s="548"/>
      <c r="GY11" s="548"/>
      <c r="GZ11" s="548"/>
      <c r="HA11" s="548"/>
      <c r="HB11" s="548"/>
      <c r="HC11" s="548"/>
      <c r="HD11" s="548"/>
      <c r="HE11" s="548"/>
      <c r="HF11" s="548"/>
      <c r="HG11" s="548"/>
      <c r="HH11" s="548"/>
      <c r="HI11" s="548"/>
      <c r="HJ11" s="548"/>
      <c r="HK11" s="548"/>
      <c r="HL11" s="548"/>
      <c r="HM11" s="548"/>
      <c r="HN11" s="548"/>
      <c r="HO11" s="548"/>
      <c r="HP11" s="548"/>
      <c r="HQ11" s="548"/>
      <c r="HR11" s="548"/>
      <c r="HS11" s="548"/>
      <c r="HT11" s="548"/>
      <c r="HU11" s="548"/>
      <c r="HV11" s="548"/>
      <c r="HW11" s="548"/>
      <c r="HX11" s="548"/>
      <c r="HY11" s="548"/>
      <c r="HZ11" s="548"/>
      <c r="IA11" s="548"/>
      <c r="IB11" s="548"/>
      <c r="IC11" s="548"/>
      <c r="ID11" s="548"/>
      <c r="IE11" s="548"/>
      <c r="IF11" s="548"/>
      <c r="IG11" s="548"/>
      <c r="IH11" s="548"/>
      <c r="II11" s="548"/>
      <c r="IJ11" s="548"/>
      <c r="IK11" s="548"/>
      <c r="IL11" s="548"/>
      <c r="IM11" s="548"/>
    </row>
    <row r="12" spans="1:247" s="549" customFormat="1" x14ac:dyDescent="0.25">
      <c r="A12" s="555" t="s">
        <v>305</v>
      </c>
      <c r="B12" s="555"/>
      <c r="C12" s="555"/>
      <c r="D12" s="555"/>
      <c r="E12" s="555"/>
      <c r="F12" s="382" t="s">
        <v>21</v>
      </c>
      <c r="G12" s="556"/>
      <c r="H12" s="557"/>
      <c r="I12" s="546"/>
      <c r="J12" s="546"/>
      <c r="K12" s="546"/>
      <c r="L12" s="546"/>
      <c r="M12" s="547"/>
      <c r="N12" s="547"/>
      <c r="O12" s="547"/>
      <c r="P12" s="547"/>
      <c r="Q12" s="547"/>
      <c r="R12" s="547"/>
      <c r="S12" s="547"/>
      <c r="T12" s="547"/>
      <c r="U12" s="385" t="e">
        <v>#REF!</v>
      </c>
      <c r="V12" s="548"/>
      <c r="W12" s="548"/>
      <c r="X12" s="548"/>
      <c r="Y12" s="548"/>
      <c r="Z12" s="548"/>
      <c r="AA12" s="548"/>
      <c r="AB12" s="548"/>
      <c r="AC12" s="548"/>
      <c r="AD12" s="548"/>
      <c r="AE12" s="548"/>
      <c r="AF12" s="548"/>
      <c r="AG12" s="548"/>
      <c r="AH12" s="548"/>
      <c r="AI12" s="548"/>
      <c r="AJ12" s="548"/>
      <c r="AK12" s="548"/>
      <c r="AL12" s="548"/>
      <c r="AM12" s="548"/>
      <c r="AN12" s="548"/>
      <c r="AO12" s="548"/>
      <c r="AP12" s="548"/>
      <c r="AQ12" s="548"/>
      <c r="AR12" s="548"/>
      <c r="AS12" s="548"/>
      <c r="AT12" s="548"/>
      <c r="AU12" s="548"/>
      <c r="AV12" s="548"/>
      <c r="AW12" s="548"/>
      <c r="AX12" s="548"/>
      <c r="AY12" s="548"/>
      <c r="AZ12" s="548"/>
      <c r="BA12" s="548"/>
      <c r="BB12" s="548"/>
      <c r="BC12" s="548"/>
      <c r="BD12" s="548"/>
      <c r="BE12" s="548"/>
      <c r="BF12" s="548"/>
      <c r="BG12" s="548"/>
      <c r="BH12" s="548"/>
      <c r="BI12" s="548"/>
      <c r="BJ12" s="548"/>
      <c r="BK12" s="548"/>
      <c r="BL12" s="548"/>
      <c r="BM12" s="548"/>
      <c r="BN12" s="548"/>
      <c r="BO12" s="548"/>
      <c r="BP12" s="548"/>
      <c r="BQ12" s="548"/>
      <c r="BR12" s="548"/>
      <c r="BS12" s="548"/>
      <c r="BT12" s="548"/>
      <c r="BU12" s="548"/>
      <c r="BV12" s="548"/>
      <c r="BW12" s="548"/>
      <c r="BX12" s="548"/>
      <c r="BY12" s="548"/>
      <c r="BZ12" s="548"/>
      <c r="CA12" s="548"/>
      <c r="CB12" s="548"/>
      <c r="CC12" s="548"/>
      <c r="CD12" s="548"/>
      <c r="CE12" s="548"/>
      <c r="CF12" s="548"/>
      <c r="CG12" s="548"/>
      <c r="CH12" s="548"/>
      <c r="CI12" s="548"/>
      <c r="CJ12" s="548"/>
      <c r="CK12" s="548"/>
      <c r="CL12" s="548"/>
      <c r="CM12" s="548"/>
      <c r="CN12" s="548"/>
      <c r="CO12" s="548"/>
      <c r="CP12" s="548"/>
      <c r="CQ12" s="548"/>
      <c r="CR12" s="548"/>
      <c r="CS12" s="548"/>
      <c r="CT12" s="548"/>
      <c r="CU12" s="548"/>
      <c r="CV12" s="548"/>
      <c r="CW12" s="548"/>
      <c r="CX12" s="548"/>
      <c r="CY12" s="548"/>
      <c r="CZ12" s="548"/>
      <c r="DA12" s="548"/>
      <c r="DB12" s="548"/>
      <c r="DC12" s="548"/>
      <c r="DD12" s="548"/>
      <c r="DE12" s="548"/>
      <c r="DF12" s="548"/>
      <c r="DG12" s="548"/>
      <c r="DH12" s="548"/>
      <c r="DI12" s="548"/>
      <c r="DJ12" s="548"/>
      <c r="DK12" s="548"/>
      <c r="DL12" s="548"/>
      <c r="DM12" s="548"/>
      <c r="DN12" s="548"/>
      <c r="DO12" s="548"/>
      <c r="DP12" s="548"/>
      <c r="DQ12" s="548"/>
      <c r="DR12" s="548"/>
      <c r="DS12" s="548"/>
      <c r="DT12" s="548"/>
      <c r="DU12" s="548"/>
      <c r="DV12" s="548"/>
      <c r="DW12" s="548"/>
      <c r="DX12" s="548"/>
      <c r="DY12" s="548"/>
      <c r="DZ12" s="548"/>
      <c r="EA12" s="548"/>
      <c r="EB12" s="548"/>
      <c r="EC12" s="548"/>
      <c r="ED12" s="548"/>
      <c r="EE12" s="548"/>
      <c r="EF12" s="548"/>
      <c r="EG12" s="548"/>
      <c r="EH12" s="548"/>
      <c r="EI12" s="548"/>
      <c r="EJ12" s="548"/>
      <c r="EK12" s="548"/>
      <c r="EL12" s="548"/>
      <c r="EM12" s="548"/>
      <c r="EN12" s="548"/>
      <c r="EO12" s="548"/>
      <c r="EP12" s="548"/>
      <c r="EQ12" s="548"/>
      <c r="ER12" s="548"/>
      <c r="ES12" s="548"/>
      <c r="ET12" s="548"/>
      <c r="EU12" s="548"/>
      <c r="EV12" s="548"/>
      <c r="EW12" s="548"/>
      <c r="EX12" s="548"/>
      <c r="EY12" s="548"/>
      <c r="EZ12" s="548"/>
      <c r="FA12" s="548"/>
      <c r="FB12" s="548"/>
      <c r="FC12" s="548"/>
      <c r="FD12" s="548"/>
      <c r="FE12" s="548"/>
      <c r="FF12" s="548"/>
      <c r="FG12" s="548"/>
      <c r="FH12" s="548"/>
      <c r="FI12" s="548"/>
      <c r="FJ12" s="548"/>
      <c r="FK12" s="548"/>
      <c r="FL12" s="548"/>
      <c r="FM12" s="548"/>
      <c r="FN12" s="548"/>
      <c r="FO12" s="548"/>
      <c r="FP12" s="548"/>
      <c r="FQ12" s="548"/>
      <c r="FR12" s="548"/>
      <c r="FS12" s="548"/>
      <c r="FT12" s="548"/>
      <c r="FU12" s="548"/>
      <c r="FV12" s="548"/>
      <c r="FW12" s="548"/>
      <c r="FX12" s="548"/>
      <c r="FY12" s="548"/>
      <c r="FZ12" s="548"/>
      <c r="GA12" s="548"/>
      <c r="GB12" s="548"/>
      <c r="GC12" s="548"/>
      <c r="GD12" s="548"/>
      <c r="GE12" s="548"/>
      <c r="GF12" s="548"/>
      <c r="GG12" s="548"/>
      <c r="GH12" s="548"/>
      <c r="GI12" s="548"/>
      <c r="GJ12" s="548"/>
      <c r="GK12" s="548"/>
      <c r="GL12" s="548"/>
      <c r="GM12" s="548"/>
      <c r="GN12" s="548"/>
      <c r="GO12" s="548"/>
      <c r="GP12" s="548"/>
      <c r="GQ12" s="548"/>
      <c r="GR12" s="548"/>
      <c r="GS12" s="548"/>
      <c r="GT12" s="548"/>
      <c r="GU12" s="548"/>
      <c r="GV12" s="548"/>
      <c r="GW12" s="548"/>
      <c r="GX12" s="548"/>
      <c r="GY12" s="548"/>
      <c r="GZ12" s="548"/>
      <c r="HA12" s="548"/>
      <c r="HB12" s="548"/>
      <c r="HC12" s="548"/>
      <c r="HD12" s="548"/>
      <c r="HE12" s="548"/>
      <c r="HF12" s="548"/>
      <c r="HG12" s="548"/>
      <c r="HH12" s="548"/>
      <c r="HI12" s="548"/>
      <c r="HJ12" s="548"/>
      <c r="HK12" s="548"/>
      <c r="HL12" s="548"/>
      <c r="HM12" s="548"/>
      <c r="HN12" s="548"/>
      <c r="HO12" s="548"/>
      <c r="HP12" s="548"/>
      <c r="HQ12" s="548"/>
      <c r="HR12" s="548"/>
      <c r="HS12" s="548"/>
      <c r="HT12" s="548"/>
      <c r="HU12" s="548"/>
      <c r="HV12" s="548"/>
      <c r="HW12" s="548"/>
      <c r="HX12" s="548"/>
      <c r="HY12" s="548"/>
      <c r="HZ12" s="548"/>
      <c r="IA12" s="548"/>
      <c r="IB12" s="548"/>
      <c r="IC12" s="548"/>
      <c r="ID12" s="548"/>
      <c r="IE12" s="548"/>
      <c r="IF12" s="548"/>
      <c r="IG12" s="548"/>
      <c r="IH12" s="548"/>
      <c r="II12" s="548"/>
      <c r="IJ12" s="548"/>
      <c r="IK12" s="548"/>
      <c r="IL12" s="548"/>
      <c r="IM12" s="548"/>
    </row>
    <row r="13" spans="1:247" s="549" customFormat="1" x14ac:dyDescent="0.25">
      <c r="A13" s="558" t="s">
        <v>22</v>
      </c>
      <c r="B13" s="558"/>
      <c r="C13" s="558"/>
      <c r="D13" s="558"/>
      <c r="E13" s="558"/>
      <c r="F13" s="338"/>
      <c r="G13" s="553" t="s">
        <v>306</v>
      </c>
      <c r="H13" s="554"/>
      <c r="I13" s="546"/>
      <c r="J13" s="546"/>
      <c r="K13" s="546"/>
      <c r="L13" s="546"/>
      <c r="M13" s="547"/>
      <c r="N13" s="547"/>
      <c r="O13" s="547"/>
      <c r="P13" s="547"/>
      <c r="Q13" s="547"/>
      <c r="R13" s="547"/>
      <c r="S13" s="547"/>
      <c r="T13" s="547"/>
      <c r="U13" s="547"/>
      <c r="V13" s="548"/>
      <c r="W13" s="548"/>
      <c r="X13" s="548"/>
      <c r="Y13" s="548"/>
      <c r="Z13" s="548"/>
      <c r="AA13" s="548"/>
      <c r="AB13" s="548"/>
      <c r="AC13" s="548"/>
      <c r="AD13" s="548"/>
      <c r="AE13" s="548"/>
      <c r="AF13" s="548"/>
      <c r="AG13" s="548"/>
      <c r="AH13" s="548"/>
      <c r="AI13" s="548"/>
      <c r="AJ13" s="548"/>
      <c r="AK13" s="548"/>
      <c r="AL13" s="548"/>
      <c r="AM13" s="548"/>
      <c r="AN13" s="548"/>
      <c r="AO13" s="548"/>
      <c r="AP13" s="548"/>
      <c r="AQ13" s="548"/>
      <c r="AR13" s="548"/>
      <c r="AS13" s="548"/>
      <c r="AT13" s="548"/>
      <c r="AU13" s="548"/>
      <c r="AV13" s="548"/>
      <c r="AW13" s="548"/>
      <c r="AX13" s="548"/>
      <c r="AY13" s="548"/>
      <c r="AZ13" s="548"/>
      <c r="BA13" s="548"/>
      <c r="BB13" s="548"/>
      <c r="BC13" s="548"/>
      <c r="BD13" s="548"/>
      <c r="BE13" s="548"/>
      <c r="BF13" s="548"/>
      <c r="BG13" s="548"/>
      <c r="BH13" s="548"/>
      <c r="BI13" s="548"/>
      <c r="BJ13" s="548"/>
      <c r="BK13" s="548"/>
      <c r="BL13" s="548"/>
      <c r="BM13" s="548"/>
      <c r="BN13" s="548"/>
      <c r="BO13" s="548"/>
      <c r="BP13" s="548"/>
      <c r="BQ13" s="548"/>
      <c r="BR13" s="548"/>
      <c r="BS13" s="548"/>
      <c r="BT13" s="548"/>
      <c r="BU13" s="548"/>
      <c r="BV13" s="548"/>
      <c r="BW13" s="548"/>
      <c r="BX13" s="548"/>
      <c r="BY13" s="548"/>
      <c r="BZ13" s="548"/>
      <c r="CA13" s="548"/>
      <c r="CB13" s="548"/>
      <c r="CC13" s="548"/>
      <c r="CD13" s="548"/>
      <c r="CE13" s="548"/>
      <c r="CF13" s="548"/>
      <c r="CG13" s="548"/>
      <c r="CH13" s="548"/>
      <c r="CI13" s="548"/>
      <c r="CJ13" s="548"/>
      <c r="CK13" s="548"/>
      <c r="CL13" s="548"/>
      <c r="CM13" s="548"/>
      <c r="CN13" s="548"/>
      <c r="CO13" s="548"/>
      <c r="CP13" s="548"/>
      <c r="CQ13" s="548"/>
      <c r="CR13" s="548"/>
      <c r="CS13" s="548"/>
      <c r="CT13" s="548"/>
      <c r="CU13" s="548"/>
      <c r="CV13" s="548"/>
      <c r="CW13" s="548"/>
      <c r="CX13" s="548"/>
      <c r="CY13" s="548"/>
      <c r="CZ13" s="548"/>
      <c r="DA13" s="548"/>
      <c r="DB13" s="548"/>
      <c r="DC13" s="548"/>
      <c r="DD13" s="548"/>
      <c r="DE13" s="548"/>
      <c r="DF13" s="548"/>
      <c r="DG13" s="548"/>
      <c r="DH13" s="548"/>
      <c r="DI13" s="548"/>
      <c r="DJ13" s="548"/>
      <c r="DK13" s="548"/>
      <c r="DL13" s="548"/>
      <c r="DM13" s="548"/>
      <c r="DN13" s="548"/>
      <c r="DO13" s="548"/>
      <c r="DP13" s="548"/>
      <c r="DQ13" s="548"/>
      <c r="DR13" s="548"/>
      <c r="DS13" s="548"/>
      <c r="DT13" s="548"/>
      <c r="DU13" s="548"/>
      <c r="DV13" s="548"/>
      <c r="DW13" s="548"/>
      <c r="DX13" s="548"/>
      <c r="DY13" s="548"/>
      <c r="DZ13" s="548"/>
      <c r="EA13" s="548"/>
      <c r="EB13" s="548"/>
      <c r="EC13" s="548"/>
      <c r="ED13" s="548"/>
      <c r="EE13" s="548"/>
      <c r="EF13" s="548"/>
      <c r="EG13" s="548"/>
      <c r="EH13" s="548"/>
      <c r="EI13" s="548"/>
      <c r="EJ13" s="548"/>
      <c r="EK13" s="548"/>
      <c r="EL13" s="548"/>
      <c r="EM13" s="548"/>
      <c r="EN13" s="548"/>
      <c r="EO13" s="548"/>
      <c r="EP13" s="548"/>
      <c r="EQ13" s="548"/>
      <c r="ER13" s="548"/>
      <c r="ES13" s="548"/>
      <c r="ET13" s="548"/>
      <c r="EU13" s="548"/>
      <c r="EV13" s="548"/>
      <c r="EW13" s="548"/>
      <c r="EX13" s="548"/>
      <c r="EY13" s="548"/>
      <c r="EZ13" s="548"/>
      <c r="FA13" s="548"/>
      <c r="FB13" s="548"/>
      <c r="FC13" s="548"/>
      <c r="FD13" s="548"/>
      <c r="FE13" s="548"/>
      <c r="FF13" s="548"/>
      <c r="FG13" s="548"/>
      <c r="FH13" s="548"/>
      <c r="FI13" s="548"/>
      <c r="FJ13" s="548"/>
      <c r="FK13" s="548"/>
      <c r="FL13" s="548"/>
      <c r="FM13" s="548"/>
      <c r="FN13" s="548"/>
      <c r="FO13" s="548"/>
      <c r="FP13" s="548"/>
      <c r="FQ13" s="548"/>
      <c r="FR13" s="548"/>
      <c r="FS13" s="548"/>
      <c r="FT13" s="548"/>
      <c r="FU13" s="548"/>
      <c r="FV13" s="548"/>
      <c r="FW13" s="548"/>
      <c r="FX13" s="548"/>
      <c r="FY13" s="548"/>
      <c r="FZ13" s="548"/>
      <c r="GA13" s="548"/>
      <c r="GB13" s="548"/>
      <c r="GC13" s="548"/>
      <c r="GD13" s="548"/>
      <c r="GE13" s="548"/>
      <c r="GF13" s="548"/>
      <c r="GG13" s="548"/>
      <c r="GH13" s="548"/>
      <c r="GI13" s="548"/>
      <c r="GJ13" s="548"/>
      <c r="GK13" s="548"/>
      <c r="GL13" s="548"/>
      <c r="GM13" s="548"/>
      <c r="GN13" s="548"/>
      <c r="GO13" s="548"/>
      <c r="GP13" s="548"/>
      <c r="GQ13" s="548"/>
      <c r="GR13" s="548"/>
      <c r="GS13" s="548"/>
      <c r="GT13" s="548"/>
      <c r="GU13" s="548"/>
      <c r="GV13" s="548"/>
      <c r="GW13" s="548"/>
      <c r="GX13" s="548"/>
      <c r="GY13" s="548"/>
      <c r="GZ13" s="548"/>
      <c r="HA13" s="548"/>
      <c r="HB13" s="548"/>
      <c r="HC13" s="548"/>
      <c r="HD13" s="548"/>
      <c r="HE13" s="548"/>
      <c r="HF13" s="548"/>
      <c r="HG13" s="548"/>
      <c r="HH13" s="548"/>
      <c r="HI13" s="548"/>
      <c r="HJ13" s="548"/>
      <c r="HK13" s="548"/>
      <c r="HL13" s="548"/>
      <c r="HM13" s="548"/>
      <c r="HN13" s="548"/>
      <c r="HO13" s="548"/>
      <c r="HP13" s="548"/>
      <c r="HQ13" s="548"/>
      <c r="HR13" s="548"/>
      <c r="HS13" s="548"/>
      <c r="HT13" s="548"/>
      <c r="HU13" s="548"/>
      <c r="HV13" s="548"/>
      <c r="HW13" s="548"/>
      <c r="HX13" s="548"/>
      <c r="HY13" s="548"/>
      <c r="HZ13" s="548"/>
      <c r="IA13" s="548"/>
      <c r="IB13" s="548"/>
      <c r="IC13" s="548"/>
      <c r="ID13" s="548"/>
      <c r="IE13" s="548"/>
      <c r="IF13" s="548"/>
      <c r="IG13" s="548"/>
      <c r="IH13" s="548"/>
      <c r="II13" s="548"/>
      <c r="IJ13" s="548"/>
      <c r="IK13" s="548"/>
      <c r="IL13" s="548"/>
      <c r="IM13" s="548"/>
    </row>
    <row r="14" spans="1:247" s="549" customFormat="1" x14ac:dyDescent="0.25">
      <c r="A14" s="555" t="s">
        <v>307</v>
      </c>
      <c r="B14" s="555"/>
      <c r="C14" s="555"/>
      <c r="D14" s="555"/>
      <c r="E14" s="555"/>
      <c r="F14" s="382" t="s">
        <v>21</v>
      </c>
      <c r="G14" s="556"/>
      <c r="H14" s="557"/>
      <c r="I14" s="546"/>
      <c r="J14" s="546"/>
      <c r="K14" s="546"/>
      <c r="L14" s="546"/>
      <c r="M14" s="547"/>
      <c r="N14" s="547"/>
      <c r="O14" s="547"/>
      <c r="P14" s="547"/>
      <c r="Q14" s="547"/>
      <c r="R14" s="547"/>
      <c r="S14" s="547"/>
      <c r="T14" s="547"/>
      <c r="U14" s="385" t="e">
        <v>#REF!</v>
      </c>
      <c r="V14" s="548"/>
      <c r="W14" s="548"/>
      <c r="X14" s="548"/>
      <c r="Y14" s="548"/>
      <c r="Z14" s="548"/>
      <c r="AA14" s="548"/>
      <c r="AB14" s="548"/>
      <c r="AC14" s="548"/>
      <c r="AD14" s="548"/>
      <c r="AE14" s="548"/>
      <c r="AF14" s="548"/>
      <c r="AG14" s="548"/>
      <c r="AH14" s="548"/>
      <c r="AI14" s="548"/>
      <c r="AJ14" s="548"/>
      <c r="AK14" s="548"/>
      <c r="AL14" s="548"/>
      <c r="AM14" s="548"/>
      <c r="AN14" s="548"/>
      <c r="AO14" s="548"/>
      <c r="AP14" s="548"/>
      <c r="AQ14" s="548"/>
      <c r="AR14" s="548"/>
      <c r="AS14" s="548"/>
      <c r="AT14" s="548"/>
      <c r="AU14" s="548"/>
      <c r="AV14" s="548"/>
      <c r="AW14" s="548"/>
      <c r="AX14" s="548"/>
      <c r="AY14" s="548"/>
      <c r="AZ14" s="548"/>
      <c r="BA14" s="548"/>
      <c r="BB14" s="548"/>
      <c r="BC14" s="548"/>
      <c r="BD14" s="548"/>
      <c r="BE14" s="548"/>
      <c r="BF14" s="548"/>
      <c r="BG14" s="548"/>
      <c r="BH14" s="548"/>
      <c r="BI14" s="548"/>
      <c r="BJ14" s="548"/>
      <c r="BK14" s="548"/>
      <c r="BL14" s="548"/>
      <c r="BM14" s="548"/>
      <c r="BN14" s="548"/>
      <c r="BO14" s="548"/>
      <c r="BP14" s="548"/>
      <c r="BQ14" s="548"/>
      <c r="BR14" s="548"/>
      <c r="BS14" s="548"/>
      <c r="BT14" s="548"/>
      <c r="BU14" s="548"/>
      <c r="BV14" s="548"/>
      <c r="BW14" s="548"/>
      <c r="BX14" s="548"/>
      <c r="BY14" s="548"/>
      <c r="BZ14" s="548"/>
      <c r="CA14" s="548"/>
      <c r="CB14" s="548"/>
      <c r="CC14" s="548"/>
      <c r="CD14" s="548"/>
      <c r="CE14" s="548"/>
      <c r="CF14" s="548"/>
      <c r="CG14" s="548"/>
      <c r="CH14" s="548"/>
      <c r="CI14" s="548"/>
      <c r="CJ14" s="548"/>
      <c r="CK14" s="548"/>
      <c r="CL14" s="548"/>
      <c r="CM14" s="548"/>
      <c r="CN14" s="548"/>
      <c r="CO14" s="548"/>
      <c r="CP14" s="548"/>
      <c r="CQ14" s="548"/>
      <c r="CR14" s="548"/>
      <c r="CS14" s="548"/>
      <c r="CT14" s="548"/>
      <c r="CU14" s="548"/>
      <c r="CV14" s="548"/>
      <c r="CW14" s="548"/>
      <c r="CX14" s="548"/>
      <c r="CY14" s="548"/>
      <c r="CZ14" s="548"/>
      <c r="DA14" s="548"/>
      <c r="DB14" s="548"/>
      <c r="DC14" s="548"/>
      <c r="DD14" s="548"/>
      <c r="DE14" s="548"/>
      <c r="DF14" s="548"/>
      <c r="DG14" s="548"/>
      <c r="DH14" s="548"/>
      <c r="DI14" s="548"/>
      <c r="DJ14" s="548"/>
      <c r="DK14" s="548"/>
      <c r="DL14" s="548"/>
      <c r="DM14" s="548"/>
      <c r="DN14" s="548"/>
      <c r="DO14" s="548"/>
      <c r="DP14" s="548"/>
      <c r="DQ14" s="548"/>
      <c r="DR14" s="548"/>
      <c r="DS14" s="548"/>
      <c r="DT14" s="548"/>
      <c r="DU14" s="548"/>
      <c r="DV14" s="548"/>
      <c r="DW14" s="548"/>
      <c r="DX14" s="548"/>
      <c r="DY14" s="548"/>
      <c r="DZ14" s="548"/>
      <c r="EA14" s="548"/>
      <c r="EB14" s="548"/>
      <c r="EC14" s="548"/>
      <c r="ED14" s="548"/>
      <c r="EE14" s="548"/>
      <c r="EF14" s="548"/>
      <c r="EG14" s="548"/>
      <c r="EH14" s="548"/>
      <c r="EI14" s="548"/>
      <c r="EJ14" s="548"/>
      <c r="EK14" s="548"/>
      <c r="EL14" s="548"/>
      <c r="EM14" s="548"/>
      <c r="EN14" s="548"/>
      <c r="EO14" s="548"/>
      <c r="EP14" s="548"/>
      <c r="EQ14" s="548"/>
      <c r="ER14" s="548"/>
      <c r="ES14" s="548"/>
      <c r="ET14" s="548"/>
      <c r="EU14" s="548"/>
      <c r="EV14" s="548"/>
      <c r="EW14" s="548"/>
      <c r="EX14" s="548"/>
      <c r="EY14" s="548"/>
      <c r="EZ14" s="548"/>
      <c r="FA14" s="548"/>
      <c r="FB14" s="548"/>
      <c r="FC14" s="548"/>
      <c r="FD14" s="548"/>
      <c r="FE14" s="548"/>
      <c r="FF14" s="548"/>
      <c r="FG14" s="548"/>
      <c r="FH14" s="548"/>
      <c r="FI14" s="548"/>
      <c r="FJ14" s="548"/>
      <c r="FK14" s="548"/>
      <c r="FL14" s="548"/>
      <c r="FM14" s="548"/>
      <c r="FN14" s="548"/>
      <c r="FO14" s="548"/>
      <c r="FP14" s="548"/>
      <c r="FQ14" s="548"/>
      <c r="FR14" s="548"/>
      <c r="FS14" s="548"/>
      <c r="FT14" s="548"/>
      <c r="FU14" s="548"/>
      <c r="FV14" s="548"/>
      <c r="FW14" s="548"/>
      <c r="FX14" s="548"/>
      <c r="FY14" s="548"/>
      <c r="FZ14" s="548"/>
      <c r="GA14" s="548"/>
      <c r="GB14" s="548"/>
      <c r="GC14" s="548"/>
      <c r="GD14" s="548"/>
      <c r="GE14" s="548"/>
      <c r="GF14" s="548"/>
      <c r="GG14" s="548"/>
      <c r="GH14" s="548"/>
      <c r="GI14" s="548"/>
      <c r="GJ14" s="548"/>
      <c r="GK14" s="548"/>
      <c r="GL14" s="548"/>
      <c r="GM14" s="548"/>
      <c r="GN14" s="548"/>
      <c r="GO14" s="548"/>
      <c r="GP14" s="548"/>
      <c r="GQ14" s="548"/>
      <c r="GR14" s="548"/>
      <c r="GS14" s="548"/>
      <c r="GT14" s="548"/>
      <c r="GU14" s="548"/>
      <c r="GV14" s="548"/>
      <c r="GW14" s="548"/>
      <c r="GX14" s="548"/>
      <c r="GY14" s="548"/>
      <c r="GZ14" s="548"/>
      <c r="HA14" s="548"/>
      <c r="HB14" s="548"/>
      <c r="HC14" s="548"/>
      <c r="HD14" s="548"/>
      <c r="HE14" s="548"/>
      <c r="HF14" s="548"/>
      <c r="HG14" s="548"/>
      <c r="HH14" s="548"/>
      <c r="HI14" s="548"/>
      <c r="HJ14" s="548"/>
      <c r="HK14" s="548"/>
      <c r="HL14" s="548"/>
      <c r="HM14" s="548"/>
      <c r="HN14" s="548"/>
      <c r="HO14" s="548"/>
      <c r="HP14" s="548"/>
      <c r="HQ14" s="548"/>
      <c r="HR14" s="548"/>
      <c r="HS14" s="548"/>
      <c r="HT14" s="548"/>
      <c r="HU14" s="548"/>
      <c r="HV14" s="548"/>
      <c r="HW14" s="548"/>
      <c r="HX14" s="548"/>
      <c r="HY14" s="548"/>
      <c r="HZ14" s="548"/>
      <c r="IA14" s="548"/>
      <c r="IB14" s="548"/>
      <c r="IC14" s="548"/>
      <c r="ID14" s="548"/>
      <c r="IE14" s="548"/>
      <c r="IF14" s="548"/>
      <c r="IG14" s="548"/>
      <c r="IH14" s="548"/>
      <c r="II14" s="548"/>
      <c r="IJ14" s="548"/>
      <c r="IK14" s="548"/>
      <c r="IL14" s="548"/>
      <c r="IM14" s="548"/>
    </row>
    <row r="15" spans="1:247" s="549" customFormat="1" x14ac:dyDescent="0.25">
      <c r="A15" s="558" t="s">
        <v>22</v>
      </c>
      <c r="B15" s="558"/>
      <c r="C15" s="558"/>
      <c r="D15" s="558"/>
      <c r="E15" s="558"/>
      <c r="F15" s="338"/>
      <c r="G15" s="553" t="s">
        <v>308</v>
      </c>
      <c r="H15" s="554"/>
      <c r="I15" s="546"/>
      <c r="J15" s="546"/>
      <c r="K15" s="546"/>
      <c r="L15" s="546"/>
      <c r="M15" s="547"/>
      <c r="N15" s="547"/>
      <c r="O15" s="547"/>
      <c r="P15" s="547"/>
      <c r="Q15" s="547"/>
      <c r="R15" s="547"/>
      <c r="S15" s="547"/>
      <c r="T15" s="547"/>
      <c r="U15" s="547"/>
      <c r="V15" s="548"/>
      <c r="W15" s="548"/>
      <c r="X15" s="548"/>
      <c r="Y15" s="548"/>
      <c r="Z15" s="548"/>
      <c r="AA15" s="548"/>
      <c r="AB15" s="548"/>
      <c r="AC15" s="548"/>
      <c r="AD15" s="548"/>
      <c r="AE15" s="548"/>
      <c r="AF15" s="548"/>
      <c r="AG15" s="548"/>
      <c r="AH15" s="548"/>
      <c r="AI15" s="548"/>
      <c r="AJ15" s="548"/>
      <c r="AK15" s="548"/>
      <c r="AL15" s="548"/>
      <c r="AM15" s="548"/>
      <c r="AN15" s="548"/>
      <c r="AO15" s="548"/>
      <c r="AP15" s="548"/>
      <c r="AQ15" s="548"/>
      <c r="AR15" s="548"/>
      <c r="AS15" s="548"/>
      <c r="AT15" s="548"/>
      <c r="AU15" s="548"/>
      <c r="AV15" s="548"/>
      <c r="AW15" s="548"/>
      <c r="AX15" s="548"/>
      <c r="AY15" s="548"/>
      <c r="AZ15" s="548"/>
      <c r="BA15" s="548"/>
      <c r="BB15" s="548"/>
      <c r="BC15" s="548"/>
      <c r="BD15" s="548"/>
      <c r="BE15" s="548"/>
      <c r="BF15" s="548"/>
      <c r="BG15" s="548"/>
      <c r="BH15" s="548"/>
      <c r="BI15" s="548"/>
      <c r="BJ15" s="548"/>
      <c r="BK15" s="548"/>
      <c r="BL15" s="548"/>
      <c r="BM15" s="548"/>
      <c r="BN15" s="548"/>
      <c r="BO15" s="548"/>
      <c r="BP15" s="548"/>
      <c r="BQ15" s="548"/>
      <c r="BR15" s="548"/>
      <c r="BS15" s="548"/>
      <c r="BT15" s="548"/>
      <c r="BU15" s="548"/>
      <c r="BV15" s="548"/>
      <c r="BW15" s="548"/>
      <c r="BX15" s="548"/>
      <c r="BY15" s="548"/>
      <c r="BZ15" s="548"/>
      <c r="CA15" s="548"/>
      <c r="CB15" s="548"/>
      <c r="CC15" s="548"/>
      <c r="CD15" s="548"/>
      <c r="CE15" s="548"/>
      <c r="CF15" s="548"/>
      <c r="CG15" s="548"/>
      <c r="CH15" s="548"/>
      <c r="CI15" s="548"/>
      <c r="CJ15" s="548"/>
      <c r="CK15" s="548"/>
      <c r="CL15" s="548"/>
      <c r="CM15" s="548"/>
      <c r="CN15" s="548"/>
      <c r="CO15" s="548"/>
      <c r="CP15" s="548"/>
      <c r="CQ15" s="548"/>
      <c r="CR15" s="548"/>
      <c r="CS15" s="548"/>
      <c r="CT15" s="548"/>
      <c r="CU15" s="548"/>
      <c r="CV15" s="548"/>
      <c r="CW15" s="548"/>
      <c r="CX15" s="548"/>
      <c r="CY15" s="548"/>
      <c r="CZ15" s="548"/>
      <c r="DA15" s="548"/>
      <c r="DB15" s="548"/>
      <c r="DC15" s="548"/>
      <c r="DD15" s="548"/>
      <c r="DE15" s="548"/>
      <c r="DF15" s="548"/>
      <c r="DG15" s="548"/>
      <c r="DH15" s="548"/>
      <c r="DI15" s="548"/>
      <c r="DJ15" s="548"/>
      <c r="DK15" s="548"/>
      <c r="DL15" s="548"/>
      <c r="DM15" s="548"/>
      <c r="DN15" s="548"/>
      <c r="DO15" s="548"/>
      <c r="DP15" s="548"/>
      <c r="DQ15" s="548"/>
      <c r="DR15" s="548"/>
      <c r="DS15" s="548"/>
      <c r="DT15" s="548"/>
      <c r="DU15" s="548"/>
      <c r="DV15" s="548"/>
      <c r="DW15" s="548"/>
      <c r="DX15" s="548"/>
      <c r="DY15" s="548"/>
      <c r="DZ15" s="548"/>
      <c r="EA15" s="548"/>
      <c r="EB15" s="548"/>
      <c r="EC15" s="548"/>
      <c r="ED15" s="548"/>
      <c r="EE15" s="548"/>
      <c r="EF15" s="548"/>
      <c r="EG15" s="548"/>
      <c r="EH15" s="548"/>
      <c r="EI15" s="548"/>
      <c r="EJ15" s="548"/>
      <c r="EK15" s="548"/>
      <c r="EL15" s="548"/>
      <c r="EM15" s="548"/>
      <c r="EN15" s="548"/>
      <c r="EO15" s="548"/>
      <c r="EP15" s="548"/>
      <c r="EQ15" s="548"/>
      <c r="ER15" s="548"/>
      <c r="ES15" s="548"/>
      <c r="ET15" s="548"/>
      <c r="EU15" s="548"/>
      <c r="EV15" s="548"/>
      <c r="EW15" s="548"/>
      <c r="EX15" s="548"/>
      <c r="EY15" s="548"/>
      <c r="EZ15" s="548"/>
      <c r="FA15" s="548"/>
      <c r="FB15" s="548"/>
      <c r="FC15" s="548"/>
      <c r="FD15" s="548"/>
      <c r="FE15" s="548"/>
      <c r="FF15" s="548"/>
      <c r="FG15" s="548"/>
      <c r="FH15" s="548"/>
      <c r="FI15" s="548"/>
      <c r="FJ15" s="548"/>
      <c r="FK15" s="548"/>
      <c r="FL15" s="548"/>
      <c r="FM15" s="548"/>
      <c r="FN15" s="548"/>
      <c r="FO15" s="548"/>
      <c r="FP15" s="548"/>
      <c r="FQ15" s="548"/>
      <c r="FR15" s="548"/>
      <c r="FS15" s="548"/>
      <c r="FT15" s="548"/>
      <c r="FU15" s="548"/>
      <c r="FV15" s="548"/>
      <c r="FW15" s="548"/>
      <c r="FX15" s="548"/>
      <c r="FY15" s="548"/>
      <c r="FZ15" s="548"/>
      <c r="GA15" s="548"/>
      <c r="GB15" s="548"/>
      <c r="GC15" s="548"/>
      <c r="GD15" s="548"/>
      <c r="GE15" s="548"/>
      <c r="GF15" s="548"/>
      <c r="GG15" s="548"/>
      <c r="GH15" s="548"/>
      <c r="GI15" s="548"/>
      <c r="GJ15" s="548"/>
      <c r="GK15" s="548"/>
      <c r="GL15" s="548"/>
      <c r="GM15" s="548"/>
      <c r="GN15" s="548"/>
      <c r="GO15" s="548"/>
      <c r="GP15" s="548"/>
      <c r="GQ15" s="548"/>
      <c r="GR15" s="548"/>
      <c r="GS15" s="548"/>
      <c r="GT15" s="548"/>
      <c r="GU15" s="548"/>
      <c r="GV15" s="548"/>
      <c r="GW15" s="548"/>
      <c r="GX15" s="548"/>
      <c r="GY15" s="548"/>
      <c r="GZ15" s="548"/>
      <c r="HA15" s="548"/>
      <c r="HB15" s="548"/>
      <c r="HC15" s="548"/>
      <c r="HD15" s="548"/>
      <c r="HE15" s="548"/>
      <c r="HF15" s="548"/>
      <c r="HG15" s="548"/>
      <c r="HH15" s="548"/>
      <c r="HI15" s="548"/>
      <c r="HJ15" s="548"/>
      <c r="HK15" s="548"/>
      <c r="HL15" s="548"/>
      <c r="HM15" s="548"/>
      <c r="HN15" s="548"/>
      <c r="HO15" s="548"/>
      <c r="HP15" s="548"/>
      <c r="HQ15" s="548"/>
      <c r="HR15" s="548"/>
      <c r="HS15" s="548"/>
      <c r="HT15" s="548"/>
      <c r="HU15" s="548"/>
      <c r="HV15" s="548"/>
      <c r="HW15" s="548"/>
      <c r="HX15" s="548"/>
      <c r="HY15" s="548"/>
      <c r="HZ15" s="548"/>
      <c r="IA15" s="548"/>
      <c r="IB15" s="548"/>
      <c r="IC15" s="548"/>
      <c r="ID15" s="548"/>
      <c r="IE15" s="548"/>
      <c r="IF15" s="548"/>
      <c r="IG15" s="548"/>
      <c r="IH15" s="548"/>
      <c r="II15" s="548"/>
      <c r="IJ15" s="548"/>
      <c r="IK15" s="548"/>
      <c r="IL15" s="548"/>
      <c r="IM15" s="548"/>
    </row>
    <row r="16" spans="1:247" s="549" customFormat="1" x14ac:dyDescent="0.25">
      <c r="A16" s="555" t="s">
        <v>309</v>
      </c>
      <c r="B16" s="555"/>
      <c r="C16" s="555"/>
      <c r="D16" s="555"/>
      <c r="E16" s="555"/>
      <c r="F16" s="382" t="s">
        <v>21</v>
      </c>
      <c r="G16" s="556"/>
      <c r="H16" s="557"/>
      <c r="I16" s="546"/>
      <c r="J16" s="546"/>
      <c r="K16" s="546"/>
      <c r="L16" s="546"/>
      <c r="M16" s="547"/>
      <c r="N16" s="547"/>
      <c r="O16" s="547"/>
      <c r="P16" s="547"/>
      <c r="Q16" s="547"/>
      <c r="R16" s="547"/>
      <c r="S16" s="547"/>
      <c r="T16" s="547"/>
      <c r="U16" s="385" t="e">
        <v>#REF!</v>
      </c>
      <c r="V16" s="548"/>
      <c r="W16" s="548"/>
      <c r="X16" s="548"/>
      <c r="Y16" s="548"/>
      <c r="Z16" s="548"/>
      <c r="AA16" s="548"/>
      <c r="AB16" s="548"/>
      <c r="AC16" s="548"/>
      <c r="AD16" s="548"/>
      <c r="AE16" s="548"/>
      <c r="AF16" s="548"/>
      <c r="AG16" s="548"/>
      <c r="AH16" s="548"/>
      <c r="AI16" s="548"/>
      <c r="AJ16" s="548"/>
      <c r="AK16" s="548"/>
      <c r="AL16" s="548"/>
      <c r="AM16" s="548"/>
      <c r="AN16" s="548"/>
      <c r="AO16" s="548"/>
      <c r="AP16" s="548"/>
      <c r="AQ16" s="548"/>
      <c r="AR16" s="548"/>
      <c r="AS16" s="548"/>
      <c r="AT16" s="548"/>
      <c r="AU16" s="548"/>
      <c r="AV16" s="548"/>
      <c r="AW16" s="548"/>
      <c r="AX16" s="548"/>
      <c r="AY16" s="548"/>
      <c r="AZ16" s="548"/>
      <c r="BA16" s="548"/>
      <c r="BB16" s="548"/>
      <c r="BC16" s="548"/>
      <c r="BD16" s="548"/>
      <c r="BE16" s="548"/>
      <c r="BF16" s="548"/>
      <c r="BG16" s="548"/>
      <c r="BH16" s="548"/>
      <c r="BI16" s="548"/>
      <c r="BJ16" s="548"/>
      <c r="BK16" s="548"/>
      <c r="BL16" s="548"/>
      <c r="BM16" s="548"/>
      <c r="BN16" s="548"/>
      <c r="BO16" s="548"/>
      <c r="BP16" s="548"/>
      <c r="BQ16" s="548"/>
      <c r="BR16" s="548"/>
      <c r="BS16" s="548"/>
      <c r="BT16" s="548"/>
      <c r="BU16" s="548"/>
      <c r="BV16" s="548"/>
      <c r="BW16" s="548"/>
      <c r="BX16" s="548"/>
      <c r="BY16" s="548"/>
      <c r="BZ16" s="548"/>
      <c r="CA16" s="548"/>
      <c r="CB16" s="548"/>
      <c r="CC16" s="548"/>
      <c r="CD16" s="548"/>
      <c r="CE16" s="548"/>
      <c r="CF16" s="548"/>
      <c r="CG16" s="548"/>
      <c r="CH16" s="548"/>
      <c r="CI16" s="548"/>
      <c r="CJ16" s="548"/>
      <c r="CK16" s="548"/>
      <c r="CL16" s="548"/>
      <c r="CM16" s="548"/>
      <c r="CN16" s="548"/>
      <c r="CO16" s="548"/>
      <c r="CP16" s="548"/>
      <c r="CQ16" s="548"/>
      <c r="CR16" s="548"/>
      <c r="CS16" s="548"/>
      <c r="CT16" s="548"/>
      <c r="CU16" s="548"/>
      <c r="CV16" s="548"/>
      <c r="CW16" s="548"/>
      <c r="CX16" s="548"/>
      <c r="CY16" s="548"/>
      <c r="CZ16" s="548"/>
      <c r="DA16" s="548"/>
      <c r="DB16" s="548"/>
      <c r="DC16" s="548"/>
      <c r="DD16" s="548"/>
      <c r="DE16" s="548"/>
      <c r="DF16" s="548"/>
      <c r="DG16" s="548"/>
      <c r="DH16" s="548"/>
      <c r="DI16" s="548"/>
      <c r="DJ16" s="548"/>
      <c r="DK16" s="548"/>
      <c r="DL16" s="548"/>
      <c r="DM16" s="548"/>
      <c r="DN16" s="548"/>
      <c r="DO16" s="548"/>
      <c r="DP16" s="548"/>
      <c r="DQ16" s="548"/>
      <c r="DR16" s="548"/>
      <c r="DS16" s="548"/>
      <c r="DT16" s="548"/>
      <c r="DU16" s="548"/>
      <c r="DV16" s="548"/>
      <c r="DW16" s="548"/>
      <c r="DX16" s="548"/>
      <c r="DY16" s="548"/>
      <c r="DZ16" s="548"/>
      <c r="EA16" s="548"/>
      <c r="EB16" s="548"/>
      <c r="EC16" s="548"/>
      <c r="ED16" s="548"/>
      <c r="EE16" s="548"/>
      <c r="EF16" s="548"/>
      <c r="EG16" s="548"/>
      <c r="EH16" s="548"/>
      <c r="EI16" s="548"/>
      <c r="EJ16" s="548"/>
      <c r="EK16" s="548"/>
      <c r="EL16" s="548"/>
      <c r="EM16" s="548"/>
      <c r="EN16" s="548"/>
      <c r="EO16" s="548"/>
      <c r="EP16" s="548"/>
      <c r="EQ16" s="548"/>
      <c r="ER16" s="548"/>
      <c r="ES16" s="548"/>
      <c r="ET16" s="548"/>
      <c r="EU16" s="548"/>
      <c r="EV16" s="548"/>
      <c r="EW16" s="548"/>
      <c r="EX16" s="548"/>
      <c r="EY16" s="548"/>
      <c r="EZ16" s="548"/>
      <c r="FA16" s="548"/>
      <c r="FB16" s="548"/>
      <c r="FC16" s="548"/>
      <c r="FD16" s="548"/>
      <c r="FE16" s="548"/>
      <c r="FF16" s="548"/>
      <c r="FG16" s="548"/>
      <c r="FH16" s="548"/>
      <c r="FI16" s="548"/>
      <c r="FJ16" s="548"/>
      <c r="FK16" s="548"/>
      <c r="FL16" s="548"/>
      <c r="FM16" s="548"/>
      <c r="FN16" s="548"/>
      <c r="FO16" s="548"/>
      <c r="FP16" s="548"/>
      <c r="FQ16" s="548"/>
      <c r="FR16" s="548"/>
      <c r="FS16" s="548"/>
      <c r="FT16" s="548"/>
      <c r="FU16" s="548"/>
      <c r="FV16" s="548"/>
      <c r="FW16" s="548"/>
      <c r="FX16" s="548"/>
      <c r="FY16" s="548"/>
      <c r="FZ16" s="548"/>
      <c r="GA16" s="548"/>
      <c r="GB16" s="548"/>
      <c r="GC16" s="548"/>
      <c r="GD16" s="548"/>
      <c r="GE16" s="548"/>
      <c r="GF16" s="548"/>
      <c r="GG16" s="548"/>
      <c r="GH16" s="548"/>
      <c r="GI16" s="548"/>
      <c r="GJ16" s="548"/>
      <c r="GK16" s="548"/>
      <c r="GL16" s="548"/>
      <c r="GM16" s="548"/>
      <c r="GN16" s="548"/>
      <c r="GO16" s="548"/>
      <c r="GP16" s="548"/>
      <c r="GQ16" s="548"/>
      <c r="GR16" s="548"/>
      <c r="GS16" s="548"/>
      <c r="GT16" s="548"/>
      <c r="GU16" s="548"/>
      <c r="GV16" s="548"/>
      <c r="GW16" s="548"/>
      <c r="GX16" s="548"/>
      <c r="GY16" s="548"/>
      <c r="GZ16" s="548"/>
      <c r="HA16" s="548"/>
      <c r="HB16" s="548"/>
      <c r="HC16" s="548"/>
      <c r="HD16" s="548"/>
      <c r="HE16" s="548"/>
      <c r="HF16" s="548"/>
      <c r="HG16" s="548"/>
      <c r="HH16" s="548"/>
      <c r="HI16" s="548"/>
      <c r="HJ16" s="548"/>
      <c r="HK16" s="548"/>
      <c r="HL16" s="548"/>
      <c r="HM16" s="548"/>
      <c r="HN16" s="548"/>
      <c r="HO16" s="548"/>
      <c r="HP16" s="548"/>
      <c r="HQ16" s="548"/>
      <c r="HR16" s="548"/>
      <c r="HS16" s="548"/>
      <c r="HT16" s="548"/>
      <c r="HU16" s="548"/>
      <c r="HV16" s="548"/>
      <c r="HW16" s="548"/>
      <c r="HX16" s="548"/>
      <c r="HY16" s="548"/>
      <c r="HZ16" s="548"/>
      <c r="IA16" s="548"/>
      <c r="IB16" s="548"/>
      <c r="IC16" s="548"/>
      <c r="ID16" s="548"/>
      <c r="IE16" s="548"/>
      <c r="IF16" s="548"/>
      <c r="IG16" s="548"/>
      <c r="IH16" s="548"/>
      <c r="II16" s="548"/>
      <c r="IJ16" s="548"/>
      <c r="IK16" s="548"/>
      <c r="IL16" s="548"/>
      <c r="IM16" s="548"/>
    </row>
    <row r="17" spans="1:247" s="549" customFormat="1" x14ac:dyDescent="0.25">
      <c r="A17" s="558" t="s">
        <v>22</v>
      </c>
      <c r="B17" s="558"/>
      <c r="C17" s="558"/>
      <c r="D17" s="558"/>
      <c r="E17" s="558"/>
      <c r="F17" s="338"/>
      <c r="G17" s="553" t="s">
        <v>310</v>
      </c>
      <c r="H17" s="554"/>
      <c r="I17" s="546"/>
      <c r="J17" s="546"/>
      <c r="K17" s="546"/>
      <c r="L17" s="546"/>
      <c r="M17" s="547"/>
      <c r="N17" s="547"/>
      <c r="O17" s="547"/>
      <c r="P17" s="547"/>
      <c r="Q17" s="547"/>
      <c r="R17" s="547"/>
      <c r="S17" s="547"/>
      <c r="T17" s="547"/>
      <c r="U17" s="547"/>
      <c r="V17" s="548"/>
      <c r="W17" s="548"/>
      <c r="X17" s="548"/>
      <c r="Y17" s="548"/>
      <c r="Z17" s="548"/>
      <c r="AA17" s="548"/>
      <c r="AB17" s="548"/>
      <c r="AC17" s="548"/>
      <c r="AD17" s="548"/>
      <c r="AE17" s="548"/>
      <c r="AF17" s="548"/>
      <c r="AG17" s="548"/>
      <c r="AH17" s="548"/>
      <c r="AI17" s="548"/>
      <c r="AJ17" s="548"/>
      <c r="AK17" s="548"/>
      <c r="AL17" s="548"/>
      <c r="AM17" s="548"/>
      <c r="AN17" s="548"/>
      <c r="AO17" s="548"/>
      <c r="AP17" s="548"/>
      <c r="AQ17" s="548"/>
      <c r="AR17" s="548"/>
      <c r="AS17" s="548"/>
      <c r="AT17" s="548"/>
      <c r="AU17" s="548"/>
      <c r="AV17" s="548"/>
      <c r="AW17" s="548"/>
      <c r="AX17" s="548"/>
      <c r="AY17" s="548"/>
      <c r="AZ17" s="548"/>
      <c r="BA17" s="548"/>
      <c r="BB17" s="548"/>
      <c r="BC17" s="548"/>
      <c r="BD17" s="548"/>
      <c r="BE17" s="548"/>
      <c r="BF17" s="548"/>
      <c r="BG17" s="548"/>
      <c r="BH17" s="548"/>
      <c r="BI17" s="548"/>
      <c r="BJ17" s="548"/>
      <c r="BK17" s="548"/>
      <c r="BL17" s="548"/>
      <c r="BM17" s="548"/>
      <c r="BN17" s="548"/>
      <c r="BO17" s="548"/>
      <c r="BP17" s="548"/>
      <c r="BQ17" s="548"/>
      <c r="BR17" s="548"/>
      <c r="BS17" s="548"/>
      <c r="BT17" s="548"/>
      <c r="BU17" s="548"/>
      <c r="BV17" s="548"/>
      <c r="BW17" s="548"/>
      <c r="BX17" s="548"/>
      <c r="BY17" s="548"/>
      <c r="BZ17" s="548"/>
      <c r="CA17" s="548"/>
      <c r="CB17" s="548"/>
      <c r="CC17" s="548"/>
      <c r="CD17" s="548"/>
      <c r="CE17" s="548"/>
      <c r="CF17" s="548"/>
      <c r="CG17" s="548"/>
      <c r="CH17" s="548"/>
      <c r="CI17" s="548"/>
      <c r="CJ17" s="548"/>
      <c r="CK17" s="548"/>
      <c r="CL17" s="548"/>
      <c r="CM17" s="548"/>
      <c r="CN17" s="548"/>
      <c r="CO17" s="548"/>
      <c r="CP17" s="548"/>
      <c r="CQ17" s="548"/>
      <c r="CR17" s="548"/>
      <c r="CS17" s="548"/>
      <c r="CT17" s="548"/>
      <c r="CU17" s="548"/>
      <c r="CV17" s="548"/>
      <c r="CW17" s="548"/>
      <c r="CX17" s="548"/>
      <c r="CY17" s="548"/>
      <c r="CZ17" s="548"/>
      <c r="DA17" s="548"/>
      <c r="DB17" s="548"/>
      <c r="DC17" s="548"/>
      <c r="DD17" s="548"/>
      <c r="DE17" s="548"/>
      <c r="DF17" s="548"/>
      <c r="DG17" s="548"/>
      <c r="DH17" s="548"/>
      <c r="DI17" s="548"/>
      <c r="DJ17" s="548"/>
      <c r="DK17" s="548"/>
      <c r="DL17" s="548"/>
      <c r="DM17" s="548"/>
      <c r="DN17" s="548"/>
      <c r="DO17" s="548"/>
      <c r="DP17" s="548"/>
      <c r="DQ17" s="548"/>
      <c r="DR17" s="548"/>
      <c r="DS17" s="548"/>
      <c r="DT17" s="548"/>
      <c r="DU17" s="548"/>
      <c r="DV17" s="548"/>
      <c r="DW17" s="548"/>
      <c r="DX17" s="548"/>
      <c r="DY17" s="548"/>
      <c r="DZ17" s="548"/>
      <c r="EA17" s="548"/>
      <c r="EB17" s="548"/>
      <c r="EC17" s="548"/>
      <c r="ED17" s="548"/>
      <c r="EE17" s="548"/>
      <c r="EF17" s="548"/>
      <c r="EG17" s="548"/>
      <c r="EH17" s="548"/>
      <c r="EI17" s="548"/>
      <c r="EJ17" s="548"/>
      <c r="EK17" s="548"/>
      <c r="EL17" s="548"/>
      <c r="EM17" s="548"/>
      <c r="EN17" s="548"/>
      <c r="EO17" s="548"/>
      <c r="EP17" s="548"/>
      <c r="EQ17" s="548"/>
      <c r="ER17" s="548"/>
      <c r="ES17" s="548"/>
      <c r="ET17" s="548"/>
      <c r="EU17" s="548"/>
      <c r="EV17" s="548"/>
      <c r="EW17" s="548"/>
      <c r="EX17" s="548"/>
      <c r="EY17" s="548"/>
      <c r="EZ17" s="548"/>
      <c r="FA17" s="548"/>
      <c r="FB17" s="548"/>
      <c r="FC17" s="548"/>
      <c r="FD17" s="548"/>
      <c r="FE17" s="548"/>
      <c r="FF17" s="548"/>
      <c r="FG17" s="548"/>
      <c r="FH17" s="548"/>
      <c r="FI17" s="548"/>
      <c r="FJ17" s="548"/>
      <c r="FK17" s="548"/>
      <c r="FL17" s="548"/>
      <c r="FM17" s="548"/>
      <c r="FN17" s="548"/>
      <c r="FO17" s="548"/>
      <c r="FP17" s="548"/>
      <c r="FQ17" s="548"/>
      <c r="FR17" s="548"/>
      <c r="FS17" s="548"/>
      <c r="FT17" s="548"/>
      <c r="FU17" s="548"/>
      <c r="FV17" s="548"/>
      <c r="FW17" s="548"/>
      <c r="FX17" s="548"/>
      <c r="FY17" s="548"/>
      <c r="FZ17" s="548"/>
      <c r="GA17" s="548"/>
      <c r="GB17" s="548"/>
      <c r="GC17" s="548"/>
      <c r="GD17" s="548"/>
      <c r="GE17" s="548"/>
      <c r="GF17" s="548"/>
      <c r="GG17" s="548"/>
      <c r="GH17" s="548"/>
      <c r="GI17" s="548"/>
      <c r="GJ17" s="548"/>
      <c r="GK17" s="548"/>
      <c r="GL17" s="548"/>
      <c r="GM17" s="548"/>
      <c r="GN17" s="548"/>
      <c r="GO17" s="548"/>
      <c r="GP17" s="548"/>
      <c r="GQ17" s="548"/>
      <c r="GR17" s="548"/>
      <c r="GS17" s="548"/>
      <c r="GT17" s="548"/>
      <c r="GU17" s="548"/>
      <c r="GV17" s="548"/>
      <c r="GW17" s="548"/>
      <c r="GX17" s="548"/>
      <c r="GY17" s="548"/>
      <c r="GZ17" s="548"/>
      <c r="HA17" s="548"/>
      <c r="HB17" s="548"/>
      <c r="HC17" s="548"/>
      <c r="HD17" s="548"/>
      <c r="HE17" s="548"/>
      <c r="HF17" s="548"/>
      <c r="HG17" s="548"/>
      <c r="HH17" s="548"/>
      <c r="HI17" s="548"/>
      <c r="HJ17" s="548"/>
      <c r="HK17" s="548"/>
      <c r="HL17" s="548"/>
      <c r="HM17" s="548"/>
      <c r="HN17" s="548"/>
      <c r="HO17" s="548"/>
      <c r="HP17" s="548"/>
      <c r="HQ17" s="548"/>
      <c r="HR17" s="548"/>
      <c r="HS17" s="548"/>
      <c r="HT17" s="548"/>
      <c r="HU17" s="548"/>
      <c r="HV17" s="548"/>
      <c r="HW17" s="548"/>
      <c r="HX17" s="548"/>
      <c r="HY17" s="548"/>
      <c r="HZ17" s="548"/>
      <c r="IA17" s="548"/>
      <c r="IB17" s="548"/>
      <c r="IC17" s="548"/>
      <c r="ID17" s="548"/>
      <c r="IE17" s="548"/>
      <c r="IF17" s="548"/>
      <c r="IG17" s="548"/>
      <c r="IH17" s="548"/>
      <c r="II17" s="548"/>
      <c r="IJ17" s="548"/>
      <c r="IK17" s="548"/>
      <c r="IL17" s="548"/>
      <c r="IM17" s="548"/>
    </row>
    <row r="18" spans="1:247" s="549" customFormat="1" ht="31.5" customHeight="1" x14ac:dyDescent="0.25">
      <c r="A18" s="555" t="s">
        <v>311</v>
      </c>
      <c r="B18" s="555"/>
      <c r="C18" s="555"/>
      <c r="D18" s="555"/>
      <c r="E18" s="555"/>
      <c r="F18" s="382" t="s">
        <v>21</v>
      </c>
      <c r="G18" s="556"/>
      <c r="H18" s="557"/>
      <c r="I18" s="546"/>
      <c r="J18" s="546"/>
      <c r="K18" s="546"/>
      <c r="L18" s="546"/>
      <c r="M18" s="547"/>
      <c r="N18" s="547"/>
      <c r="O18" s="547"/>
      <c r="P18" s="547"/>
      <c r="Q18" s="547"/>
      <c r="R18" s="547"/>
      <c r="S18" s="547"/>
      <c r="T18" s="547"/>
      <c r="U18" s="385" t="e">
        <v>#REF!</v>
      </c>
      <c r="V18" s="548"/>
      <c r="W18" s="548"/>
      <c r="X18" s="548"/>
      <c r="Y18" s="548"/>
      <c r="Z18" s="548"/>
      <c r="AA18" s="548"/>
      <c r="AB18" s="548"/>
      <c r="AC18" s="548"/>
      <c r="AD18" s="548"/>
      <c r="AE18" s="548"/>
      <c r="AF18" s="548"/>
      <c r="AG18" s="548"/>
      <c r="AH18" s="548"/>
      <c r="AI18" s="548"/>
      <c r="AJ18" s="548"/>
      <c r="AK18" s="548"/>
      <c r="AL18" s="548"/>
      <c r="AM18" s="548"/>
      <c r="AN18" s="548"/>
      <c r="AO18" s="548"/>
      <c r="AP18" s="548"/>
      <c r="AQ18" s="548"/>
      <c r="AR18" s="548"/>
      <c r="AS18" s="548"/>
      <c r="AT18" s="548"/>
      <c r="AU18" s="548"/>
      <c r="AV18" s="548"/>
      <c r="AW18" s="548"/>
      <c r="AX18" s="548"/>
      <c r="AY18" s="548"/>
      <c r="AZ18" s="548"/>
      <c r="BA18" s="548"/>
      <c r="BB18" s="548"/>
      <c r="BC18" s="548"/>
      <c r="BD18" s="548"/>
      <c r="BE18" s="548"/>
      <c r="BF18" s="548"/>
      <c r="BG18" s="548"/>
      <c r="BH18" s="548"/>
      <c r="BI18" s="548"/>
      <c r="BJ18" s="548"/>
      <c r="BK18" s="548"/>
      <c r="BL18" s="548"/>
      <c r="BM18" s="548"/>
      <c r="BN18" s="548"/>
      <c r="BO18" s="548"/>
      <c r="BP18" s="548"/>
      <c r="BQ18" s="548"/>
      <c r="BR18" s="548"/>
      <c r="BS18" s="548"/>
      <c r="BT18" s="548"/>
      <c r="BU18" s="548"/>
      <c r="BV18" s="548"/>
      <c r="BW18" s="548"/>
      <c r="BX18" s="548"/>
      <c r="BY18" s="548"/>
      <c r="BZ18" s="548"/>
      <c r="CA18" s="548"/>
      <c r="CB18" s="548"/>
      <c r="CC18" s="548"/>
      <c r="CD18" s="548"/>
      <c r="CE18" s="548"/>
      <c r="CF18" s="548"/>
      <c r="CG18" s="548"/>
      <c r="CH18" s="548"/>
      <c r="CI18" s="548"/>
      <c r="CJ18" s="548"/>
      <c r="CK18" s="548"/>
      <c r="CL18" s="548"/>
      <c r="CM18" s="548"/>
      <c r="CN18" s="548"/>
      <c r="CO18" s="548"/>
      <c r="CP18" s="548"/>
      <c r="CQ18" s="548"/>
      <c r="CR18" s="548"/>
      <c r="CS18" s="548"/>
      <c r="CT18" s="548"/>
      <c r="CU18" s="548"/>
      <c r="CV18" s="548"/>
      <c r="CW18" s="548"/>
      <c r="CX18" s="548"/>
      <c r="CY18" s="548"/>
      <c r="CZ18" s="548"/>
      <c r="DA18" s="548"/>
      <c r="DB18" s="548"/>
      <c r="DC18" s="548"/>
      <c r="DD18" s="548"/>
      <c r="DE18" s="548"/>
      <c r="DF18" s="548"/>
      <c r="DG18" s="548"/>
      <c r="DH18" s="548"/>
      <c r="DI18" s="548"/>
      <c r="DJ18" s="548"/>
      <c r="DK18" s="548"/>
      <c r="DL18" s="548"/>
      <c r="DM18" s="548"/>
      <c r="DN18" s="548"/>
      <c r="DO18" s="548"/>
      <c r="DP18" s="548"/>
      <c r="DQ18" s="548"/>
      <c r="DR18" s="548"/>
      <c r="DS18" s="548"/>
      <c r="DT18" s="548"/>
      <c r="DU18" s="548"/>
      <c r="DV18" s="548"/>
      <c r="DW18" s="548"/>
      <c r="DX18" s="548"/>
      <c r="DY18" s="548"/>
      <c r="DZ18" s="548"/>
      <c r="EA18" s="548"/>
      <c r="EB18" s="548"/>
      <c r="EC18" s="548"/>
      <c r="ED18" s="548"/>
      <c r="EE18" s="548"/>
      <c r="EF18" s="548"/>
      <c r="EG18" s="548"/>
      <c r="EH18" s="548"/>
      <c r="EI18" s="548"/>
      <c r="EJ18" s="548"/>
      <c r="EK18" s="548"/>
      <c r="EL18" s="548"/>
      <c r="EM18" s="548"/>
      <c r="EN18" s="548"/>
      <c r="EO18" s="548"/>
      <c r="EP18" s="548"/>
      <c r="EQ18" s="548"/>
      <c r="ER18" s="548"/>
      <c r="ES18" s="548"/>
      <c r="ET18" s="548"/>
      <c r="EU18" s="548"/>
      <c r="EV18" s="548"/>
      <c r="EW18" s="548"/>
      <c r="EX18" s="548"/>
      <c r="EY18" s="548"/>
      <c r="EZ18" s="548"/>
      <c r="FA18" s="548"/>
      <c r="FB18" s="548"/>
      <c r="FC18" s="548"/>
      <c r="FD18" s="548"/>
      <c r="FE18" s="548"/>
      <c r="FF18" s="548"/>
      <c r="FG18" s="548"/>
      <c r="FH18" s="548"/>
      <c r="FI18" s="548"/>
      <c r="FJ18" s="548"/>
      <c r="FK18" s="548"/>
      <c r="FL18" s="548"/>
      <c r="FM18" s="548"/>
      <c r="FN18" s="548"/>
      <c r="FO18" s="548"/>
      <c r="FP18" s="548"/>
      <c r="FQ18" s="548"/>
      <c r="FR18" s="548"/>
      <c r="FS18" s="548"/>
      <c r="FT18" s="548"/>
      <c r="FU18" s="548"/>
      <c r="FV18" s="548"/>
      <c r="FW18" s="548"/>
      <c r="FX18" s="548"/>
      <c r="FY18" s="548"/>
      <c r="FZ18" s="548"/>
      <c r="GA18" s="548"/>
      <c r="GB18" s="548"/>
      <c r="GC18" s="548"/>
      <c r="GD18" s="548"/>
      <c r="GE18" s="548"/>
      <c r="GF18" s="548"/>
      <c r="GG18" s="548"/>
      <c r="GH18" s="548"/>
      <c r="GI18" s="548"/>
      <c r="GJ18" s="548"/>
      <c r="GK18" s="548"/>
      <c r="GL18" s="548"/>
      <c r="GM18" s="548"/>
      <c r="GN18" s="548"/>
      <c r="GO18" s="548"/>
      <c r="GP18" s="548"/>
      <c r="GQ18" s="548"/>
      <c r="GR18" s="548"/>
      <c r="GS18" s="548"/>
      <c r="GT18" s="548"/>
      <c r="GU18" s="548"/>
      <c r="GV18" s="548"/>
      <c r="GW18" s="548"/>
      <c r="GX18" s="548"/>
      <c r="GY18" s="548"/>
      <c r="GZ18" s="548"/>
      <c r="HA18" s="548"/>
      <c r="HB18" s="548"/>
      <c r="HC18" s="548"/>
      <c r="HD18" s="548"/>
      <c r="HE18" s="548"/>
      <c r="HF18" s="548"/>
      <c r="HG18" s="548"/>
      <c r="HH18" s="548"/>
      <c r="HI18" s="548"/>
      <c r="HJ18" s="548"/>
      <c r="HK18" s="548"/>
      <c r="HL18" s="548"/>
      <c r="HM18" s="548"/>
      <c r="HN18" s="548"/>
      <c r="HO18" s="548"/>
      <c r="HP18" s="548"/>
      <c r="HQ18" s="548"/>
      <c r="HR18" s="548"/>
      <c r="HS18" s="548"/>
      <c r="HT18" s="548"/>
      <c r="HU18" s="548"/>
      <c r="HV18" s="548"/>
      <c r="HW18" s="548"/>
      <c r="HX18" s="548"/>
      <c r="HY18" s="548"/>
      <c r="HZ18" s="548"/>
      <c r="IA18" s="548"/>
      <c r="IB18" s="548"/>
      <c r="IC18" s="548"/>
      <c r="ID18" s="548"/>
      <c r="IE18" s="548"/>
      <c r="IF18" s="548"/>
      <c r="IG18" s="548"/>
      <c r="IH18" s="548"/>
      <c r="II18" s="548"/>
      <c r="IJ18" s="548"/>
      <c r="IK18" s="548"/>
      <c r="IL18" s="548"/>
      <c r="IM18" s="548"/>
    </row>
    <row r="19" spans="1:247" s="549" customFormat="1" x14ac:dyDescent="0.25">
      <c r="A19" s="558" t="s">
        <v>22</v>
      </c>
      <c r="B19" s="558"/>
      <c r="C19" s="558"/>
      <c r="D19" s="558"/>
      <c r="E19" s="558"/>
      <c r="F19" s="559"/>
      <c r="G19" s="560"/>
      <c r="H19" s="561"/>
      <c r="I19" s="546"/>
      <c r="J19" s="546"/>
      <c r="K19" s="546"/>
      <c r="L19" s="546"/>
      <c r="M19" s="547"/>
      <c r="N19" s="547"/>
      <c r="O19" s="547"/>
      <c r="P19" s="547"/>
      <c r="Q19" s="547"/>
      <c r="R19" s="547"/>
      <c r="S19" s="547"/>
      <c r="T19" s="547"/>
      <c r="U19" s="547"/>
      <c r="V19" s="548"/>
      <c r="W19" s="548"/>
      <c r="X19" s="548"/>
      <c r="Y19" s="548"/>
      <c r="Z19" s="548"/>
      <c r="AA19" s="548"/>
      <c r="AB19" s="548"/>
      <c r="AC19" s="548"/>
      <c r="AD19" s="548"/>
      <c r="AE19" s="548"/>
      <c r="AF19" s="548"/>
      <c r="AG19" s="548"/>
      <c r="AH19" s="548"/>
      <c r="AI19" s="548"/>
      <c r="AJ19" s="548"/>
      <c r="AK19" s="548"/>
      <c r="AL19" s="548"/>
      <c r="AM19" s="548"/>
      <c r="AN19" s="548"/>
      <c r="AO19" s="548"/>
      <c r="AP19" s="548"/>
      <c r="AQ19" s="548"/>
      <c r="AR19" s="548"/>
      <c r="AS19" s="548"/>
      <c r="AT19" s="548"/>
      <c r="AU19" s="548"/>
      <c r="AV19" s="548"/>
      <c r="AW19" s="548"/>
      <c r="AX19" s="548"/>
      <c r="AY19" s="548"/>
      <c r="AZ19" s="548"/>
      <c r="BA19" s="548"/>
      <c r="BB19" s="548"/>
      <c r="BC19" s="548"/>
      <c r="BD19" s="548"/>
      <c r="BE19" s="548"/>
      <c r="BF19" s="548"/>
      <c r="BG19" s="548"/>
      <c r="BH19" s="548"/>
      <c r="BI19" s="548"/>
      <c r="BJ19" s="548"/>
      <c r="BK19" s="548"/>
      <c r="BL19" s="548"/>
      <c r="BM19" s="548"/>
      <c r="BN19" s="548"/>
      <c r="BO19" s="548"/>
      <c r="BP19" s="548"/>
      <c r="BQ19" s="548"/>
      <c r="BR19" s="548"/>
      <c r="BS19" s="548"/>
      <c r="BT19" s="548"/>
      <c r="BU19" s="548"/>
      <c r="BV19" s="548"/>
      <c r="BW19" s="548"/>
      <c r="BX19" s="548"/>
      <c r="BY19" s="548"/>
      <c r="BZ19" s="548"/>
      <c r="CA19" s="548"/>
      <c r="CB19" s="548"/>
      <c r="CC19" s="548"/>
      <c r="CD19" s="548"/>
      <c r="CE19" s="548"/>
      <c r="CF19" s="548"/>
      <c r="CG19" s="548"/>
      <c r="CH19" s="548"/>
      <c r="CI19" s="548"/>
      <c r="CJ19" s="548"/>
      <c r="CK19" s="548"/>
      <c r="CL19" s="548"/>
      <c r="CM19" s="548"/>
      <c r="CN19" s="548"/>
      <c r="CO19" s="548"/>
      <c r="CP19" s="548"/>
      <c r="CQ19" s="548"/>
      <c r="CR19" s="548"/>
      <c r="CS19" s="548"/>
      <c r="CT19" s="548"/>
      <c r="CU19" s="548"/>
      <c r="CV19" s="548"/>
      <c r="CW19" s="548"/>
      <c r="CX19" s="548"/>
      <c r="CY19" s="548"/>
      <c r="CZ19" s="548"/>
      <c r="DA19" s="548"/>
      <c r="DB19" s="548"/>
      <c r="DC19" s="548"/>
      <c r="DD19" s="548"/>
      <c r="DE19" s="548"/>
      <c r="DF19" s="548"/>
      <c r="DG19" s="548"/>
      <c r="DH19" s="548"/>
      <c r="DI19" s="548"/>
      <c r="DJ19" s="548"/>
      <c r="DK19" s="548"/>
      <c r="DL19" s="548"/>
      <c r="DM19" s="548"/>
      <c r="DN19" s="548"/>
      <c r="DO19" s="548"/>
      <c r="DP19" s="548"/>
      <c r="DQ19" s="548"/>
      <c r="DR19" s="548"/>
      <c r="DS19" s="548"/>
      <c r="DT19" s="548"/>
      <c r="DU19" s="548"/>
      <c r="DV19" s="548"/>
      <c r="DW19" s="548"/>
      <c r="DX19" s="548"/>
      <c r="DY19" s="548"/>
      <c r="DZ19" s="548"/>
      <c r="EA19" s="548"/>
      <c r="EB19" s="548"/>
      <c r="EC19" s="548"/>
      <c r="ED19" s="548"/>
      <c r="EE19" s="548"/>
      <c r="EF19" s="548"/>
      <c r="EG19" s="548"/>
      <c r="EH19" s="548"/>
      <c r="EI19" s="548"/>
      <c r="EJ19" s="548"/>
      <c r="EK19" s="548"/>
      <c r="EL19" s="548"/>
      <c r="EM19" s="548"/>
      <c r="EN19" s="548"/>
      <c r="EO19" s="548"/>
      <c r="EP19" s="548"/>
      <c r="EQ19" s="548"/>
      <c r="ER19" s="548"/>
      <c r="ES19" s="548"/>
      <c r="ET19" s="548"/>
      <c r="EU19" s="548"/>
      <c r="EV19" s="548"/>
      <c r="EW19" s="548"/>
      <c r="EX19" s="548"/>
      <c r="EY19" s="548"/>
      <c r="EZ19" s="548"/>
      <c r="FA19" s="548"/>
      <c r="FB19" s="548"/>
      <c r="FC19" s="548"/>
      <c r="FD19" s="548"/>
      <c r="FE19" s="548"/>
      <c r="FF19" s="548"/>
      <c r="FG19" s="548"/>
      <c r="FH19" s="548"/>
      <c r="FI19" s="548"/>
      <c r="FJ19" s="548"/>
      <c r="FK19" s="548"/>
      <c r="FL19" s="548"/>
      <c r="FM19" s="548"/>
      <c r="FN19" s="548"/>
      <c r="FO19" s="548"/>
      <c r="FP19" s="548"/>
      <c r="FQ19" s="548"/>
      <c r="FR19" s="548"/>
      <c r="FS19" s="548"/>
      <c r="FT19" s="548"/>
      <c r="FU19" s="548"/>
      <c r="FV19" s="548"/>
      <c r="FW19" s="548"/>
      <c r="FX19" s="548"/>
      <c r="FY19" s="548"/>
      <c r="FZ19" s="548"/>
      <c r="GA19" s="548"/>
      <c r="GB19" s="548"/>
      <c r="GC19" s="548"/>
      <c r="GD19" s="548"/>
      <c r="GE19" s="548"/>
      <c r="GF19" s="548"/>
      <c r="GG19" s="548"/>
      <c r="GH19" s="548"/>
      <c r="GI19" s="548"/>
      <c r="GJ19" s="548"/>
      <c r="GK19" s="548"/>
      <c r="GL19" s="548"/>
      <c r="GM19" s="548"/>
      <c r="GN19" s="548"/>
      <c r="GO19" s="548"/>
      <c r="GP19" s="548"/>
      <c r="GQ19" s="548"/>
      <c r="GR19" s="548"/>
      <c r="GS19" s="548"/>
      <c r="GT19" s="548"/>
      <c r="GU19" s="548"/>
      <c r="GV19" s="548"/>
      <c r="GW19" s="548"/>
      <c r="GX19" s="548"/>
      <c r="GY19" s="548"/>
      <c r="GZ19" s="548"/>
      <c r="HA19" s="548"/>
      <c r="HB19" s="548"/>
      <c r="HC19" s="548"/>
      <c r="HD19" s="548"/>
      <c r="HE19" s="548"/>
      <c r="HF19" s="548"/>
      <c r="HG19" s="548"/>
      <c r="HH19" s="548"/>
      <c r="HI19" s="548"/>
      <c r="HJ19" s="548"/>
      <c r="HK19" s="548"/>
      <c r="HL19" s="548"/>
      <c r="HM19" s="548"/>
      <c r="HN19" s="548"/>
      <c r="HO19" s="548"/>
      <c r="HP19" s="548"/>
      <c r="HQ19" s="548"/>
      <c r="HR19" s="548"/>
      <c r="HS19" s="548"/>
      <c r="HT19" s="548"/>
      <c r="HU19" s="548"/>
      <c r="HV19" s="548"/>
      <c r="HW19" s="548"/>
      <c r="HX19" s="548"/>
      <c r="HY19" s="548"/>
      <c r="HZ19" s="548"/>
      <c r="IA19" s="548"/>
      <c r="IB19" s="548"/>
      <c r="IC19" s="548"/>
      <c r="ID19" s="548"/>
      <c r="IE19" s="548"/>
      <c r="IF19" s="548"/>
      <c r="IG19" s="548"/>
      <c r="IH19" s="548"/>
      <c r="II19" s="548"/>
      <c r="IJ19" s="548"/>
      <c r="IK19" s="548"/>
      <c r="IL19" s="548"/>
      <c r="IM19" s="548"/>
    </row>
    <row r="20" spans="1:247" s="549" customFormat="1" ht="30" x14ac:dyDescent="0.25">
      <c r="A20" s="555" t="s">
        <v>312</v>
      </c>
      <c r="B20" s="555"/>
      <c r="C20" s="555"/>
      <c r="D20" s="555"/>
      <c r="E20" s="555"/>
      <c r="F20" s="562"/>
      <c r="G20" s="563"/>
      <c r="H20" s="564"/>
      <c r="I20" s="546"/>
      <c r="J20" s="546"/>
      <c r="K20" s="546"/>
      <c r="L20" s="546"/>
      <c r="M20" s="547"/>
      <c r="N20" s="547"/>
      <c r="O20" s="547"/>
      <c r="P20" s="547"/>
      <c r="Q20" s="547"/>
      <c r="R20" s="547"/>
      <c r="S20" s="547"/>
      <c r="T20" s="547"/>
      <c r="U20" s="385" t="s">
        <v>313</v>
      </c>
      <c r="V20" s="548"/>
      <c r="W20" s="548"/>
      <c r="X20" s="548"/>
      <c r="Y20" s="548"/>
      <c r="Z20" s="548"/>
      <c r="AA20" s="548"/>
      <c r="AB20" s="548"/>
      <c r="AC20" s="548"/>
      <c r="AD20" s="548"/>
      <c r="AE20" s="548"/>
      <c r="AF20" s="548"/>
      <c r="AG20" s="548"/>
      <c r="AH20" s="548"/>
      <c r="AI20" s="548"/>
      <c r="AJ20" s="548"/>
      <c r="AK20" s="548"/>
      <c r="AL20" s="548"/>
      <c r="AM20" s="548"/>
      <c r="AN20" s="548"/>
      <c r="AO20" s="548"/>
      <c r="AP20" s="548"/>
      <c r="AQ20" s="548"/>
      <c r="AR20" s="548"/>
      <c r="AS20" s="548"/>
      <c r="AT20" s="548"/>
      <c r="AU20" s="548"/>
      <c r="AV20" s="548"/>
      <c r="AW20" s="548"/>
      <c r="AX20" s="548"/>
      <c r="AY20" s="548"/>
      <c r="AZ20" s="548"/>
      <c r="BA20" s="548"/>
      <c r="BB20" s="548"/>
      <c r="BC20" s="548"/>
      <c r="BD20" s="548"/>
      <c r="BE20" s="548"/>
      <c r="BF20" s="548"/>
      <c r="BG20" s="548"/>
      <c r="BH20" s="548"/>
      <c r="BI20" s="548"/>
      <c r="BJ20" s="548"/>
      <c r="BK20" s="548"/>
      <c r="BL20" s="548"/>
      <c r="BM20" s="548"/>
      <c r="BN20" s="548"/>
      <c r="BO20" s="548"/>
      <c r="BP20" s="548"/>
      <c r="BQ20" s="548"/>
      <c r="BR20" s="548"/>
      <c r="BS20" s="548"/>
      <c r="BT20" s="548"/>
      <c r="BU20" s="548"/>
      <c r="BV20" s="548"/>
      <c r="BW20" s="548"/>
      <c r="BX20" s="548"/>
      <c r="BY20" s="548"/>
      <c r="BZ20" s="548"/>
      <c r="CA20" s="548"/>
      <c r="CB20" s="548"/>
      <c r="CC20" s="548"/>
      <c r="CD20" s="548"/>
      <c r="CE20" s="548"/>
      <c r="CF20" s="548"/>
      <c r="CG20" s="548"/>
      <c r="CH20" s="548"/>
      <c r="CI20" s="548"/>
      <c r="CJ20" s="548"/>
      <c r="CK20" s="548"/>
      <c r="CL20" s="548"/>
      <c r="CM20" s="548"/>
      <c r="CN20" s="548"/>
      <c r="CO20" s="548"/>
      <c r="CP20" s="548"/>
      <c r="CQ20" s="548"/>
      <c r="CR20" s="548"/>
      <c r="CS20" s="548"/>
      <c r="CT20" s="548"/>
      <c r="CU20" s="548"/>
      <c r="CV20" s="548"/>
      <c r="CW20" s="548"/>
      <c r="CX20" s="548"/>
      <c r="CY20" s="548"/>
      <c r="CZ20" s="548"/>
      <c r="DA20" s="548"/>
      <c r="DB20" s="548"/>
      <c r="DC20" s="548"/>
      <c r="DD20" s="548"/>
      <c r="DE20" s="548"/>
      <c r="DF20" s="548"/>
      <c r="DG20" s="548"/>
      <c r="DH20" s="548"/>
      <c r="DI20" s="548"/>
      <c r="DJ20" s="548"/>
      <c r="DK20" s="548"/>
      <c r="DL20" s="548"/>
      <c r="DM20" s="548"/>
      <c r="DN20" s="548"/>
      <c r="DO20" s="548"/>
      <c r="DP20" s="548"/>
      <c r="DQ20" s="548"/>
      <c r="DR20" s="548"/>
      <c r="DS20" s="548"/>
      <c r="DT20" s="548"/>
      <c r="DU20" s="548"/>
      <c r="DV20" s="548"/>
      <c r="DW20" s="548"/>
      <c r="DX20" s="548"/>
      <c r="DY20" s="548"/>
      <c r="DZ20" s="548"/>
      <c r="EA20" s="548"/>
      <c r="EB20" s="548"/>
      <c r="EC20" s="548"/>
      <c r="ED20" s="548"/>
      <c r="EE20" s="548"/>
      <c r="EF20" s="548"/>
      <c r="EG20" s="548"/>
      <c r="EH20" s="548"/>
      <c r="EI20" s="548"/>
      <c r="EJ20" s="548"/>
      <c r="EK20" s="548"/>
      <c r="EL20" s="548"/>
      <c r="EM20" s="548"/>
      <c r="EN20" s="548"/>
      <c r="EO20" s="548"/>
      <c r="EP20" s="548"/>
      <c r="EQ20" s="548"/>
      <c r="ER20" s="548"/>
      <c r="ES20" s="548"/>
      <c r="ET20" s="548"/>
      <c r="EU20" s="548"/>
      <c r="EV20" s="548"/>
      <c r="EW20" s="548"/>
      <c r="EX20" s="548"/>
      <c r="EY20" s="548"/>
      <c r="EZ20" s="548"/>
      <c r="FA20" s="548"/>
      <c r="FB20" s="548"/>
      <c r="FC20" s="548"/>
      <c r="FD20" s="548"/>
      <c r="FE20" s="548"/>
      <c r="FF20" s="548"/>
      <c r="FG20" s="548"/>
      <c r="FH20" s="548"/>
      <c r="FI20" s="548"/>
      <c r="FJ20" s="548"/>
      <c r="FK20" s="548"/>
      <c r="FL20" s="548"/>
      <c r="FM20" s="548"/>
      <c r="FN20" s="548"/>
      <c r="FO20" s="548"/>
      <c r="FP20" s="548"/>
      <c r="FQ20" s="548"/>
      <c r="FR20" s="548"/>
      <c r="FS20" s="548"/>
      <c r="FT20" s="548"/>
      <c r="FU20" s="548"/>
      <c r="FV20" s="548"/>
      <c r="FW20" s="548"/>
      <c r="FX20" s="548"/>
      <c r="FY20" s="548"/>
      <c r="FZ20" s="548"/>
      <c r="GA20" s="548"/>
      <c r="GB20" s="548"/>
      <c r="GC20" s="548"/>
      <c r="GD20" s="548"/>
      <c r="GE20" s="548"/>
      <c r="GF20" s="548"/>
      <c r="GG20" s="548"/>
      <c r="GH20" s="548"/>
      <c r="GI20" s="548"/>
      <c r="GJ20" s="548"/>
      <c r="GK20" s="548"/>
      <c r="GL20" s="548"/>
      <c r="GM20" s="548"/>
      <c r="GN20" s="548"/>
      <c r="GO20" s="548"/>
      <c r="GP20" s="548"/>
      <c r="GQ20" s="548"/>
      <c r="GR20" s="548"/>
      <c r="GS20" s="548"/>
      <c r="GT20" s="548"/>
      <c r="GU20" s="548"/>
      <c r="GV20" s="548"/>
      <c r="GW20" s="548"/>
      <c r="GX20" s="548"/>
      <c r="GY20" s="548"/>
      <c r="GZ20" s="548"/>
      <c r="HA20" s="548"/>
      <c r="HB20" s="548"/>
      <c r="HC20" s="548"/>
      <c r="HD20" s="548"/>
      <c r="HE20" s="548"/>
      <c r="HF20" s="548"/>
      <c r="HG20" s="548"/>
      <c r="HH20" s="548"/>
      <c r="HI20" s="548"/>
      <c r="HJ20" s="548"/>
      <c r="HK20" s="548"/>
      <c r="HL20" s="548"/>
      <c r="HM20" s="548"/>
      <c r="HN20" s="548"/>
      <c r="HO20" s="548"/>
      <c r="HP20" s="548"/>
      <c r="HQ20" s="548"/>
      <c r="HR20" s="548"/>
      <c r="HS20" s="548"/>
      <c r="HT20" s="548"/>
      <c r="HU20" s="548"/>
      <c r="HV20" s="548"/>
      <c r="HW20" s="548"/>
      <c r="HX20" s="548"/>
      <c r="HY20" s="548"/>
      <c r="HZ20" s="548"/>
      <c r="IA20" s="548"/>
      <c r="IB20" s="548"/>
      <c r="IC20" s="548"/>
      <c r="ID20" s="548"/>
      <c r="IE20" s="548"/>
      <c r="IF20" s="548"/>
      <c r="IG20" s="548"/>
      <c r="IH20" s="548"/>
      <c r="II20" s="548"/>
      <c r="IJ20" s="548"/>
      <c r="IK20" s="548"/>
      <c r="IL20" s="548"/>
      <c r="IM20" s="548"/>
    </row>
    <row r="21" spans="1:247" s="549" customFormat="1" x14ac:dyDescent="0.25">
      <c r="A21" s="558" t="s">
        <v>24</v>
      </c>
      <c r="B21" s="558"/>
      <c r="C21" s="558"/>
      <c r="D21" s="558"/>
      <c r="E21" s="558"/>
      <c r="F21" s="559"/>
      <c r="G21" s="560"/>
      <c r="H21" s="561"/>
      <c r="I21" s="546"/>
      <c r="J21" s="546"/>
      <c r="K21" s="546"/>
      <c r="L21" s="546"/>
      <c r="M21" s="547"/>
      <c r="N21" s="547"/>
      <c r="O21" s="547"/>
      <c r="P21" s="547"/>
      <c r="Q21" s="547"/>
      <c r="R21" s="547"/>
      <c r="S21" s="547"/>
      <c r="T21" s="547"/>
      <c r="U21" s="547"/>
      <c r="V21" s="548"/>
      <c r="W21" s="548"/>
      <c r="X21" s="548"/>
      <c r="Y21" s="548"/>
      <c r="Z21" s="548"/>
      <c r="AA21" s="548"/>
      <c r="AB21" s="548"/>
      <c r="AC21" s="548"/>
      <c r="AD21" s="548"/>
      <c r="AE21" s="548"/>
      <c r="AF21" s="548"/>
      <c r="AG21" s="548"/>
      <c r="AH21" s="548"/>
      <c r="AI21" s="548"/>
      <c r="AJ21" s="548"/>
      <c r="AK21" s="548"/>
      <c r="AL21" s="548"/>
      <c r="AM21" s="548"/>
      <c r="AN21" s="548"/>
      <c r="AO21" s="548"/>
      <c r="AP21" s="548"/>
      <c r="AQ21" s="548"/>
      <c r="AR21" s="548"/>
      <c r="AS21" s="548"/>
      <c r="AT21" s="548"/>
      <c r="AU21" s="548"/>
      <c r="AV21" s="548"/>
      <c r="AW21" s="548"/>
      <c r="AX21" s="548"/>
      <c r="AY21" s="548"/>
      <c r="AZ21" s="548"/>
      <c r="BA21" s="548"/>
      <c r="BB21" s="548"/>
      <c r="BC21" s="548"/>
      <c r="BD21" s="548"/>
      <c r="BE21" s="548"/>
      <c r="BF21" s="548"/>
      <c r="BG21" s="548"/>
      <c r="BH21" s="548"/>
      <c r="BI21" s="548"/>
      <c r="BJ21" s="548"/>
      <c r="BK21" s="548"/>
      <c r="BL21" s="548"/>
      <c r="BM21" s="548"/>
      <c r="BN21" s="548"/>
      <c r="BO21" s="548"/>
      <c r="BP21" s="548"/>
      <c r="BQ21" s="548"/>
      <c r="BR21" s="548"/>
      <c r="BS21" s="548"/>
      <c r="BT21" s="548"/>
      <c r="BU21" s="548"/>
      <c r="BV21" s="548"/>
      <c r="BW21" s="548"/>
      <c r="BX21" s="548"/>
      <c r="BY21" s="548"/>
      <c r="BZ21" s="548"/>
      <c r="CA21" s="548"/>
      <c r="CB21" s="548"/>
      <c r="CC21" s="548"/>
      <c r="CD21" s="548"/>
      <c r="CE21" s="548"/>
      <c r="CF21" s="548"/>
      <c r="CG21" s="548"/>
      <c r="CH21" s="548"/>
      <c r="CI21" s="548"/>
      <c r="CJ21" s="548"/>
      <c r="CK21" s="548"/>
      <c r="CL21" s="548"/>
      <c r="CM21" s="548"/>
      <c r="CN21" s="548"/>
      <c r="CO21" s="548"/>
      <c r="CP21" s="548"/>
      <c r="CQ21" s="548"/>
      <c r="CR21" s="548"/>
      <c r="CS21" s="548"/>
      <c r="CT21" s="548"/>
      <c r="CU21" s="548"/>
      <c r="CV21" s="548"/>
      <c r="CW21" s="548"/>
      <c r="CX21" s="548"/>
      <c r="CY21" s="548"/>
      <c r="CZ21" s="548"/>
      <c r="DA21" s="548"/>
      <c r="DB21" s="548"/>
      <c r="DC21" s="548"/>
      <c r="DD21" s="548"/>
      <c r="DE21" s="548"/>
      <c r="DF21" s="548"/>
      <c r="DG21" s="548"/>
      <c r="DH21" s="548"/>
      <c r="DI21" s="548"/>
      <c r="DJ21" s="548"/>
      <c r="DK21" s="548"/>
      <c r="DL21" s="548"/>
      <c r="DM21" s="548"/>
      <c r="DN21" s="548"/>
      <c r="DO21" s="548"/>
      <c r="DP21" s="548"/>
      <c r="DQ21" s="548"/>
      <c r="DR21" s="548"/>
      <c r="DS21" s="548"/>
      <c r="DT21" s="548"/>
      <c r="DU21" s="548"/>
      <c r="DV21" s="548"/>
      <c r="DW21" s="548"/>
      <c r="DX21" s="548"/>
      <c r="DY21" s="548"/>
      <c r="DZ21" s="548"/>
      <c r="EA21" s="548"/>
      <c r="EB21" s="548"/>
      <c r="EC21" s="548"/>
      <c r="ED21" s="548"/>
      <c r="EE21" s="548"/>
      <c r="EF21" s="548"/>
      <c r="EG21" s="548"/>
      <c r="EH21" s="548"/>
      <c r="EI21" s="548"/>
      <c r="EJ21" s="548"/>
      <c r="EK21" s="548"/>
      <c r="EL21" s="548"/>
      <c r="EM21" s="548"/>
      <c r="EN21" s="548"/>
      <c r="EO21" s="548"/>
      <c r="EP21" s="548"/>
      <c r="EQ21" s="548"/>
      <c r="ER21" s="548"/>
      <c r="ES21" s="548"/>
      <c r="ET21" s="548"/>
      <c r="EU21" s="548"/>
      <c r="EV21" s="548"/>
      <c r="EW21" s="548"/>
      <c r="EX21" s="548"/>
      <c r="EY21" s="548"/>
      <c r="EZ21" s="548"/>
      <c r="FA21" s="548"/>
      <c r="FB21" s="548"/>
      <c r="FC21" s="548"/>
      <c r="FD21" s="548"/>
      <c r="FE21" s="548"/>
      <c r="FF21" s="548"/>
      <c r="FG21" s="548"/>
      <c r="FH21" s="548"/>
      <c r="FI21" s="548"/>
      <c r="FJ21" s="548"/>
      <c r="FK21" s="548"/>
      <c r="FL21" s="548"/>
      <c r="FM21" s="548"/>
      <c r="FN21" s="548"/>
      <c r="FO21" s="548"/>
      <c r="FP21" s="548"/>
      <c r="FQ21" s="548"/>
      <c r="FR21" s="548"/>
      <c r="FS21" s="548"/>
      <c r="FT21" s="548"/>
      <c r="FU21" s="548"/>
      <c r="FV21" s="548"/>
      <c r="FW21" s="548"/>
      <c r="FX21" s="548"/>
      <c r="FY21" s="548"/>
      <c r="FZ21" s="548"/>
      <c r="GA21" s="548"/>
      <c r="GB21" s="548"/>
      <c r="GC21" s="548"/>
      <c r="GD21" s="548"/>
      <c r="GE21" s="548"/>
      <c r="GF21" s="548"/>
      <c r="GG21" s="548"/>
      <c r="GH21" s="548"/>
      <c r="GI21" s="548"/>
      <c r="GJ21" s="548"/>
      <c r="GK21" s="548"/>
      <c r="GL21" s="548"/>
      <c r="GM21" s="548"/>
      <c r="GN21" s="548"/>
      <c r="GO21" s="548"/>
      <c r="GP21" s="548"/>
      <c r="GQ21" s="548"/>
      <c r="GR21" s="548"/>
      <c r="GS21" s="548"/>
      <c r="GT21" s="548"/>
      <c r="GU21" s="548"/>
      <c r="GV21" s="548"/>
      <c r="GW21" s="548"/>
      <c r="GX21" s="548"/>
      <c r="GY21" s="548"/>
      <c r="GZ21" s="548"/>
      <c r="HA21" s="548"/>
      <c r="HB21" s="548"/>
      <c r="HC21" s="548"/>
      <c r="HD21" s="548"/>
      <c r="HE21" s="548"/>
      <c r="HF21" s="548"/>
      <c r="HG21" s="548"/>
      <c r="HH21" s="548"/>
      <c r="HI21" s="548"/>
      <c r="HJ21" s="548"/>
      <c r="HK21" s="548"/>
      <c r="HL21" s="548"/>
      <c r="HM21" s="548"/>
      <c r="HN21" s="548"/>
      <c r="HO21" s="548"/>
      <c r="HP21" s="548"/>
      <c r="HQ21" s="548"/>
      <c r="HR21" s="548"/>
      <c r="HS21" s="548"/>
      <c r="HT21" s="548"/>
      <c r="HU21" s="548"/>
      <c r="HV21" s="548"/>
      <c r="HW21" s="548"/>
      <c r="HX21" s="548"/>
      <c r="HY21" s="548"/>
      <c r="HZ21" s="548"/>
      <c r="IA21" s="548"/>
      <c r="IB21" s="548"/>
      <c r="IC21" s="548"/>
      <c r="ID21" s="548"/>
      <c r="IE21" s="548"/>
      <c r="IF21" s="548"/>
      <c r="IG21" s="548"/>
      <c r="IH21" s="548"/>
      <c r="II21" s="548"/>
      <c r="IJ21" s="548"/>
      <c r="IK21" s="548"/>
      <c r="IL21" s="548"/>
      <c r="IM21" s="548"/>
    </row>
    <row r="22" spans="1:247" s="549" customFormat="1" ht="30" customHeight="1" x14ac:dyDescent="0.25">
      <c r="A22" s="555" t="s">
        <v>314</v>
      </c>
      <c r="B22" s="555"/>
      <c r="C22" s="555"/>
      <c r="D22" s="555"/>
      <c r="E22" s="555"/>
      <c r="F22" s="562"/>
      <c r="G22" s="563"/>
      <c r="H22" s="564"/>
      <c r="I22" s="546"/>
      <c r="J22" s="546"/>
      <c r="K22" s="546"/>
      <c r="L22" s="546"/>
      <c r="M22" s="547"/>
      <c r="N22" s="547"/>
      <c r="O22" s="547"/>
      <c r="P22" s="547"/>
      <c r="Q22" s="547"/>
      <c r="R22" s="547"/>
      <c r="S22" s="547"/>
      <c r="T22" s="547"/>
      <c r="U22" s="386" t="e">
        <v>#REF!</v>
      </c>
      <c r="V22" s="548"/>
      <c r="W22" s="548"/>
      <c r="X22" s="548"/>
      <c r="Y22" s="548"/>
      <c r="Z22" s="548"/>
      <c r="AA22" s="548"/>
      <c r="AB22" s="548"/>
      <c r="AC22" s="548"/>
      <c r="AD22" s="548"/>
      <c r="AE22" s="548"/>
      <c r="AF22" s="548"/>
      <c r="AG22" s="548"/>
      <c r="AH22" s="548"/>
      <c r="AI22" s="548"/>
      <c r="AJ22" s="548"/>
      <c r="AK22" s="548"/>
      <c r="AL22" s="548"/>
      <c r="AM22" s="548"/>
      <c r="AN22" s="548"/>
      <c r="AO22" s="548"/>
      <c r="AP22" s="548"/>
      <c r="AQ22" s="548"/>
      <c r="AR22" s="548"/>
      <c r="AS22" s="548"/>
      <c r="AT22" s="548"/>
      <c r="AU22" s="548"/>
      <c r="AV22" s="548"/>
      <c r="AW22" s="548"/>
      <c r="AX22" s="548"/>
      <c r="AY22" s="548"/>
      <c r="AZ22" s="548"/>
      <c r="BA22" s="548"/>
      <c r="BB22" s="548"/>
      <c r="BC22" s="548"/>
      <c r="BD22" s="548"/>
      <c r="BE22" s="548"/>
      <c r="BF22" s="548"/>
      <c r="BG22" s="548"/>
      <c r="BH22" s="548"/>
      <c r="BI22" s="548"/>
      <c r="BJ22" s="548"/>
      <c r="BK22" s="548"/>
      <c r="BL22" s="548"/>
      <c r="BM22" s="548"/>
      <c r="BN22" s="548"/>
      <c r="BO22" s="548"/>
      <c r="BP22" s="548"/>
      <c r="BQ22" s="548"/>
      <c r="BR22" s="548"/>
      <c r="BS22" s="548"/>
      <c r="BT22" s="548"/>
      <c r="BU22" s="548"/>
      <c r="BV22" s="548"/>
      <c r="BW22" s="548"/>
      <c r="BX22" s="548"/>
      <c r="BY22" s="548"/>
      <c r="BZ22" s="548"/>
      <c r="CA22" s="548"/>
      <c r="CB22" s="548"/>
      <c r="CC22" s="548"/>
      <c r="CD22" s="548"/>
      <c r="CE22" s="548"/>
      <c r="CF22" s="548"/>
      <c r="CG22" s="548"/>
      <c r="CH22" s="548"/>
      <c r="CI22" s="548"/>
      <c r="CJ22" s="548"/>
      <c r="CK22" s="548"/>
      <c r="CL22" s="548"/>
      <c r="CM22" s="548"/>
      <c r="CN22" s="548"/>
      <c r="CO22" s="548"/>
      <c r="CP22" s="548"/>
      <c r="CQ22" s="548"/>
      <c r="CR22" s="548"/>
      <c r="CS22" s="548"/>
      <c r="CT22" s="548"/>
      <c r="CU22" s="548"/>
      <c r="CV22" s="548"/>
      <c r="CW22" s="548"/>
      <c r="CX22" s="548"/>
      <c r="CY22" s="548"/>
      <c r="CZ22" s="548"/>
      <c r="DA22" s="548"/>
      <c r="DB22" s="548"/>
      <c r="DC22" s="548"/>
      <c r="DD22" s="548"/>
      <c r="DE22" s="548"/>
      <c r="DF22" s="548"/>
      <c r="DG22" s="548"/>
      <c r="DH22" s="548"/>
      <c r="DI22" s="548"/>
      <c r="DJ22" s="548"/>
      <c r="DK22" s="548"/>
      <c r="DL22" s="548"/>
      <c r="DM22" s="548"/>
      <c r="DN22" s="548"/>
      <c r="DO22" s="548"/>
      <c r="DP22" s="548"/>
      <c r="DQ22" s="548"/>
      <c r="DR22" s="548"/>
      <c r="DS22" s="548"/>
      <c r="DT22" s="548"/>
      <c r="DU22" s="548"/>
      <c r="DV22" s="548"/>
      <c r="DW22" s="548"/>
      <c r="DX22" s="548"/>
      <c r="DY22" s="548"/>
      <c r="DZ22" s="548"/>
      <c r="EA22" s="548"/>
      <c r="EB22" s="548"/>
      <c r="EC22" s="548"/>
      <c r="ED22" s="548"/>
      <c r="EE22" s="548"/>
      <c r="EF22" s="548"/>
      <c r="EG22" s="548"/>
      <c r="EH22" s="548"/>
      <c r="EI22" s="548"/>
      <c r="EJ22" s="548"/>
      <c r="EK22" s="548"/>
      <c r="EL22" s="548"/>
      <c r="EM22" s="548"/>
      <c r="EN22" s="548"/>
      <c r="EO22" s="548"/>
      <c r="EP22" s="548"/>
      <c r="EQ22" s="548"/>
      <c r="ER22" s="548"/>
      <c r="ES22" s="548"/>
      <c r="ET22" s="548"/>
      <c r="EU22" s="548"/>
      <c r="EV22" s="548"/>
      <c r="EW22" s="548"/>
      <c r="EX22" s="548"/>
      <c r="EY22" s="548"/>
      <c r="EZ22" s="548"/>
      <c r="FA22" s="548"/>
      <c r="FB22" s="548"/>
      <c r="FC22" s="548"/>
      <c r="FD22" s="548"/>
      <c r="FE22" s="548"/>
      <c r="FF22" s="548"/>
      <c r="FG22" s="548"/>
      <c r="FH22" s="548"/>
      <c r="FI22" s="548"/>
      <c r="FJ22" s="548"/>
      <c r="FK22" s="548"/>
      <c r="FL22" s="548"/>
      <c r="FM22" s="548"/>
      <c r="FN22" s="548"/>
      <c r="FO22" s="548"/>
      <c r="FP22" s="548"/>
      <c r="FQ22" s="548"/>
      <c r="FR22" s="548"/>
      <c r="FS22" s="548"/>
      <c r="FT22" s="548"/>
      <c r="FU22" s="548"/>
      <c r="FV22" s="548"/>
      <c r="FW22" s="548"/>
      <c r="FX22" s="548"/>
      <c r="FY22" s="548"/>
      <c r="FZ22" s="548"/>
      <c r="GA22" s="548"/>
      <c r="GB22" s="548"/>
      <c r="GC22" s="548"/>
      <c r="GD22" s="548"/>
      <c r="GE22" s="548"/>
      <c r="GF22" s="548"/>
      <c r="GG22" s="548"/>
      <c r="GH22" s="548"/>
      <c r="GI22" s="548"/>
      <c r="GJ22" s="548"/>
      <c r="GK22" s="548"/>
      <c r="GL22" s="548"/>
      <c r="GM22" s="548"/>
      <c r="GN22" s="548"/>
      <c r="GO22" s="548"/>
      <c r="GP22" s="548"/>
      <c r="GQ22" s="548"/>
      <c r="GR22" s="548"/>
      <c r="GS22" s="548"/>
      <c r="GT22" s="548"/>
      <c r="GU22" s="548"/>
      <c r="GV22" s="548"/>
      <c r="GW22" s="548"/>
      <c r="GX22" s="548"/>
      <c r="GY22" s="548"/>
      <c r="GZ22" s="548"/>
      <c r="HA22" s="548"/>
      <c r="HB22" s="548"/>
      <c r="HC22" s="548"/>
      <c r="HD22" s="548"/>
      <c r="HE22" s="548"/>
      <c r="HF22" s="548"/>
      <c r="HG22" s="548"/>
      <c r="HH22" s="548"/>
      <c r="HI22" s="548"/>
      <c r="HJ22" s="548"/>
      <c r="HK22" s="548"/>
      <c r="HL22" s="548"/>
      <c r="HM22" s="548"/>
      <c r="HN22" s="548"/>
      <c r="HO22" s="548"/>
      <c r="HP22" s="548"/>
      <c r="HQ22" s="548"/>
      <c r="HR22" s="548"/>
      <c r="HS22" s="548"/>
      <c r="HT22" s="548"/>
      <c r="HU22" s="548"/>
      <c r="HV22" s="548"/>
      <c r="HW22" s="548"/>
      <c r="HX22" s="548"/>
      <c r="HY22" s="548"/>
      <c r="HZ22" s="548"/>
      <c r="IA22" s="548"/>
      <c r="IB22" s="548"/>
      <c r="IC22" s="548"/>
      <c r="ID22" s="548"/>
      <c r="IE22" s="548"/>
      <c r="IF22" s="548"/>
      <c r="IG22" s="548"/>
      <c r="IH22" s="548"/>
      <c r="II22" s="548"/>
      <c r="IJ22" s="548"/>
      <c r="IK22" s="548"/>
      <c r="IL22" s="548"/>
      <c r="IM22" s="548"/>
    </row>
    <row r="23" spans="1:247" s="549" customFormat="1" ht="15.75" customHeight="1" x14ac:dyDescent="0.25">
      <c r="A23" s="565" t="s">
        <v>26</v>
      </c>
      <c r="B23" s="565"/>
      <c r="C23" s="565"/>
      <c r="D23" s="565"/>
      <c r="E23" s="565"/>
      <c r="F23" s="566"/>
      <c r="G23" s="566"/>
      <c r="H23" s="566"/>
      <c r="I23" s="567"/>
      <c r="J23" s="567"/>
      <c r="K23" s="567"/>
      <c r="L23" s="567"/>
      <c r="M23" s="548"/>
      <c r="N23" s="548"/>
      <c r="O23" s="548"/>
      <c r="P23" s="548"/>
      <c r="Q23" s="548"/>
      <c r="R23" s="548"/>
      <c r="S23" s="548"/>
      <c r="T23" s="548"/>
      <c r="U23" s="548"/>
      <c r="V23" s="548"/>
      <c r="W23" s="548"/>
      <c r="X23" s="548"/>
      <c r="Y23" s="548"/>
      <c r="Z23" s="568"/>
      <c r="AA23" s="568"/>
      <c r="AB23" s="568"/>
      <c r="AC23" s="568"/>
      <c r="AD23" s="568"/>
      <c r="AE23" s="568"/>
      <c r="AF23" s="568"/>
      <c r="AG23" s="568"/>
      <c r="AH23" s="568"/>
      <c r="AI23" s="568"/>
      <c r="AJ23" s="568"/>
      <c r="AK23" s="568"/>
      <c r="AL23" s="568"/>
      <c r="AM23" s="568"/>
      <c r="AN23" s="568"/>
      <c r="AO23" s="568"/>
      <c r="AP23" s="568"/>
      <c r="AQ23" s="568"/>
      <c r="AR23" s="568"/>
      <c r="AS23" s="568"/>
      <c r="AT23" s="568"/>
      <c r="AU23" s="568"/>
      <c r="AV23" s="568"/>
      <c r="AW23" s="568"/>
      <c r="AX23" s="568"/>
      <c r="AY23" s="568"/>
      <c r="AZ23" s="568"/>
      <c r="BA23" s="568"/>
      <c r="BB23" s="568"/>
      <c r="BC23" s="568"/>
      <c r="BD23" s="568"/>
      <c r="BE23" s="568"/>
      <c r="BF23" s="568"/>
      <c r="BG23" s="568"/>
      <c r="BH23" s="568"/>
      <c r="BI23" s="568"/>
      <c r="BJ23" s="568"/>
      <c r="BK23" s="568"/>
      <c r="BL23" s="568"/>
      <c r="BM23" s="568"/>
      <c r="BN23" s="568"/>
      <c r="BO23" s="568"/>
      <c r="BP23" s="568"/>
      <c r="BQ23" s="568"/>
      <c r="BR23" s="568"/>
      <c r="BS23" s="568"/>
      <c r="BT23" s="568"/>
      <c r="BU23" s="568"/>
      <c r="BV23" s="568"/>
      <c r="BW23" s="568"/>
      <c r="BX23" s="568"/>
      <c r="BY23" s="568"/>
      <c r="BZ23" s="568"/>
      <c r="CA23" s="568"/>
      <c r="CB23" s="568"/>
      <c r="CC23" s="568"/>
      <c r="CD23" s="568"/>
      <c r="CE23" s="568"/>
      <c r="CF23" s="568"/>
      <c r="CG23" s="568"/>
      <c r="CH23" s="568"/>
      <c r="CI23" s="568"/>
      <c r="CJ23" s="568"/>
      <c r="CK23" s="568"/>
      <c r="CL23" s="568"/>
      <c r="CM23" s="568"/>
      <c r="CN23" s="568"/>
      <c r="CO23" s="568"/>
      <c r="CP23" s="568"/>
      <c r="CQ23" s="568"/>
      <c r="CR23" s="568"/>
      <c r="CS23" s="568"/>
      <c r="CT23" s="568"/>
      <c r="CU23" s="568"/>
      <c r="CV23" s="568"/>
      <c r="CW23" s="568"/>
      <c r="CX23" s="568"/>
      <c r="CY23" s="568"/>
      <c r="CZ23" s="568"/>
      <c r="DA23" s="568"/>
      <c r="DB23" s="568"/>
      <c r="DC23" s="568"/>
      <c r="DD23" s="568"/>
      <c r="DE23" s="568"/>
      <c r="DF23" s="568"/>
      <c r="DG23" s="568"/>
      <c r="DH23" s="568"/>
      <c r="DI23" s="568"/>
      <c r="DJ23" s="568"/>
      <c r="DK23" s="568"/>
      <c r="DL23" s="568"/>
      <c r="DM23" s="568"/>
      <c r="DN23" s="568"/>
      <c r="DO23" s="568"/>
      <c r="DP23" s="568"/>
      <c r="DQ23" s="568"/>
      <c r="DR23" s="568"/>
      <c r="DS23" s="568"/>
      <c r="DT23" s="568"/>
      <c r="DU23" s="568"/>
      <c r="DV23" s="568"/>
      <c r="DW23" s="568"/>
      <c r="DX23" s="568"/>
      <c r="DY23" s="568"/>
      <c r="DZ23" s="568"/>
      <c r="EA23" s="568"/>
      <c r="EB23" s="568"/>
      <c r="EC23" s="568"/>
      <c r="ED23" s="568"/>
      <c r="EE23" s="568"/>
      <c r="EF23" s="568"/>
      <c r="EG23" s="568"/>
      <c r="EH23" s="568"/>
      <c r="EI23" s="568"/>
      <c r="EJ23" s="568"/>
      <c r="EK23" s="568"/>
      <c r="EL23" s="568"/>
      <c r="EM23" s="568"/>
      <c r="EN23" s="568"/>
      <c r="EO23" s="568"/>
      <c r="EP23" s="568"/>
      <c r="EQ23" s="568"/>
      <c r="ER23" s="568"/>
      <c r="ES23" s="568"/>
      <c r="ET23" s="568"/>
      <c r="EU23" s="568"/>
      <c r="EV23" s="568"/>
      <c r="EW23" s="568"/>
      <c r="EX23" s="568"/>
      <c r="EY23" s="568"/>
      <c r="EZ23" s="568"/>
      <c r="FA23" s="568"/>
      <c r="FB23" s="568"/>
      <c r="FC23" s="568"/>
      <c r="FD23" s="568"/>
      <c r="FE23" s="568"/>
      <c r="FF23" s="568"/>
      <c r="FG23" s="568"/>
      <c r="FH23" s="568"/>
      <c r="FI23" s="568"/>
      <c r="FJ23" s="568"/>
      <c r="FK23" s="568"/>
      <c r="FL23" s="568"/>
      <c r="FM23" s="568"/>
      <c r="FN23" s="568"/>
      <c r="FO23" s="568"/>
      <c r="FP23" s="568"/>
      <c r="FQ23" s="568"/>
      <c r="FR23" s="568"/>
      <c r="FS23" s="568"/>
      <c r="FT23" s="568"/>
      <c r="FU23" s="568"/>
      <c r="FV23" s="568"/>
      <c r="FW23" s="568"/>
      <c r="FX23" s="568"/>
      <c r="FY23" s="568"/>
      <c r="FZ23" s="568"/>
      <c r="GA23" s="568"/>
      <c r="GB23" s="568"/>
      <c r="GC23" s="568"/>
      <c r="GD23" s="568"/>
      <c r="GE23" s="568"/>
      <c r="GF23" s="568"/>
      <c r="GG23" s="568"/>
      <c r="GH23" s="568"/>
      <c r="GI23" s="568"/>
      <c r="GJ23" s="568"/>
      <c r="GK23" s="568"/>
      <c r="GL23" s="568"/>
      <c r="GM23" s="568"/>
      <c r="GN23" s="568"/>
      <c r="GO23" s="568"/>
      <c r="GP23" s="568"/>
      <c r="GQ23" s="568"/>
      <c r="GR23" s="568"/>
      <c r="GS23" s="568"/>
      <c r="GT23" s="568"/>
      <c r="GU23" s="568"/>
      <c r="GV23" s="568"/>
      <c r="GW23" s="568"/>
      <c r="GX23" s="568"/>
      <c r="GY23" s="568"/>
      <c r="GZ23" s="568"/>
      <c r="HA23" s="568"/>
      <c r="HB23" s="568"/>
      <c r="HC23" s="568"/>
      <c r="HD23" s="568"/>
      <c r="HE23" s="568"/>
      <c r="HF23" s="568"/>
      <c r="HG23" s="568"/>
      <c r="HH23" s="568"/>
      <c r="HI23" s="568"/>
      <c r="HJ23" s="568"/>
      <c r="HK23" s="568"/>
      <c r="HL23" s="568"/>
      <c r="HM23" s="568"/>
      <c r="HN23" s="568"/>
      <c r="HO23" s="568"/>
      <c r="HP23" s="568"/>
      <c r="HQ23" s="568"/>
      <c r="HR23" s="568"/>
      <c r="HS23" s="568"/>
      <c r="HT23" s="568"/>
      <c r="HU23" s="568"/>
      <c r="HV23" s="568"/>
      <c r="HW23" s="568"/>
      <c r="HX23" s="568"/>
      <c r="HY23" s="568"/>
      <c r="HZ23" s="568"/>
      <c r="IA23" s="568"/>
      <c r="IB23" s="568"/>
      <c r="IC23" s="568"/>
      <c r="ID23" s="568"/>
      <c r="IE23" s="568"/>
      <c r="IF23" s="568"/>
      <c r="IG23" s="568"/>
      <c r="IH23" s="568"/>
      <c r="II23" s="568"/>
      <c r="IJ23" s="568"/>
      <c r="IK23" s="568"/>
      <c r="IL23" s="568"/>
      <c r="IM23" s="568"/>
    </row>
    <row r="24" spans="1:247" s="549" customFormat="1" x14ac:dyDescent="0.25">
      <c r="A24" s="338"/>
      <c r="B24" s="338"/>
      <c r="C24" s="338"/>
      <c r="E24" s="382"/>
      <c r="F24" s="382" t="s">
        <v>27</v>
      </c>
      <c r="G24" s="569"/>
      <c r="H24" s="569"/>
      <c r="I24" s="567"/>
      <c r="J24" s="567"/>
      <c r="K24" s="567"/>
      <c r="L24" s="567"/>
      <c r="M24" s="548"/>
      <c r="N24" s="548"/>
      <c r="O24" s="548"/>
      <c r="P24" s="548"/>
      <c r="Q24" s="548"/>
      <c r="R24" s="548"/>
      <c r="S24" s="548"/>
      <c r="T24" s="548"/>
      <c r="U24" s="548"/>
      <c r="V24" s="548"/>
      <c r="W24" s="548"/>
      <c r="X24" s="548"/>
      <c r="Y24" s="548"/>
      <c r="Z24" s="568"/>
      <c r="AA24" s="568"/>
      <c r="AB24" s="568"/>
      <c r="AC24" s="568"/>
      <c r="AD24" s="568"/>
      <c r="AE24" s="568"/>
      <c r="AF24" s="568"/>
      <c r="AG24" s="568"/>
      <c r="AH24" s="568"/>
      <c r="AI24" s="568"/>
      <c r="AJ24" s="568"/>
      <c r="AK24" s="568"/>
      <c r="AL24" s="568"/>
      <c r="AM24" s="568"/>
      <c r="AN24" s="568"/>
      <c r="AO24" s="568"/>
      <c r="AP24" s="568"/>
      <c r="AQ24" s="568"/>
      <c r="AR24" s="568"/>
      <c r="AS24" s="568"/>
      <c r="AT24" s="568"/>
      <c r="AU24" s="568"/>
      <c r="AV24" s="568"/>
      <c r="AW24" s="568"/>
      <c r="AX24" s="568"/>
      <c r="AY24" s="568"/>
      <c r="AZ24" s="568"/>
      <c r="BA24" s="568"/>
      <c r="BB24" s="568"/>
      <c r="BC24" s="568"/>
      <c r="BD24" s="568"/>
      <c r="BE24" s="568"/>
      <c r="BF24" s="568"/>
      <c r="BG24" s="568"/>
      <c r="BH24" s="568"/>
      <c r="BI24" s="568"/>
      <c r="BJ24" s="568"/>
      <c r="BK24" s="568"/>
      <c r="BL24" s="568"/>
      <c r="BM24" s="568"/>
      <c r="BN24" s="568"/>
      <c r="BO24" s="568"/>
      <c r="BP24" s="568"/>
      <c r="BQ24" s="568"/>
      <c r="BR24" s="568"/>
      <c r="BS24" s="568"/>
      <c r="BT24" s="568"/>
      <c r="BU24" s="568"/>
      <c r="BV24" s="568"/>
      <c r="BW24" s="568"/>
      <c r="BX24" s="568"/>
      <c r="BY24" s="568"/>
      <c r="BZ24" s="568"/>
      <c r="CA24" s="568"/>
      <c r="CB24" s="568"/>
      <c r="CC24" s="568"/>
      <c r="CD24" s="568"/>
      <c r="CE24" s="568"/>
      <c r="CF24" s="568"/>
      <c r="CG24" s="568"/>
      <c r="CH24" s="568"/>
      <c r="CI24" s="568"/>
      <c r="CJ24" s="568"/>
      <c r="CK24" s="568"/>
      <c r="CL24" s="568"/>
      <c r="CM24" s="568"/>
      <c r="CN24" s="568"/>
      <c r="CO24" s="568"/>
      <c r="CP24" s="568"/>
      <c r="CQ24" s="568"/>
      <c r="CR24" s="568"/>
      <c r="CS24" s="568"/>
      <c r="CT24" s="568"/>
      <c r="CU24" s="568"/>
      <c r="CV24" s="568"/>
      <c r="CW24" s="568"/>
      <c r="CX24" s="568"/>
      <c r="CY24" s="568"/>
      <c r="CZ24" s="568"/>
      <c r="DA24" s="568"/>
      <c r="DB24" s="568"/>
      <c r="DC24" s="568"/>
      <c r="DD24" s="568"/>
      <c r="DE24" s="568"/>
      <c r="DF24" s="568"/>
      <c r="DG24" s="568"/>
      <c r="DH24" s="568"/>
      <c r="DI24" s="568"/>
      <c r="DJ24" s="568"/>
      <c r="DK24" s="568"/>
      <c r="DL24" s="568"/>
      <c r="DM24" s="568"/>
      <c r="DN24" s="568"/>
      <c r="DO24" s="568"/>
      <c r="DP24" s="568"/>
      <c r="DQ24" s="568"/>
      <c r="DR24" s="568"/>
      <c r="DS24" s="568"/>
      <c r="DT24" s="568"/>
      <c r="DU24" s="568"/>
      <c r="DV24" s="568"/>
      <c r="DW24" s="568"/>
      <c r="DX24" s="568"/>
      <c r="DY24" s="568"/>
      <c r="DZ24" s="568"/>
      <c r="EA24" s="568"/>
      <c r="EB24" s="568"/>
      <c r="EC24" s="568"/>
      <c r="ED24" s="568"/>
      <c r="EE24" s="568"/>
      <c r="EF24" s="568"/>
      <c r="EG24" s="568"/>
      <c r="EH24" s="568"/>
      <c r="EI24" s="568"/>
      <c r="EJ24" s="568"/>
      <c r="EK24" s="568"/>
      <c r="EL24" s="568"/>
      <c r="EM24" s="568"/>
      <c r="EN24" s="568"/>
      <c r="EO24" s="568"/>
      <c r="EP24" s="568"/>
      <c r="EQ24" s="568"/>
      <c r="ER24" s="568"/>
      <c r="ES24" s="568"/>
      <c r="ET24" s="568"/>
      <c r="EU24" s="568"/>
      <c r="EV24" s="568"/>
      <c r="EW24" s="568"/>
      <c r="EX24" s="568"/>
      <c r="EY24" s="568"/>
      <c r="EZ24" s="568"/>
      <c r="FA24" s="568"/>
      <c r="FB24" s="568"/>
      <c r="FC24" s="568"/>
      <c r="FD24" s="568"/>
      <c r="FE24" s="568"/>
      <c r="FF24" s="568"/>
      <c r="FG24" s="568"/>
      <c r="FH24" s="568"/>
      <c r="FI24" s="568"/>
      <c r="FJ24" s="568"/>
      <c r="FK24" s="568"/>
      <c r="FL24" s="568"/>
      <c r="FM24" s="568"/>
      <c r="FN24" s="568"/>
      <c r="FO24" s="568"/>
      <c r="FP24" s="568"/>
      <c r="FQ24" s="568"/>
      <c r="FR24" s="568"/>
      <c r="FS24" s="568"/>
      <c r="FT24" s="568"/>
      <c r="FU24" s="568"/>
      <c r="FV24" s="568"/>
      <c r="FW24" s="568"/>
      <c r="FX24" s="568"/>
      <c r="FY24" s="568"/>
      <c r="FZ24" s="568"/>
      <c r="GA24" s="568"/>
      <c r="GB24" s="568"/>
      <c r="GC24" s="568"/>
      <c r="GD24" s="568"/>
      <c r="GE24" s="568"/>
      <c r="GF24" s="568"/>
      <c r="GG24" s="568"/>
      <c r="GH24" s="568"/>
      <c r="GI24" s="568"/>
      <c r="GJ24" s="568"/>
      <c r="GK24" s="568"/>
      <c r="GL24" s="568"/>
      <c r="GM24" s="568"/>
      <c r="GN24" s="568"/>
      <c r="GO24" s="568"/>
      <c r="GP24" s="568"/>
      <c r="GQ24" s="568"/>
      <c r="GR24" s="568"/>
      <c r="GS24" s="568"/>
      <c r="GT24" s="568"/>
      <c r="GU24" s="568"/>
      <c r="GV24" s="568"/>
      <c r="GW24" s="568"/>
      <c r="GX24" s="568"/>
      <c r="GY24" s="568"/>
      <c r="GZ24" s="568"/>
      <c r="HA24" s="568"/>
      <c r="HB24" s="568"/>
      <c r="HC24" s="568"/>
      <c r="HD24" s="568"/>
      <c r="HE24" s="568"/>
      <c r="HF24" s="568"/>
      <c r="HG24" s="568"/>
      <c r="HH24" s="568"/>
      <c r="HI24" s="568"/>
      <c r="HJ24" s="568"/>
      <c r="HK24" s="568"/>
      <c r="HL24" s="568"/>
      <c r="HM24" s="568"/>
      <c r="HN24" s="568"/>
      <c r="HO24" s="568"/>
      <c r="HP24" s="568"/>
      <c r="HQ24" s="568"/>
      <c r="HR24" s="568"/>
      <c r="HS24" s="568"/>
      <c r="HT24" s="568"/>
      <c r="HU24" s="568"/>
      <c r="HV24" s="568"/>
      <c r="HW24" s="568"/>
      <c r="HX24" s="568"/>
      <c r="HY24" s="568"/>
      <c r="HZ24" s="568"/>
      <c r="IA24" s="568"/>
      <c r="IB24" s="568"/>
      <c r="IC24" s="568"/>
      <c r="ID24" s="568"/>
      <c r="IE24" s="568"/>
      <c r="IF24" s="568"/>
      <c r="IG24" s="568"/>
      <c r="IH24" s="568"/>
      <c r="II24" s="568"/>
      <c r="IJ24" s="568"/>
      <c r="IK24" s="568"/>
      <c r="IL24" s="568"/>
      <c r="IM24" s="568"/>
    </row>
    <row r="25" spans="1:247" s="549" customFormat="1" x14ac:dyDescent="0.25">
      <c r="A25" s="338"/>
      <c r="B25" s="338"/>
      <c r="C25" s="338"/>
      <c r="E25" s="382" t="s">
        <v>28</v>
      </c>
      <c r="F25" s="570" t="s">
        <v>29</v>
      </c>
      <c r="G25" s="569" t="s">
        <v>315</v>
      </c>
      <c r="H25" s="569"/>
      <c r="I25" s="571"/>
      <c r="J25" s="571"/>
      <c r="K25" s="571"/>
      <c r="L25" s="571"/>
      <c r="M25" s="568"/>
      <c r="N25" s="568"/>
      <c r="O25" s="568"/>
      <c r="P25" s="568"/>
      <c r="Q25" s="568"/>
      <c r="R25" s="568"/>
      <c r="S25" s="568"/>
      <c r="T25" s="568"/>
      <c r="U25" s="568"/>
      <c r="V25" s="568"/>
      <c r="W25" s="568"/>
      <c r="X25" s="568"/>
      <c r="Y25" s="568"/>
      <c r="Z25" s="548"/>
      <c r="AA25" s="548"/>
      <c r="AB25" s="548"/>
      <c r="AC25" s="548"/>
      <c r="AD25" s="548"/>
      <c r="AE25" s="548"/>
      <c r="AF25" s="548"/>
      <c r="AG25" s="548"/>
      <c r="AH25" s="548"/>
      <c r="AI25" s="548"/>
      <c r="AJ25" s="548"/>
      <c r="AK25" s="548"/>
      <c r="AL25" s="548"/>
      <c r="AM25" s="548"/>
      <c r="AN25" s="548"/>
      <c r="AO25" s="548"/>
      <c r="AP25" s="548"/>
      <c r="AQ25" s="548"/>
      <c r="AR25" s="548"/>
      <c r="AS25" s="548"/>
      <c r="AT25" s="548"/>
      <c r="AU25" s="548"/>
      <c r="AV25" s="548"/>
      <c r="AW25" s="548"/>
      <c r="AX25" s="548"/>
      <c r="AY25" s="548"/>
      <c r="AZ25" s="548"/>
      <c r="BA25" s="548"/>
      <c r="BB25" s="548"/>
      <c r="BC25" s="548"/>
      <c r="BD25" s="548"/>
      <c r="BE25" s="548"/>
      <c r="BF25" s="548"/>
      <c r="BG25" s="548"/>
      <c r="BH25" s="548"/>
      <c r="BI25" s="548"/>
      <c r="BJ25" s="548"/>
      <c r="BK25" s="548"/>
      <c r="BL25" s="548"/>
      <c r="BM25" s="548"/>
      <c r="BN25" s="548"/>
      <c r="BO25" s="548"/>
      <c r="BP25" s="548"/>
      <c r="BQ25" s="548"/>
      <c r="BR25" s="548"/>
      <c r="BS25" s="548"/>
      <c r="BT25" s="548"/>
      <c r="BU25" s="548"/>
      <c r="BV25" s="548"/>
      <c r="BW25" s="548"/>
      <c r="BX25" s="548"/>
      <c r="BY25" s="548"/>
      <c r="BZ25" s="548"/>
      <c r="CA25" s="548"/>
      <c r="CB25" s="548"/>
      <c r="CC25" s="548"/>
      <c r="CD25" s="548"/>
      <c r="CE25" s="548"/>
      <c r="CF25" s="548"/>
      <c r="CG25" s="548"/>
      <c r="CH25" s="548"/>
      <c r="CI25" s="548"/>
      <c r="CJ25" s="548"/>
      <c r="CK25" s="548"/>
      <c r="CL25" s="548"/>
      <c r="CM25" s="548"/>
      <c r="CN25" s="548"/>
      <c r="CO25" s="548"/>
      <c r="CP25" s="548"/>
      <c r="CQ25" s="548"/>
      <c r="CR25" s="548"/>
      <c r="CS25" s="548"/>
      <c r="CT25" s="548"/>
      <c r="CU25" s="548"/>
      <c r="CV25" s="548"/>
      <c r="CW25" s="548"/>
      <c r="CX25" s="548"/>
      <c r="CY25" s="548"/>
      <c r="CZ25" s="548"/>
      <c r="DA25" s="548"/>
      <c r="DB25" s="548"/>
      <c r="DC25" s="548"/>
      <c r="DD25" s="548"/>
      <c r="DE25" s="548"/>
      <c r="DF25" s="548"/>
      <c r="DG25" s="548"/>
      <c r="DH25" s="548"/>
      <c r="DI25" s="548"/>
      <c r="DJ25" s="548"/>
      <c r="DK25" s="548"/>
      <c r="DL25" s="548"/>
      <c r="DM25" s="548"/>
      <c r="DN25" s="548"/>
      <c r="DO25" s="548"/>
      <c r="DP25" s="548"/>
      <c r="DQ25" s="548"/>
      <c r="DR25" s="548"/>
      <c r="DS25" s="548"/>
      <c r="DT25" s="548"/>
      <c r="DU25" s="548"/>
      <c r="DV25" s="548"/>
      <c r="DW25" s="548"/>
      <c r="DX25" s="548"/>
      <c r="DY25" s="548"/>
      <c r="DZ25" s="548"/>
      <c r="EA25" s="548"/>
      <c r="EB25" s="548"/>
      <c r="EC25" s="548"/>
      <c r="ED25" s="548"/>
      <c r="EE25" s="548"/>
      <c r="EF25" s="548"/>
      <c r="EG25" s="548"/>
      <c r="EH25" s="548"/>
      <c r="EI25" s="548"/>
      <c r="EJ25" s="548"/>
      <c r="EK25" s="548"/>
      <c r="EL25" s="548"/>
      <c r="EM25" s="548"/>
      <c r="EN25" s="548"/>
      <c r="EO25" s="548"/>
      <c r="EP25" s="548"/>
      <c r="EQ25" s="548"/>
      <c r="ER25" s="548"/>
      <c r="ES25" s="548"/>
      <c r="ET25" s="548"/>
      <c r="EU25" s="548"/>
      <c r="EV25" s="548"/>
      <c r="EW25" s="548"/>
      <c r="EX25" s="548"/>
      <c r="EY25" s="548"/>
      <c r="EZ25" s="548"/>
      <c r="FA25" s="548"/>
      <c r="FB25" s="548"/>
      <c r="FC25" s="548"/>
      <c r="FD25" s="548"/>
      <c r="FE25" s="548"/>
      <c r="FF25" s="548"/>
      <c r="FG25" s="548"/>
      <c r="FH25" s="548"/>
      <c r="FI25" s="548"/>
      <c r="FJ25" s="548"/>
      <c r="FK25" s="548"/>
      <c r="FL25" s="548"/>
      <c r="FM25" s="548"/>
      <c r="FN25" s="548"/>
      <c r="FO25" s="548"/>
      <c r="FP25" s="548"/>
      <c r="FQ25" s="548"/>
      <c r="FR25" s="548"/>
      <c r="FS25" s="548"/>
      <c r="FT25" s="548"/>
      <c r="FU25" s="548"/>
      <c r="FV25" s="548"/>
      <c r="FW25" s="548"/>
      <c r="FX25" s="548"/>
      <c r="FY25" s="548"/>
      <c r="FZ25" s="548"/>
      <c r="GA25" s="548"/>
      <c r="GB25" s="548"/>
      <c r="GC25" s="548"/>
      <c r="GD25" s="548"/>
      <c r="GE25" s="548"/>
      <c r="GF25" s="548"/>
      <c r="GG25" s="548"/>
      <c r="GH25" s="548"/>
      <c r="GI25" s="548"/>
      <c r="GJ25" s="548"/>
      <c r="GK25" s="548"/>
      <c r="GL25" s="548"/>
      <c r="GM25" s="548"/>
      <c r="GN25" s="548"/>
      <c r="GO25" s="548"/>
      <c r="GP25" s="548"/>
      <c r="GQ25" s="548"/>
      <c r="GR25" s="548"/>
      <c r="GS25" s="548"/>
      <c r="GT25" s="548"/>
      <c r="GU25" s="548"/>
      <c r="GV25" s="548"/>
      <c r="GW25" s="548"/>
      <c r="GX25" s="548"/>
      <c r="GY25" s="548"/>
      <c r="GZ25" s="548"/>
      <c r="HA25" s="548"/>
      <c r="HB25" s="548"/>
      <c r="HC25" s="548"/>
      <c r="HD25" s="548"/>
      <c r="HE25" s="548"/>
      <c r="HF25" s="548"/>
      <c r="HG25" s="548"/>
      <c r="HH25" s="548"/>
      <c r="HI25" s="548"/>
      <c r="HJ25" s="548"/>
      <c r="HK25" s="548"/>
      <c r="HL25" s="548"/>
      <c r="HM25" s="548"/>
      <c r="HN25" s="548"/>
      <c r="HO25" s="548"/>
      <c r="HP25" s="548"/>
      <c r="HQ25" s="548"/>
      <c r="HR25" s="548"/>
      <c r="HS25" s="548"/>
      <c r="HT25" s="548"/>
      <c r="HU25" s="548"/>
      <c r="HV25" s="548"/>
      <c r="HW25" s="548"/>
      <c r="HX25" s="548"/>
      <c r="HY25" s="548"/>
      <c r="HZ25" s="548"/>
      <c r="IA25" s="548"/>
      <c r="IB25" s="548"/>
      <c r="IC25" s="548"/>
      <c r="ID25" s="548"/>
      <c r="IE25" s="548"/>
      <c r="IF25" s="548"/>
      <c r="IG25" s="548"/>
      <c r="IH25" s="548"/>
      <c r="II25" s="548"/>
      <c r="IJ25" s="548"/>
      <c r="IK25" s="548"/>
      <c r="IL25" s="548"/>
      <c r="IM25" s="548"/>
    </row>
    <row r="26" spans="1:247" s="549" customFormat="1" x14ac:dyDescent="0.25">
      <c r="A26" s="338"/>
      <c r="B26" s="338"/>
      <c r="C26" s="338"/>
      <c r="D26" s="338"/>
      <c r="E26" s="338"/>
      <c r="F26" s="572" t="s">
        <v>30</v>
      </c>
      <c r="G26" s="573">
        <v>43811</v>
      </c>
      <c r="H26" s="573"/>
      <c r="I26" s="571"/>
      <c r="J26" s="571"/>
      <c r="K26" s="571"/>
      <c r="L26" s="571"/>
      <c r="M26" s="568"/>
      <c r="N26" s="568"/>
      <c r="O26" s="568"/>
      <c r="P26" s="568"/>
      <c r="Q26" s="568"/>
      <c r="R26" s="568"/>
      <c r="S26" s="568"/>
      <c r="T26" s="568"/>
      <c r="U26" s="568"/>
      <c r="V26" s="568"/>
      <c r="W26" s="568"/>
      <c r="X26" s="568"/>
      <c r="Y26" s="568"/>
      <c r="Z26" s="548"/>
      <c r="AA26" s="548"/>
      <c r="AB26" s="548"/>
      <c r="AC26" s="548"/>
      <c r="AD26" s="548"/>
      <c r="AE26" s="548"/>
      <c r="AF26" s="548"/>
      <c r="AG26" s="548"/>
      <c r="AH26" s="548"/>
      <c r="AI26" s="548"/>
      <c r="AJ26" s="548"/>
      <c r="AK26" s="548"/>
      <c r="AL26" s="548"/>
      <c r="AM26" s="548"/>
      <c r="AN26" s="548"/>
      <c r="AO26" s="548"/>
      <c r="AP26" s="548"/>
      <c r="AQ26" s="548"/>
      <c r="AR26" s="548"/>
      <c r="AS26" s="548"/>
      <c r="AT26" s="548"/>
      <c r="AU26" s="548"/>
      <c r="AV26" s="548"/>
      <c r="AW26" s="548"/>
      <c r="AX26" s="548"/>
      <c r="AY26" s="548"/>
      <c r="AZ26" s="548"/>
      <c r="BA26" s="548"/>
      <c r="BB26" s="548"/>
      <c r="BC26" s="548"/>
      <c r="BD26" s="548"/>
      <c r="BE26" s="548"/>
      <c r="BF26" s="548"/>
      <c r="BG26" s="548"/>
      <c r="BH26" s="548"/>
      <c r="BI26" s="548"/>
      <c r="BJ26" s="548"/>
      <c r="BK26" s="548"/>
      <c r="BL26" s="548"/>
      <c r="BM26" s="548"/>
      <c r="BN26" s="548"/>
      <c r="BO26" s="548"/>
      <c r="BP26" s="548"/>
      <c r="BQ26" s="548"/>
      <c r="BR26" s="548"/>
      <c r="BS26" s="548"/>
      <c r="BT26" s="548"/>
      <c r="BU26" s="548"/>
      <c r="BV26" s="548"/>
      <c r="BW26" s="548"/>
      <c r="BX26" s="548"/>
      <c r="BY26" s="548"/>
      <c r="BZ26" s="548"/>
      <c r="CA26" s="548"/>
      <c r="CB26" s="548"/>
      <c r="CC26" s="548"/>
      <c r="CD26" s="548"/>
      <c r="CE26" s="548"/>
      <c r="CF26" s="548"/>
      <c r="CG26" s="548"/>
      <c r="CH26" s="548"/>
      <c r="CI26" s="548"/>
      <c r="CJ26" s="548"/>
      <c r="CK26" s="548"/>
      <c r="CL26" s="548"/>
      <c r="CM26" s="548"/>
      <c r="CN26" s="548"/>
      <c r="CO26" s="548"/>
      <c r="CP26" s="548"/>
      <c r="CQ26" s="548"/>
      <c r="CR26" s="548"/>
      <c r="CS26" s="548"/>
      <c r="CT26" s="548"/>
      <c r="CU26" s="548"/>
      <c r="CV26" s="548"/>
      <c r="CW26" s="548"/>
      <c r="CX26" s="548"/>
      <c r="CY26" s="548"/>
      <c r="CZ26" s="548"/>
      <c r="DA26" s="548"/>
      <c r="DB26" s="548"/>
      <c r="DC26" s="548"/>
      <c r="DD26" s="548"/>
      <c r="DE26" s="548"/>
      <c r="DF26" s="548"/>
      <c r="DG26" s="548"/>
      <c r="DH26" s="548"/>
      <c r="DI26" s="548"/>
      <c r="DJ26" s="548"/>
      <c r="DK26" s="548"/>
      <c r="DL26" s="548"/>
      <c r="DM26" s="548"/>
      <c r="DN26" s="548"/>
      <c r="DO26" s="548"/>
      <c r="DP26" s="548"/>
      <c r="DQ26" s="548"/>
      <c r="DR26" s="548"/>
      <c r="DS26" s="548"/>
      <c r="DT26" s="548"/>
      <c r="DU26" s="548"/>
      <c r="DV26" s="548"/>
      <c r="DW26" s="548"/>
      <c r="DX26" s="548"/>
      <c r="DY26" s="548"/>
      <c r="DZ26" s="548"/>
      <c r="EA26" s="548"/>
      <c r="EB26" s="548"/>
      <c r="EC26" s="548"/>
      <c r="ED26" s="548"/>
      <c r="EE26" s="548"/>
      <c r="EF26" s="548"/>
      <c r="EG26" s="548"/>
      <c r="EH26" s="548"/>
      <c r="EI26" s="548"/>
      <c r="EJ26" s="548"/>
      <c r="EK26" s="548"/>
      <c r="EL26" s="548"/>
      <c r="EM26" s="548"/>
      <c r="EN26" s="548"/>
      <c r="EO26" s="548"/>
      <c r="EP26" s="548"/>
      <c r="EQ26" s="548"/>
      <c r="ER26" s="548"/>
      <c r="ES26" s="548"/>
      <c r="ET26" s="548"/>
      <c r="EU26" s="548"/>
      <c r="EV26" s="548"/>
      <c r="EW26" s="548"/>
      <c r="EX26" s="548"/>
      <c r="EY26" s="548"/>
      <c r="EZ26" s="548"/>
      <c r="FA26" s="548"/>
      <c r="FB26" s="548"/>
      <c r="FC26" s="548"/>
      <c r="FD26" s="548"/>
      <c r="FE26" s="548"/>
      <c r="FF26" s="548"/>
      <c r="FG26" s="548"/>
      <c r="FH26" s="548"/>
      <c r="FI26" s="548"/>
      <c r="FJ26" s="548"/>
      <c r="FK26" s="548"/>
      <c r="FL26" s="548"/>
      <c r="FM26" s="548"/>
      <c r="FN26" s="548"/>
      <c r="FO26" s="548"/>
      <c r="FP26" s="548"/>
      <c r="FQ26" s="548"/>
      <c r="FR26" s="548"/>
      <c r="FS26" s="548"/>
      <c r="FT26" s="548"/>
      <c r="FU26" s="548"/>
      <c r="FV26" s="548"/>
      <c r="FW26" s="548"/>
      <c r="FX26" s="548"/>
      <c r="FY26" s="548"/>
      <c r="FZ26" s="548"/>
      <c r="GA26" s="548"/>
      <c r="GB26" s="548"/>
      <c r="GC26" s="548"/>
      <c r="GD26" s="548"/>
      <c r="GE26" s="548"/>
      <c r="GF26" s="548"/>
      <c r="GG26" s="548"/>
      <c r="GH26" s="548"/>
      <c r="GI26" s="548"/>
      <c r="GJ26" s="548"/>
      <c r="GK26" s="548"/>
      <c r="GL26" s="548"/>
      <c r="GM26" s="548"/>
      <c r="GN26" s="548"/>
      <c r="GO26" s="548"/>
      <c r="GP26" s="548"/>
      <c r="GQ26" s="548"/>
      <c r="GR26" s="548"/>
      <c r="GS26" s="548"/>
      <c r="GT26" s="548"/>
      <c r="GU26" s="548"/>
      <c r="GV26" s="548"/>
      <c r="GW26" s="548"/>
      <c r="GX26" s="548"/>
      <c r="GY26" s="548"/>
      <c r="GZ26" s="548"/>
      <c r="HA26" s="548"/>
      <c r="HB26" s="548"/>
      <c r="HC26" s="548"/>
      <c r="HD26" s="548"/>
      <c r="HE26" s="548"/>
      <c r="HF26" s="548"/>
      <c r="HG26" s="548"/>
      <c r="HH26" s="548"/>
      <c r="HI26" s="548"/>
      <c r="HJ26" s="548"/>
      <c r="HK26" s="548"/>
      <c r="HL26" s="548"/>
      <c r="HM26" s="548"/>
      <c r="HN26" s="548"/>
      <c r="HO26" s="548"/>
      <c r="HP26" s="548"/>
      <c r="HQ26" s="548"/>
      <c r="HR26" s="548"/>
      <c r="HS26" s="548"/>
      <c r="HT26" s="548"/>
      <c r="HU26" s="548"/>
      <c r="HV26" s="548"/>
      <c r="HW26" s="548"/>
      <c r="HX26" s="548"/>
      <c r="HY26" s="548"/>
      <c r="HZ26" s="548"/>
      <c r="IA26" s="548"/>
      <c r="IB26" s="548"/>
      <c r="IC26" s="548"/>
      <c r="ID26" s="548"/>
      <c r="IE26" s="548"/>
      <c r="IF26" s="548"/>
      <c r="IG26" s="548"/>
      <c r="IH26" s="548"/>
      <c r="II26" s="548"/>
      <c r="IJ26" s="548"/>
      <c r="IK26" s="548"/>
      <c r="IL26" s="548"/>
      <c r="IM26" s="548"/>
    </row>
    <row r="27" spans="1:247" s="549" customFormat="1" ht="15" customHeight="1" x14ac:dyDescent="0.25">
      <c r="A27" s="338"/>
      <c r="B27" s="338"/>
      <c r="C27" s="338"/>
      <c r="D27" s="338"/>
      <c r="E27" s="338"/>
      <c r="F27" s="382" t="s">
        <v>286</v>
      </c>
      <c r="G27" s="569"/>
      <c r="H27" s="569"/>
      <c r="I27" s="567"/>
      <c r="J27" s="567"/>
      <c r="K27" s="567"/>
      <c r="L27" s="567"/>
      <c r="M27" s="548"/>
      <c r="N27" s="548"/>
      <c r="O27" s="548"/>
      <c r="P27" s="548"/>
      <c r="Q27" s="548"/>
      <c r="R27" s="548"/>
      <c r="S27" s="548"/>
      <c r="T27" s="548"/>
      <c r="U27" s="548"/>
      <c r="V27" s="548"/>
      <c r="W27" s="548"/>
      <c r="X27" s="548"/>
      <c r="Y27" s="548"/>
      <c r="Z27" s="548"/>
      <c r="AA27" s="548"/>
      <c r="AB27" s="548"/>
      <c r="AC27" s="548"/>
      <c r="AD27" s="548"/>
      <c r="AE27" s="548"/>
      <c r="AF27" s="548"/>
      <c r="AG27" s="548"/>
      <c r="AH27" s="548"/>
      <c r="AI27" s="548"/>
      <c r="AJ27" s="548"/>
      <c r="AK27" s="548"/>
      <c r="AL27" s="548"/>
      <c r="AM27" s="548"/>
      <c r="AN27" s="548"/>
      <c r="AO27" s="548"/>
      <c r="AP27" s="548"/>
      <c r="AQ27" s="548"/>
      <c r="AR27" s="548"/>
      <c r="AS27" s="548"/>
      <c r="AT27" s="548"/>
      <c r="AU27" s="548"/>
      <c r="AV27" s="548"/>
      <c r="AW27" s="548"/>
      <c r="AX27" s="548"/>
      <c r="AY27" s="548"/>
      <c r="AZ27" s="548"/>
      <c r="BA27" s="548"/>
      <c r="BB27" s="548"/>
      <c r="BC27" s="548"/>
      <c r="BD27" s="548"/>
      <c r="BE27" s="548"/>
      <c r="BF27" s="548"/>
      <c r="BG27" s="548"/>
      <c r="BH27" s="548"/>
      <c r="BI27" s="548"/>
      <c r="BJ27" s="548"/>
      <c r="BK27" s="548"/>
      <c r="BL27" s="548"/>
      <c r="BM27" s="548"/>
      <c r="BN27" s="548"/>
      <c r="BO27" s="548"/>
      <c r="BP27" s="548"/>
      <c r="BQ27" s="548"/>
      <c r="BR27" s="548"/>
      <c r="BS27" s="548"/>
      <c r="BT27" s="548"/>
      <c r="BU27" s="548"/>
      <c r="BV27" s="548"/>
      <c r="BW27" s="548"/>
      <c r="BX27" s="548"/>
      <c r="BY27" s="548"/>
      <c r="BZ27" s="548"/>
      <c r="CA27" s="548"/>
      <c r="CB27" s="548"/>
      <c r="CC27" s="548"/>
      <c r="CD27" s="548"/>
      <c r="CE27" s="548"/>
      <c r="CF27" s="548"/>
      <c r="CG27" s="548"/>
      <c r="CH27" s="548"/>
      <c r="CI27" s="548"/>
      <c r="CJ27" s="548"/>
      <c r="CK27" s="548"/>
      <c r="CL27" s="548"/>
      <c r="CM27" s="548"/>
      <c r="CN27" s="548"/>
      <c r="CO27" s="548"/>
      <c r="CP27" s="548"/>
      <c r="CQ27" s="548"/>
      <c r="CR27" s="548"/>
      <c r="CS27" s="548"/>
      <c r="CT27" s="548"/>
      <c r="CU27" s="548"/>
      <c r="CV27" s="548"/>
      <c r="CW27" s="548"/>
      <c r="CX27" s="548"/>
      <c r="CY27" s="548"/>
      <c r="CZ27" s="548"/>
      <c r="DA27" s="548"/>
      <c r="DB27" s="548"/>
      <c r="DC27" s="548"/>
      <c r="DD27" s="548"/>
      <c r="DE27" s="548"/>
      <c r="DF27" s="548"/>
      <c r="DG27" s="548"/>
      <c r="DH27" s="548"/>
      <c r="DI27" s="548"/>
      <c r="DJ27" s="548"/>
      <c r="DK27" s="548"/>
      <c r="DL27" s="548"/>
      <c r="DM27" s="548"/>
      <c r="DN27" s="548"/>
      <c r="DO27" s="548"/>
      <c r="DP27" s="548"/>
      <c r="DQ27" s="548"/>
      <c r="DR27" s="548"/>
      <c r="DS27" s="548"/>
      <c r="DT27" s="548"/>
      <c r="DU27" s="548"/>
      <c r="DV27" s="548"/>
      <c r="DW27" s="548"/>
      <c r="DX27" s="548"/>
      <c r="DY27" s="548"/>
      <c r="DZ27" s="548"/>
      <c r="EA27" s="548"/>
      <c r="EB27" s="548"/>
      <c r="EC27" s="548"/>
      <c r="ED27" s="548"/>
      <c r="EE27" s="548"/>
      <c r="EF27" s="548"/>
      <c r="EG27" s="548"/>
      <c r="EH27" s="548"/>
      <c r="EI27" s="548"/>
      <c r="EJ27" s="548"/>
      <c r="EK27" s="548"/>
      <c r="EL27" s="548"/>
      <c r="EM27" s="548"/>
      <c r="EN27" s="548"/>
      <c r="EO27" s="548"/>
      <c r="EP27" s="548"/>
      <c r="EQ27" s="548"/>
      <c r="ER27" s="548"/>
      <c r="ES27" s="548"/>
      <c r="ET27" s="548"/>
      <c r="EU27" s="548"/>
      <c r="EV27" s="548"/>
      <c r="EW27" s="548"/>
      <c r="EX27" s="548"/>
      <c r="EY27" s="548"/>
      <c r="EZ27" s="548"/>
      <c r="FA27" s="548"/>
      <c r="FB27" s="548"/>
      <c r="FC27" s="548"/>
      <c r="FD27" s="548"/>
      <c r="FE27" s="548"/>
      <c r="FF27" s="548"/>
      <c r="FG27" s="548"/>
      <c r="FH27" s="548"/>
      <c r="FI27" s="548"/>
      <c r="FJ27" s="548"/>
      <c r="FK27" s="548"/>
      <c r="FL27" s="548"/>
      <c r="FM27" s="548"/>
      <c r="FN27" s="548"/>
      <c r="FO27" s="548"/>
      <c r="FP27" s="548"/>
      <c r="FQ27" s="548"/>
      <c r="FR27" s="548"/>
      <c r="FS27" s="548"/>
      <c r="FT27" s="548"/>
      <c r="FU27" s="548"/>
      <c r="FV27" s="548"/>
      <c r="FW27" s="548"/>
      <c r="FX27" s="548"/>
      <c r="FY27" s="548"/>
      <c r="FZ27" s="548"/>
      <c r="GA27" s="548"/>
      <c r="GB27" s="548"/>
      <c r="GC27" s="548"/>
      <c r="GD27" s="548"/>
      <c r="GE27" s="548"/>
      <c r="GF27" s="548"/>
      <c r="GG27" s="548"/>
      <c r="GH27" s="548"/>
      <c r="GI27" s="548"/>
      <c r="GJ27" s="548"/>
      <c r="GK27" s="548"/>
      <c r="GL27" s="548"/>
      <c r="GM27" s="548"/>
      <c r="GN27" s="548"/>
      <c r="GO27" s="548"/>
      <c r="GP27" s="548"/>
      <c r="GQ27" s="548"/>
      <c r="GR27" s="548"/>
      <c r="GS27" s="548"/>
      <c r="GT27" s="548"/>
      <c r="GU27" s="548"/>
      <c r="GV27" s="548"/>
      <c r="GW27" s="548"/>
      <c r="GX27" s="548"/>
      <c r="GY27" s="548"/>
      <c r="GZ27" s="548"/>
      <c r="HA27" s="548"/>
      <c r="HB27" s="548"/>
      <c r="HC27" s="548"/>
      <c r="HD27" s="548"/>
      <c r="HE27" s="548"/>
      <c r="HF27" s="548"/>
      <c r="HG27" s="548"/>
      <c r="HH27" s="548"/>
      <c r="HI27" s="548"/>
      <c r="HJ27" s="548"/>
      <c r="HK27" s="548"/>
      <c r="HL27" s="548"/>
      <c r="HM27" s="548"/>
      <c r="HN27" s="548"/>
      <c r="HO27" s="548"/>
      <c r="HP27" s="548"/>
      <c r="HQ27" s="548"/>
      <c r="HR27" s="548"/>
      <c r="HS27" s="548"/>
      <c r="HT27" s="548"/>
      <c r="HU27" s="548"/>
      <c r="HV27" s="548"/>
      <c r="HW27" s="548"/>
      <c r="HX27" s="548"/>
      <c r="HY27" s="548"/>
      <c r="HZ27" s="548"/>
      <c r="IA27" s="548"/>
      <c r="IB27" s="548"/>
      <c r="IC27" s="548"/>
      <c r="ID27" s="548"/>
      <c r="IE27" s="548"/>
      <c r="IF27" s="548"/>
      <c r="IG27" s="548"/>
      <c r="IH27" s="548"/>
      <c r="II27" s="548"/>
      <c r="IJ27" s="548"/>
      <c r="IK27" s="548"/>
      <c r="IL27" s="548"/>
      <c r="IM27" s="548"/>
    </row>
    <row r="28" spans="1:247" x14ac:dyDescent="0.25">
      <c r="A28" s="540"/>
      <c r="B28" s="540"/>
      <c r="C28" s="540"/>
      <c r="D28" s="540"/>
      <c r="E28" s="540"/>
      <c r="F28" s="540"/>
      <c r="G28" s="540"/>
      <c r="H28" s="540"/>
    </row>
    <row r="29" spans="1:247" ht="12.75" customHeight="1" x14ac:dyDescent="0.25">
      <c r="A29" s="540"/>
      <c r="B29" s="540"/>
      <c r="C29" s="540"/>
      <c r="D29" s="540"/>
      <c r="E29" s="574" t="s">
        <v>31</v>
      </c>
      <c r="F29" s="575" t="s">
        <v>32</v>
      </c>
      <c r="G29" s="576" t="s">
        <v>33</v>
      </c>
      <c r="H29" s="577"/>
    </row>
    <row r="30" spans="1:247" x14ac:dyDescent="0.25">
      <c r="A30" s="540"/>
      <c r="B30" s="540"/>
      <c r="C30" s="540"/>
      <c r="D30" s="540"/>
      <c r="E30" s="578"/>
      <c r="F30" s="579"/>
      <c r="G30" s="580" t="s">
        <v>34</v>
      </c>
      <c r="H30" s="581" t="s">
        <v>35</v>
      </c>
    </row>
    <row r="31" spans="1:247" x14ac:dyDescent="0.25">
      <c r="A31" s="540"/>
      <c r="B31" s="540"/>
      <c r="C31" s="540"/>
      <c r="D31" s="540"/>
      <c r="E31" s="252" t="s">
        <v>155</v>
      </c>
      <c r="F31" s="390">
        <v>44255</v>
      </c>
      <c r="G31" s="390">
        <v>44228</v>
      </c>
      <c r="H31" s="253">
        <f>F31</f>
        <v>44255</v>
      </c>
    </row>
    <row r="32" spans="1:247" x14ac:dyDescent="0.25">
      <c r="A32" s="540"/>
      <c r="B32" s="540"/>
      <c r="C32" s="540"/>
      <c r="D32" s="540"/>
      <c r="E32" s="540"/>
      <c r="F32" s="540"/>
      <c r="G32" s="540"/>
      <c r="H32" s="540"/>
    </row>
    <row r="33" spans="1:22" s="587" customFormat="1" x14ac:dyDescent="0.25">
      <c r="A33" s="582"/>
      <c r="B33" s="582"/>
      <c r="C33" s="583"/>
      <c r="D33" s="584"/>
      <c r="E33" s="585"/>
      <c r="F33" s="584"/>
      <c r="G33" s="585"/>
      <c r="H33" s="584"/>
      <c r="I33" s="586"/>
      <c r="J33" s="586"/>
      <c r="K33" s="586"/>
      <c r="L33" s="586"/>
    </row>
    <row r="34" spans="1:22" s="587" customFormat="1" ht="16.5" x14ac:dyDescent="0.25">
      <c r="A34" s="588" t="s">
        <v>316</v>
      </c>
      <c r="B34" s="589"/>
      <c r="C34" s="589"/>
      <c r="D34" s="589"/>
      <c r="E34" s="589"/>
      <c r="F34" s="589"/>
      <c r="G34" s="589"/>
      <c r="H34" s="589"/>
      <c r="I34" s="586" t="s">
        <v>317</v>
      </c>
      <c r="J34" s="586"/>
      <c r="K34" s="586"/>
      <c r="L34" s="586"/>
    </row>
    <row r="35" spans="1:22" s="587" customFormat="1" ht="16.5" x14ac:dyDescent="0.25">
      <c r="A35" s="588" t="s">
        <v>388</v>
      </c>
      <c r="B35" s="589"/>
      <c r="C35" s="589"/>
      <c r="D35" s="589"/>
      <c r="E35" s="589"/>
      <c r="F35" s="589"/>
      <c r="G35" s="589"/>
      <c r="H35" s="589"/>
      <c r="I35" s="586"/>
      <c r="J35" s="586"/>
      <c r="K35" s="586"/>
      <c r="L35" s="586"/>
    </row>
    <row r="36" spans="1:22" s="587" customFormat="1" ht="17.25" thickBot="1" x14ac:dyDescent="0.3">
      <c r="A36" s="590" t="s">
        <v>318</v>
      </c>
      <c r="B36" s="591"/>
      <c r="C36" s="591"/>
      <c r="D36" s="591"/>
      <c r="E36" s="591"/>
      <c r="F36" s="591"/>
      <c r="G36" s="591"/>
      <c r="H36" s="591"/>
      <c r="I36" s="586"/>
      <c r="J36" s="586"/>
      <c r="K36" s="586"/>
      <c r="L36" s="586"/>
    </row>
    <row r="37" spans="1:22" s="587" customFormat="1" ht="22.5" customHeight="1" thickBot="1" x14ac:dyDescent="0.3">
      <c r="A37" s="592" t="s">
        <v>319</v>
      </c>
      <c r="B37" s="593" t="s">
        <v>320</v>
      </c>
      <c r="C37" s="594" t="s">
        <v>321</v>
      </c>
      <c r="D37" s="595"/>
      <c r="E37" s="595"/>
      <c r="F37" s="595"/>
      <c r="G37" s="595"/>
      <c r="H37" s="596"/>
      <c r="I37" s="586"/>
      <c r="J37" s="586"/>
      <c r="K37" s="586"/>
      <c r="L37" s="586"/>
    </row>
    <row r="38" spans="1:22" s="587" customFormat="1" ht="15" customHeight="1" x14ac:dyDescent="0.3">
      <c r="A38" s="597"/>
      <c r="B38" s="598"/>
      <c r="C38" s="599" t="s">
        <v>322</v>
      </c>
      <c r="D38" s="600"/>
      <c r="E38" s="599" t="s">
        <v>323</v>
      </c>
      <c r="F38" s="600"/>
      <c r="G38" s="599" t="s">
        <v>324</v>
      </c>
      <c r="H38" s="600"/>
      <c r="I38" s="586"/>
      <c r="J38" s="586"/>
      <c r="K38" s="586"/>
      <c r="L38" s="586"/>
      <c r="M38" s="601">
        <f>'[82]Реестр январь'!L29</f>
        <v>763133.52</v>
      </c>
      <c r="N38" s="602"/>
    </row>
    <row r="39" spans="1:22" s="587" customFormat="1" ht="16.5" customHeight="1" x14ac:dyDescent="0.3">
      <c r="A39" s="597"/>
      <c r="B39" s="598"/>
      <c r="C39" s="603"/>
      <c r="D39" s="604"/>
      <c r="E39" s="603"/>
      <c r="F39" s="604"/>
      <c r="G39" s="603"/>
      <c r="H39" s="604"/>
      <c r="I39" s="586"/>
      <c r="J39" s="586"/>
      <c r="K39" s="586"/>
      <c r="L39" s="586"/>
      <c r="M39" s="601">
        <f>'[82]Реестр январь'!N29</f>
        <v>5675027.5099999998</v>
      </c>
      <c r="N39" s="602">
        <f>H56-M39</f>
        <v>-5449042.0700000003</v>
      </c>
    </row>
    <row r="40" spans="1:22" s="587" customFormat="1" x14ac:dyDescent="0.25">
      <c r="A40" s="597"/>
      <c r="B40" s="598"/>
      <c r="C40" s="603" t="s">
        <v>325</v>
      </c>
      <c r="D40" s="605" t="s">
        <v>326</v>
      </c>
      <c r="E40" s="603" t="s">
        <v>325</v>
      </c>
      <c r="F40" s="605" t="s">
        <v>327</v>
      </c>
      <c r="G40" s="603" t="s">
        <v>325</v>
      </c>
      <c r="H40" s="605" t="s">
        <v>327</v>
      </c>
      <c r="I40" s="586"/>
      <c r="J40" s="586"/>
      <c r="K40" s="586"/>
      <c r="L40" s="586"/>
    </row>
    <row r="41" spans="1:22" s="587" customFormat="1" x14ac:dyDescent="0.25">
      <c r="A41" s="597"/>
      <c r="B41" s="598"/>
      <c r="C41" s="603"/>
      <c r="D41" s="605"/>
      <c r="E41" s="603"/>
      <c r="F41" s="605"/>
      <c r="G41" s="603"/>
      <c r="H41" s="605"/>
      <c r="I41" s="586"/>
      <c r="J41" s="586"/>
      <c r="K41" s="586"/>
      <c r="L41" s="586"/>
    </row>
    <row r="42" spans="1:22" s="587" customFormat="1" ht="16.5" thickBot="1" x14ac:dyDescent="0.3">
      <c r="A42" s="606"/>
      <c r="B42" s="607"/>
      <c r="C42" s="608"/>
      <c r="D42" s="609"/>
      <c r="E42" s="608"/>
      <c r="F42" s="609"/>
      <c r="G42" s="608"/>
      <c r="H42" s="610"/>
      <c r="I42" s="611" t="s">
        <v>328</v>
      </c>
      <c r="J42" s="586"/>
      <c r="K42" s="586"/>
      <c r="L42" s="586"/>
      <c r="M42" s="587" t="s">
        <v>329</v>
      </c>
    </row>
    <row r="43" spans="1:22" s="587" customFormat="1" ht="16.5" thickBot="1" x14ac:dyDescent="0.3">
      <c r="A43" s="612">
        <v>1</v>
      </c>
      <c r="B43" s="612">
        <v>2</v>
      </c>
      <c r="C43" s="613">
        <v>3</v>
      </c>
      <c r="D43" s="614">
        <v>4</v>
      </c>
      <c r="E43" s="613">
        <v>5</v>
      </c>
      <c r="F43" s="614">
        <v>6</v>
      </c>
      <c r="G43" s="613">
        <v>7</v>
      </c>
      <c r="H43" s="614">
        <v>8</v>
      </c>
      <c r="I43" s="615"/>
      <c r="J43" s="586"/>
      <c r="K43" s="586"/>
      <c r="L43" s="586"/>
      <c r="R43" s="616" t="s">
        <v>386</v>
      </c>
    </row>
    <row r="44" spans="1:22" s="587" customFormat="1" ht="25.5" x14ac:dyDescent="0.2">
      <c r="A44" s="278" t="s">
        <v>12</v>
      </c>
      <c r="B44" s="617" t="s">
        <v>330</v>
      </c>
      <c r="C44" s="378">
        <f>C46+C49+C50+C53</f>
        <v>9444235</v>
      </c>
      <c r="D44" s="378">
        <f>D46+D49+D50+D53</f>
        <v>47906799</v>
      </c>
      <c r="E44" s="378">
        <f>E46+E49+E50+E53</f>
        <v>774820</v>
      </c>
      <c r="F44" s="378">
        <f>F46+F49+F50+F53</f>
        <v>5901013</v>
      </c>
      <c r="G44" s="378">
        <f>Реестр!L16</f>
        <v>11687</v>
      </c>
      <c r="H44" s="264">
        <f>H46+H49+H50+H53</f>
        <v>225985.44</v>
      </c>
      <c r="I44" s="264">
        <v>8486700</v>
      </c>
      <c r="J44" s="264">
        <v>41200674.060000002</v>
      </c>
      <c r="K44" s="264">
        <v>8486700</v>
      </c>
      <c r="L44" s="264">
        <v>41200674.060000002</v>
      </c>
      <c r="M44" s="378">
        <v>8669415</v>
      </c>
      <c r="N44" s="377">
        <v>42005786.359999999</v>
      </c>
      <c r="O44" s="378">
        <v>8669415</v>
      </c>
      <c r="P44" s="378">
        <v>42005786</v>
      </c>
      <c r="Q44" s="618">
        <v>763133</v>
      </c>
      <c r="R44" s="618">
        <v>5675027.5099999998</v>
      </c>
      <c r="S44" s="587">
        <v>763133</v>
      </c>
      <c r="T44" s="587">
        <v>5675028</v>
      </c>
      <c r="U44" s="619">
        <f>S44+E44</f>
        <v>1537953</v>
      </c>
      <c r="V44" s="602">
        <f>T44+H44</f>
        <v>5901013.4400000004</v>
      </c>
    </row>
    <row r="45" spans="1:22" s="587" customFormat="1" ht="16.5" thickBot="1" x14ac:dyDescent="0.25">
      <c r="A45" s="254"/>
      <c r="B45" s="255" t="s">
        <v>331</v>
      </c>
      <c r="C45" s="256"/>
      <c r="D45" s="257"/>
      <c r="E45" s="256"/>
      <c r="F45" s="257"/>
      <c r="G45" s="258"/>
      <c r="H45" s="259"/>
      <c r="I45" s="258"/>
      <c r="J45" s="259"/>
      <c r="K45" s="258"/>
      <c r="L45" s="259"/>
      <c r="M45" s="258"/>
      <c r="N45" s="259"/>
      <c r="O45" s="258"/>
      <c r="P45" s="376"/>
      <c r="Q45" s="618"/>
      <c r="R45" s="618"/>
      <c r="U45" s="619">
        <f t="shared" ref="U45:U70" si="0">S45+E45</f>
        <v>0</v>
      </c>
      <c r="V45" s="602">
        <f t="shared" ref="V45:V70" si="1">T45+H45</f>
        <v>0</v>
      </c>
    </row>
    <row r="46" spans="1:22" s="587" customFormat="1" ht="16.5" thickBot="1" x14ac:dyDescent="0.25">
      <c r="A46" s="260" t="s">
        <v>149</v>
      </c>
      <c r="B46" s="261" t="s">
        <v>3</v>
      </c>
      <c r="C46" s="620">
        <f>G46+M46+Q46</f>
        <v>9398633</v>
      </c>
      <c r="D46" s="262">
        <f>H46+N46+R46</f>
        <v>46884101.289999999</v>
      </c>
      <c r="E46" s="621">
        <f>G46+Q46</f>
        <v>765524</v>
      </c>
      <c r="F46" s="262">
        <f>H46+R46</f>
        <v>5691848.7999999998</v>
      </c>
      <c r="G46" s="263">
        <f>Реестр!F16</f>
        <v>11028</v>
      </c>
      <c r="H46" s="264">
        <f>Реестр!H16</f>
        <v>211022.4</v>
      </c>
      <c r="I46" s="271">
        <v>8450873</v>
      </c>
      <c r="J46" s="265">
        <v>40397743.68</v>
      </c>
      <c r="K46" s="271">
        <v>8450873</v>
      </c>
      <c r="L46" s="265">
        <v>40397743.68</v>
      </c>
      <c r="M46" s="378">
        <v>8633109</v>
      </c>
      <c r="N46" s="264">
        <v>41192252.490000002</v>
      </c>
      <c r="O46" s="378">
        <v>8633109</v>
      </c>
      <c r="P46" s="377">
        <v>41192252.490000002</v>
      </c>
      <c r="Q46" s="618">
        <v>754496</v>
      </c>
      <c r="R46" s="618">
        <v>5480826.4000000004</v>
      </c>
      <c r="S46" s="587">
        <v>754496</v>
      </c>
      <c r="T46" s="587">
        <v>5480826.4000000004</v>
      </c>
      <c r="U46" s="619">
        <f t="shared" si="0"/>
        <v>1520020</v>
      </c>
      <c r="V46" s="602">
        <f t="shared" si="1"/>
        <v>5691848.7999999998</v>
      </c>
    </row>
    <row r="47" spans="1:22" s="587" customFormat="1" ht="16.5" thickBot="1" x14ac:dyDescent="0.25">
      <c r="A47" s="266" t="s">
        <v>150</v>
      </c>
      <c r="B47" s="267" t="s">
        <v>332</v>
      </c>
      <c r="C47" s="622">
        <f t="shared" ref="C47:C70" si="2">G47+M47</f>
        <v>0</v>
      </c>
      <c r="D47" s="268">
        <f>H47+N47+R47</f>
        <v>9376820.2599999998</v>
      </c>
      <c r="E47" s="623">
        <f t="shared" ref="E47:E62" si="3">G47</f>
        <v>0</v>
      </c>
      <c r="F47" s="268">
        <f>H47+R47</f>
        <v>1138369.76</v>
      </c>
      <c r="G47" s="269"/>
      <c r="H47" s="270">
        <f>ROUND(H46*0.2,2)</f>
        <v>42204.480000000003</v>
      </c>
      <c r="I47" s="271">
        <v>0</v>
      </c>
      <c r="J47" s="270">
        <v>8079548.7400000002</v>
      </c>
      <c r="K47" s="271">
        <v>0</v>
      </c>
      <c r="L47" s="270">
        <v>8079548.7400000002</v>
      </c>
      <c r="M47" s="271">
        <v>0</v>
      </c>
      <c r="N47" s="264">
        <v>8238450.5</v>
      </c>
      <c r="O47" s="378">
        <v>0</v>
      </c>
      <c r="P47" s="377">
        <v>8238450.5</v>
      </c>
      <c r="Q47" s="618"/>
      <c r="R47" s="618">
        <v>1096165.28</v>
      </c>
      <c r="S47" s="587">
        <v>0</v>
      </c>
      <c r="T47" s="587">
        <v>1096165.28</v>
      </c>
      <c r="U47" s="619">
        <f t="shared" si="0"/>
        <v>0</v>
      </c>
      <c r="V47" s="602">
        <f t="shared" si="1"/>
        <v>1138369.76</v>
      </c>
    </row>
    <row r="48" spans="1:22" s="587" customFormat="1" ht="16.5" thickBot="1" x14ac:dyDescent="0.25">
      <c r="A48" s="254" t="s">
        <v>151</v>
      </c>
      <c r="B48" s="272" t="s">
        <v>333</v>
      </c>
      <c r="C48" s="624">
        <f t="shared" si="2"/>
        <v>0</v>
      </c>
      <c r="D48" s="273">
        <f>H48+N48+R48</f>
        <v>56260921.549999997</v>
      </c>
      <c r="E48" s="625">
        <f t="shared" si="3"/>
        <v>0</v>
      </c>
      <c r="F48" s="273">
        <f>H48+R48</f>
        <v>6830218.5599999996</v>
      </c>
      <c r="G48" s="274"/>
      <c r="H48" s="259">
        <f>H46+H47</f>
        <v>253226.88</v>
      </c>
      <c r="I48" s="258">
        <v>0</v>
      </c>
      <c r="J48" s="259">
        <v>48477292.420000002</v>
      </c>
      <c r="K48" s="258">
        <v>0</v>
      </c>
      <c r="L48" s="259">
        <v>48477292.420000002</v>
      </c>
      <c r="M48" s="258">
        <v>0</v>
      </c>
      <c r="N48" s="264">
        <v>49430702.990000002</v>
      </c>
      <c r="O48" s="378">
        <v>0</v>
      </c>
      <c r="P48" s="377">
        <v>49430702.990000002</v>
      </c>
      <c r="Q48" s="618"/>
      <c r="R48" s="618">
        <v>6576991.6799999997</v>
      </c>
      <c r="S48" s="587">
        <v>0</v>
      </c>
      <c r="T48" s="587">
        <v>6576991.6799999997</v>
      </c>
      <c r="U48" s="619">
        <f t="shared" si="0"/>
        <v>0</v>
      </c>
      <c r="V48" s="602">
        <f t="shared" si="1"/>
        <v>6830218.5599999996</v>
      </c>
    </row>
    <row r="49" spans="1:22" s="587" customFormat="1" ht="16.5" thickBot="1" x14ac:dyDescent="0.25">
      <c r="A49" s="275" t="s">
        <v>152</v>
      </c>
      <c r="B49" s="261" t="s">
        <v>13</v>
      </c>
      <c r="C49" s="620">
        <f t="shared" si="2"/>
        <v>0</v>
      </c>
      <c r="D49" s="262">
        <f>H49+N49</f>
        <v>0</v>
      </c>
      <c r="E49" s="621">
        <f t="shared" si="3"/>
        <v>0</v>
      </c>
      <c r="F49" s="262">
        <f t="shared" ref="F49:F55" si="4">P49</f>
        <v>0</v>
      </c>
      <c r="G49" s="276">
        <v>0</v>
      </c>
      <c r="H49" s="264">
        <v>0</v>
      </c>
      <c r="I49" s="277">
        <v>0</v>
      </c>
      <c r="J49" s="264">
        <v>0</v>
      </c>
      <c r="K49" s="277">
        <v>0</v>
      </c>
      <c r="L49" s="264">
        <v>0</v>
      </c>
      <c r="M49" s="277">
        <v>0</v>
      </c>
      <c r="N49" s="264">
        <v>0</v>
      </c>
      <c r="O49" s="378">
        <v>0</v>
      </c>
      <c r="P49" s="377">
        <v>0</v>
      </c>
      <c r="Q49" s="618">
        <v>0</v>
      </c>
      <c r="R49" s="618">
        <v>0</v>
      </c>
      <c r="S49" s="587">
        <v>0</v>
      </c>
      <c r="T49" s="587">
        <v>0</v>
      </c>
      <c r="U49" s="619">
        <f t="shared" si="0"/>
        <v>0</v>
      </c>
      <c r="V49" s="602">
        <f t="shared" si="1"/>
        <v>0</v>
      </c>
    </row>
    <row r="50" spans="1:22" s="587" customFormat="1" ht="16.5" thickBot="1" x14ac:dyDescent="0.25">
      <c r="A50" s="278" t="s">
        <v>121</v>
      </c>
      <c r="B50" s="267" t="s">
        <v>60</v>
      </c>
      <c r="C50" s="622">
        <f>G50+M50+Q50</f>
        <v>45602</v>
      </c>
      <c r="D50" s="268">
        <f>N50+H50+R50</f>
        <v>1022698.02</v>
      </c>
      <c r="E50" s="623">
        <f>G50+Q50</f>
        <v>9296</v>
      </c>
      <c r="F50" s="268">
        <f>H50+R50</f>
        <v>209164.15</v>
      </c>
      <c r="G50" s="269">
        <f>Реестр!I16</f>
        <v>659</v>
      </c>
      <c r="H50" s="270">
        <f>Реестр!K16</f>
        <v>14963.04</v>
      </c>
      <c r="I50" s="271">
        <v>35827</v>
      </c>
      <c r="J50" s="265">
        <v>802930.38</v>
      </c>
      <c r="K50" s="271">
        <v>35827</v>
      </c>
      <c r="L50" s="265">
        <v>802930.38</v>
      </c>
      <c r="M50" s="264">
        <v>36306</v>
      </c>
      <c r="N50" s="264">
        <v>813533.87</v>
      </c>
      <c r="O50" s="378">
        <v>36306</v>
      </c>
      <c r="P50" s="377">
        <v>813533.87</v>
      </c>
      <c r="Q50" s="618">
        <v>8637</v>
      </c>
      <c r="R50" s="618">
        <v>194201.11</v>
      </c>
      <c r="S50" s="587">
        <v>8637</v>
      </c>
      <c r="T50" s="587">
        <v>194201.11</v>
      </c>
      <c r="U50" s="619">
        <f t="shared" si="0"/>
        <v>17933</v>
      </c>
      <c r="V50" s="602">
        <f t="shared" si="1"/>
        <v>209164.15</v>
      </c>
    </row>
    <row r="51" spans="1:22" s="587" customFormat="1" ht="16.5" thickBot="1" x14ac:dyDescent="0.25">
      <c r="A51" s="278" t="s">
        <v>153</v>
      </c>
      <c r="B51" s="267" t="s">
        <v>332</v>
      </c>
      <c r="C51" s="622">
        <f t="shared" si="2"/>
        <v>0</v>
      </c>
      <c r="D51" s="268">
        <f>H51+N51+R51</f>
        <v>204539.6</v>
      </c>
      <c r="E51" s="623">
        <f t="shared" si="3"/>
        <v>0</v>
      </c>
      <c r="F51" s="268">
        <f>H51+R51</f>
        <v>41832.83</v>
      </c>
      <c r="G51" s="269"/>
      <c r="H51" s="270">
        <f>ROUND((H49+H50)*0.2,2)</f>
        <v>2992.61</v>
      </c>
      <c r="I51" s="271">
        <v>0</v>
      </c>
      <c r="J51" s="265">
        <v>160586.07</v>
      </c>
      <c r="K51" s="271">
        <v>0</v>
      </c>
      <c r="L51" s="265">
        <v>160586.07</v>
      </c>
      <c r="M51" s="271">
        <v>0</v>
      </c>
      <c r="N51" s="264">
        <v>162706.76999999999</v>
      </c>
      <c r="O51" s="378">
        <v>0</v>
      </c>
      <c r="P51" s="377">
        <v>162706.76999999999</v>
      </c>
      <c r="Q51" s="618"/>
      <c r="R51" s="618">
        <v>38840.22</v>
      </c>
      <c r="S51" s="587">
        <v>0</v>
      </c>
      <c r="T51" s="587">
        <v>38840.22</v>
      </c>
      <c r="U51" s="619">
        <f t="shared" si="0"/>
        <v>0</v>
      </c>
      <c r="V51" s="602">
        <f t="shared" si="1"/>
        <v>41832.83</v>
      </c>
    </row>
    <row r="52" spans="1:22" s="587" customFormat="1" ht="16.5" thickBot="1" x14ac:dyDescent="0.25">
      <c r="A52" s="254" t="s">
        <v>154</v>
      </c>
      <c r="B52" s="272" t="s">
        <v>334</v>
      </c>
      <c r="C52" s="624">
        <f t="shared" si="2"/>
        <v>0</v>
      </c>
      <c r="D52" s="273">
        <f>N52+H52+R52</f>
        <v>1227237.6200000001</v>
      </c>
      <c r="E52" s="625">
        <f t="shared" si="3"/>
        <v>0</v>
      </c>
      <c r="F52" s="273">
        <f>H52+R52</f>
        <v>250996.98</v>
      </c>
      <c r="G52" s="274"/>
      <c r="H52" s="259">
        <f>H49+H50+H51</f>
        <v>17955.650000000001</v>
      </c>
      <c r="I52" s="258">
        <v>0</v>
      </c>
      <c r="J52" s="279">
        <v>963516.45</v>
      </c>
      <c r="K52" s="258">
        <v>0</v>
      </c>
      <c r="L52" s="279">
        <v>963516.45</v>
      </c>
      <c r="M52" s="258">
        <v>0</v>
      </c>
      <c r="N52" s="264">
        <v>976240.64000000001</v>
      </c>
      <c r="O52" s="378">
        <v>0</v>
      </c>
      <c r="P52" s="377">
        <v>976240.64000000001</v>
      </c>
      <c r="Q52" s="618"/>
      <c r="R52" s="618">
        <v>233041.33</v>
      </c>
      <c r="S52" s="587">
        <v>0</v>
      </c>
      <c r="T52" s="587">
        <v>233041.33</v>
      </c>
      <c r="U52" s="619">
        <f t="shared" si="0"/>
        <v>0</v>
      </c>
      <c r="V52" s="602">
        <f t="shared" si="1"/>
        <v>250996.98</v>
      </c>
    </row>
    <row r="53" spans="1:22" s="587" customFormat="1" ht="16.5" thickBot="1" x14ac:dyDescent="0.25">
      <c r="A53" s="275" t="s">
        <v>155</v>
      </c>
      <c r="B53" s="261" t="s">
        <v>62</v>
      </c>
      <c r="C53" s="620">
        <f t="shared" si="2"/>
        <v>0</v>
      </c>
      <c r="D53" s="262">
        <f>L53+H53</f>
        <v>0</v>
      </c>
      <c r="E53" s="621">
        <f t="shared" si="3"/>
        <v>0</v>
      </c>
      <c r="F53" s="262">
        <f t="shared" si="4"/>
        <v>0</v>
      </c>
      <c r="G53" s="280">
        <v>0</v>
      </c>
      <c r="H53" s="264">
        <v>0</v>
      </c>
      <c r="I53" s="277">
        <v>0</v>
      </c>
      <c r="J53" s="265">
        <v>0</v>
      </c>
      <c r="K53" s="277">
        <v>0</v>
      </c>
      <c r="L53" s="265">
        <v>0</v>
      </c>
      <c r="M53" s="277">
        <v>0</v>
      </c>
      <c r="N53" s="265">
        <v>0</v>
      </c>
      <c r="O53" s="378">
        <v>0</v>
      </c>
      <c r="P53" s="377">
        <v>0</v>
      </c>
      <c r="Q53" s="618">
        <v>0</v>
      </c>
      <c r="R53" s="618">
        <v>0</v>
      </c>
      <c r="S53" s="587">
        <v>0</v>
      </c>
      <c r="T53" s="587">
        <v>0</v>
      </c>
      <c r="U53" s="619">
        <f t="shared" si="0"/>
        <v>0</v>
      </c>
      <c r="V53" s="602">
        <f t="shared" si="1"/>
        <v>0</v>
      </c>
    </row>
    <row r="54" spans="1:22" s="587" customFormat="1" ht="16.5" thickBot="1" x14ac:dyDescent="0.25">
      <c r="A54" s="278" t="s">
        <v>156</v>
      </c>
      <c r="B54" s="267" t="s">
        <v>332</v>
      </c>
      <c r="C54" s="622">
        <f t="shared" si="2"/>
        <v>0</v>
      </c>
      <c r="D54" s="268">
        <f>L54+H54</f>
        <v>0</v>
      </c>
      <c r="E54" s="623">
        <f t="shared" si="3"/>
        <v>0</v>
      </c>
      <c r="F54" s="268">
        <f t="shared" si="4"/>
        <v>0</v>
      </c>
      <c r="G54" s="269"/>
      <c r="H54" s="270">
        <f>ROUND(H53*0.2,2)</f>
        <v>0</v>
      </c>
      <c r="I54" s="271">
        <v>0</v>
      </c>
      <c r="J54" s="265">
        <v>0</v>
      </c>
      <c r="K54" s="271">
        <v>0</v>
      </c>
      <c r="L54" s="265">
        <v>0</v>
      </c>
      <c r="M54" s="271">
        <v>0</v>
      </c>
      <c r="N54" s="265">
        <v>0</v>
      </c>
      <c r="O54" s="378">
        <v>0</v>
      </c>
      <c r="P54" s="377">
        <v>0</v>
      </c>
      <c r="Q54" s="618"/>
      <c r="R54" s="618">
        <v>0</v>
      </c>
      <c r="S54" s="587">
        <v>0</v>
      </c>
      <c r="T54" s="587">
        <v>0</v>
      </c>
      <c r="U54" s="619">
        <f t="shared" si="0"/>
        <v>0</v>
      </c>
      <c r="V54" s="602">
        <f t="shared" si="1"/>
        <v>0</v>
      </c>
    </row>
    <row r="55" spans="1:22" s="587" customFormat="1" ht="16.5" thickBot="1" x14ac:dyDescent="0.25">
      <c r="A55" s="254" t="s">
        <v>161</v>
      </c>
      <c r="B55" s="272" t="s">
        <v>335</v>
      </c>
      <c r="C55" s="624">
        <f t="shared" si="2"/>
        <v>0</v>
      </c>
      <c r="D55" s="273">
        <f>L55+H55</f>
        <v>0</v>
      </c>
      <c r="E55" s="625">
        <f t="shared" si="3"/>
        <v>0</v>
      </c>
      <c r="F55" s="273">
        <f t="shared" si="4"/>
        <v>0</v>
      </c>
      <c r="G55" s="274"/>
      <c r="H55" s="281">
        <f>ROUND((H53+H54),20)</f>
        <v>0</v>
      </c>
      <c r="I55" s="258">
        <v>0</v>
      </c>
      <c r="J55" s="279">
        <v>0</v>
      </c>
      <c r="K55" s="258">
        <v>0</v>
      </c>
      <c r="L55" s="279">
        <v>0</v>
      </c>
      <c r="M55" s="258">
        <v>0</v>
      </c>
      <c r="N55" s="279">
        <v>0</v>
      </c>
      <c r="O55" s="378">
        <v>0</v>
      </c>
      <c r="P55" s="377">
        <v>0</v>
      </c>
      <c r="Q55" s="618"/>
      <c r="R55" s="618">
        <v>0</v>
      </c>
      <c r="S55" s="587">
        <v>0</v>
      </c>
      <c r="T55" s="587">
        <v>0</v>
      </c>
      <c r="U55" s="619">
        <f t="shared" si="0"/>
        <v>0</v>
      </c>
      <c r="V55" s="602">
        <f t="shared" si="1"/>
        <v>0</v>
      </c>
    </row>
    <row r="56" spans="1:22" s="587" customFormat="1" ht="27.75" thickBot="1" x14ac:dyDescent="0.25">
      <c r="A56" s="282" t="s">
        <v>208</v>
      </c>
      <c r="B56" s="283" t="s">
        <v>336</v>
      </c>
      <c r="C56" s="620">
        <f t="shared" si="2"/>
        <v>0</v>
      </c>
      <c r="D56" s="262">
        <f>H56+N56+R56</f>
        <v>47906799.310000002</v>
      </c>
      <c r="E56" s="621">
        <f t="shared" si="3"/>
        <v>0</v>
      </c>
      <c r="F56" s="262">
        <f>H56+R56</f>
        <v>5901012.9500000002</v>
      </c>
      <c r="G56" s="284"/>
      <c r="H56" s="285">
        <f>H46+H49+H50+H53</f>
        <v>225985.44</v>
      </c>
      <c r="I56" s="277">
        <v>0</v>
      </c>
      <c r="J56" s="285">
        <v>41200674.060000002</v>
      </c>
      <c r="K56" s="277">
        <v>0</v>
      </c>
      <c r="L56" s="285">
        <v>41200674.060000002</v>
      </c>
      <c r="M56" s="277">
        <v>0</v>
      </c>
      <c r="N56" s="264">
        <v>42005786.359999999</v>
      </c>
      <c r="O56" s="378">
        <v>0</v>
      </c>
      <c r="P56" s="377">
        <v>42005786.359999999</v>
      </c>
      <c r="Q56" s="618"/>
      <c r="R56" s="618">
        <v>5675027.5099999998</v>
      </c>
      <c r="S56" s="587">
        <v>0</v>
      </c>
      <c r="T56" s="587">
        <v>5675027.5099999998</v>
      </c>
      <c r="U56" s="619">
        <f t="shared" si="0"/>
        <v>0</v>
      </c>
      <c r="V56" s="602">
        <f t="shared" si="1"/>
        <v>5901012.9500000002</v>
      </c>
    </row>
    <row r="57" spans="1:22" s="587" customFormat="1" ht="16.5" thickBot="1" x14ac:dyDescent="0.25">
      <c r="A57" s="286" t="s">
        <v>164</v>
      </c>
      <c r="B57" s="287" t="s">
        <v>337</v>
      </c>
      <c r="C57" s="622">
        <f t="shared" si="2"/>
        <v>0</v>
      </c>
      <c r="D57" s="268">
        <f>N57+H57+R57</f>
        <v>9581359.8599999994</v>
      </c>
      <c r="E57" s="623">
        <f t="shared" si="3"/>
        <v>0</v>
      </c>
      <c r="F57" s="268">
        <f>H57+R57</f>
        <v>1180202.5900000001</v>
      </c>
      <c r="G57" s="288"/>
      <c r="H57" s="289">
        <f>ROUND(H47+H51+H54,2)</f>
        <v>45197.09</v>
      </c>
      <c r="I57" s="271">
        <v>0</v>
      </c>
      <c r="J57" s="289">
        <v>8240134.8099999996</v>
      </c>
      <c r="K57" s="271">
        <v>0</v>
      </c>
      <c r="L57" s="289">
        <v>8240134.8099999996</v>
      </c>
      <c r="M57" s="271">
        <v>0</v>
      </c>
      <c r="N57" s="264">
        <v>8401157.2699999996</v>
      </c>
      <c r="O57" s="378">
        <v>0</v>
      </c>
      <c r="P57" s="377">
        <v>8401157.2699999996</v>
      </c>
      <c r="Q57" s="618"/>
      <c r="R57" s="618">
        <v>1135005.5</v>
      </c>
      <c r="S57" s="587">
        <v>0</v>
      </c>
      <c r="T57" s="587">
        <v>1135005.5</v>
      </c>
      <c r="U57" s="619">
        <f t="shared" si="0"/>
        <v>0</v>
      </c>
      <c r="V57" s="602">
        <f t="shared" si="1"/>
        <v>1180202.5900000001</v>
      </c>
    </row>
    <row r="58" spans="1:22" s="587" customFormat="1" ht="16.5" thickBot="1" x14ac:dyDescent="0.25">
      <c r="A58" s="290" t="s">
        <v>162</v>
      </c>
      <c r="B58" s="291" t="s">
        <v>338</v>
      </c>
      <c r="C58" s="624">
        <f t="shared" si="2"/>
        <v>0</v>
      </c>
      <c r="D58" s="273">
        <f>H58+N58+R58</f>
        <v>57488159.170000002</v>
      </c>
      <c r="E58" s="625">
        <f t="shared" si="3"/>
        <v>0</v>
      </c>
      <c r="F58" s="273">
        <f>H58+R58</f>
        <v>7081215.54</v>
      </c>
      <c r="G58" s="292"/>
      <c r="H58" s="293">
        <f>ROUND(H48+H52+H55,2)</f>
        <v>271182.53000000003</v>
      </c>
      <c r="I58" s="271">
        <v>0</v>
      </c>
      <c r="J58" s="293">
        <v>49440808.869999997</v>
      </c>
      <c r="K58" s="271">
        <v>0</v>
      </c>
      <c r="L58" s="293">
        <v>49440808.869999997</v>
      </c>
      <c r="M58" s="271">
        <v>0</v>
      </c>
      <c r="N58" s="264">
        <v>50406943.630000003</v>
      </c>
      <c r="O58" s="378">
        <v>0</v>
      </c>
      <c r="P58" s="377">
        <v>50406943.630000003</v>
      </c>
      <c r="Q58" s="618"/>
      <c r="R58" s="618">
        <v>6810033.0099999998</v>
      </c>
      <c r="S58" s="587">
        <v>0</v>
      </c>
      <c r="T58" s="587">
        <v>6810033.0099999998</v>
      </c>
      <c r="U58" s="619">
        <f t="shared" si="0"/>
        <v>0</v>
      </c>
      <c r="V58" s="602">
        <f t="shared" si="1"/>
        <v>7081215.54</v>
      </c>
    </row>
    <row r="59" spans="1:22" s="587" customFormat="1" ht="16.5" thickBot="1" x14ac:dyDescent="0.25">
      <c r="A59" s="275" t="s">
        <v>163</v>
      </c>
      <c r="B59" s="261" t="s">
        <v>339</v>
      </c>
      <c r="C59" s="620">
        <f t="shared" si="2"/>
        <v>0</v>
      </c>
      <c r="D59" s="262">
        <f>L59+H59+R59</f>
        <v>10357254.65</v>
      </c>
      <c r="E59" s="621">
        <f t="shared" si="3"/>
        <v>0</v>
      </c>
      <c r="F59" s="262">
        <f>H59+R59</f>
        <v>10357254.65</v>
      </c>
      <c r="G59" s="276"/>
      <c r="H59" s="264">
        <f>Реестр!O16</f>
        <v>214109.87</v>
      </c>
      <c r="I59" s="294">
        <v>0</v>
      </c>
      <c r="J59" s="264">
        <v>0</v>
      </c>
      <c r="K59" s="294"/>
      <c r="L59" s="264"/>
      <c r="M59" s="294">
        <v>0</v>
      </c>
      <c r="N59" s="264">
        <v>0</v>
      </c>
      <c r="O59" s="378">
        <v>0</v>
      </c>
      <c r="P59" s="377">
        <v>0</v>
      </c>
      <c r="Q59" s="618"/>
      <c r="R59" s="618">
        <v>10143144.779999999</v>
      </c>
      <c r="S59" s="587">
        <v>0</v>
      </c>
      <c r="T59" s="587">
        <v>10143144.779999999</v>
      </c>
      <c r="U59" s="619">
        <f t="shared" si="0"/>
        <v>0</v>
      </c>
      <c r="V59" s="602">
        <f t="shared" si="1"/>
        <v>10357254.65</v>
      </c>
    </row>
    <row r="60" spans="1:22" s="587" customFormat="1" ht="16.5" thickBot="1" x14ac:dyDescent="0.25">
      <c r="A60" s="295" t="s">
        <v>340</v>
      </c>
      <c r="B60" s="296" t="s">
        <v>341</v>
      </c>
      <c r="C60" s="624">
        <f>G60+M60</f>
        <v>1907496</v>
      </c>
      <c r="D60" s="273">
        <f>N60+H60+R60</f>
        <v>10084197.140000001</v>
      </c>
      <c r="E60" s="625">
        <f t="shared" si="3"/>
        <v>0</v>
      </c>
      <c r="F60" s="273">
        <f>H60+R60</f>
        <v>1139502.44</v>
      </c>
      <c r="G60" s="297">
        <v>0</v>
      </c>
      <c r="H60" s="257">
        <f>Реестр!P16</f>
        <v>1139502.44</v>
      </c>
      <c r="I60" s="256">
        <v>1907496</v>
      </c>
      <c r="J60" s="298">
        <v>8944694.6999999993</v>
      </c>
      <c r="K60" s="256">
        <v>1907496</v>
      </c>
      <c r="L60" s="298">
        <v>8944694.6999999993</v>
      </c>
      <c r="M60" s="256">
        <v>1907496</v>
      </c>
      <c r="N60" s="264">
        <v>8944694.6999999993</v>
      </c>
      <c r="O60" s="378">
        <v>1907496</v>
      </c>
      <c r="P60" s="377">
        <v>8944694.6999999993</v>
      </c>
      <c r="Q60" s="618">
        <v>0</v>
      </c>
      <c r="R60" s="618">
        <v>0</v>
      </c>
      <c r="S60" s="587">
        <v>0</v>
      </c>
      <c r="T60" s="587">
        <v>0</v>
      </c>
      <c r="U60" s="619">
        <f t="shared" si="0"/>
        <v>0</v>
      </c>
      <c r="V60" s="602">
        <f t="shared" si="1"/>
        <v>1139502.44</v>
      </c>
    </row>
    <row r="61" spans="1:22" s="587" customFormat="1" ht="16.5" thickBot="1" x14ac:dyDescent="0.3">
      <c r="A61" s="626">
        <v>17</v>
      </c>
      <c r="B61" s="627" t="s">
        <v>342</v>
      </c>
      <c r="C61" s="628"/>
      <c r="D61" s="629"/>
      <c r="E61" s="628"/>
      <c r="F61" s="628"/>
      <c r="G61" s="630"/>
      <c r="H61" s="631"/>
      <c r="I61" s="632"/>
      <c r="J61" s="632"/>
      <c r="K61" s="632"/>
      <c r="L61" s="632"/>
      <c r="Q61" s="602"/>
      <c r="R61" s="602"/>
      <c r="U61" s="619">
        <f t="shared" si="0"/>
        <v>0</v>
      </c>
      <c r="V61" s="602">
        <f t="shared" si="1"/>
        <v>0</v>
      </c>
    </row>
    <row r="62" spans="1:22" s="587" customFormat="1" x14ac:dyDescent="0.25">
      <c r="A62" s="299">
        <v>18</v>
      </c>
      <c r="B62" s="300" t="s">
        <v>343</v>
      </c>
      <c r="C62" s="633">
        <f t="shared" si="2"/>
        <v>0</v>
      </c>
      <c r="D62" s="301">
        <f>N62+H62+R62</f>
        <v>958135.99</v>
      </c>
      <c r="E62" s="620">
        <f t="shared" si="3"/>
        <v>0</v>
      </c>
      <c r="F62" s="262">
        <f>H62+R62</f>
        <v>118020.26</v>
      </c>
      <c r="G62" s="301">
        <v>0</v>
      </c>
      <c r="H62" s="302">
        <f>ROUND(H56*0.02,2)</f>
        <v>4519.71</v>
      </c>
      <c r="I62" s="303"/>
      <c r="J62" s="632"/>
      <c r="K62" s="303">
        <v>0</v>
      </c>
      <c r="L62" s="632">
        <v>739691.17</v>
      </c>
      <c r="M62" s="587">
        <v>0</v>
      </c>
      <c r="N62" s="587">
        <v>840115.73</v>
      </c>
      <c r="O62" s="587">
        <v>0</v>
      </c>
      <c r="P62" s="587">
        <v>840115.73</v>
      </c>
      <c r="Q62" s="587">
        <v>0</v>
      </c>
      <c r="R62" s="602">
        <v>113500.55</v>
      </c>
      <c r="S62" s="587">
        <v>0</v>
      </c>
      <c r="T62" s="587">
        <v>113500.55</v>
      </c>
      <c r="U62" s="619">
        <f t="shared" si="0"/>
        <v>0</v>
      </c>
      <c r="V62" s="602">
        <f t="shared" si="1"/>
        <v>118020.26</v>
      </c>
    </row>
    <row r="63" spans="1:22" s="587" customFormat="1" x14ac:dyDescent="0.25">
      <c r="A63" s="304">
        <v>19</v>
      </c>
      <c r="B63" s="267" t="s">
        <v>332</v>
      </c>
      <c r="C63" s="634">
        <f t="shared" si="2"/>
        <v>0</v>
      </c>
      <c r="D63" s="305">
        <f>N63+H63+R63</f>
        <v>191627.2</v>
      </c>
      <c r="E63" s="622">
        <f t="shared" ref="E63:E70" si="5">G63</f>
        <v>0</v>
      </c>
      <c r="F63" s="268">
        <f>H63+R63</f>
        <v>23604.05</v>
      </c>
      <c r="G63" s="305">
        <f>ROUND(G62*0.18,2)</f>
        <v>0</v>
      </c>
      <c r="H63" s="270">
        <f>ROUND(H62*0.2,2)</f>
        <v>903.94</v>
      </c>
      <c r="I63" s="303"/>
      <c r="J63" s="632"/>
      <c r="K63" s="303">
        <v>0</v>
      </c>
      <c r="L63" s="632">
        <v>147938.23000000001</v>
      </c>
      <c r="M63" s="587">
        <v>0</v>
      </c>
      <c r="N63" s="587">
        <v>168023.15</v>
      </c>
      <c r="O63" s="587">
        <v>0</v>
      </c>
      <c r="P63" s="587">
        <v>168023.15</v>
      </c>
      <c r="Q63" s="587">
        <v>0</v>
      </c>
      <c r="R63" s="602">
        <v>22700.11</v>
      </c>
      <c r="S63" s="587">
        <v>0</v>
      </c>
      <c r="T63" s="587">
        <v>22700.11</v>
      </c>
      <c r="U63" s="619">
        <f t="shared" si="0"/>
        <v>0</v>
      </c>
      <c r="V63" s="602">
        <f t="shared" si="1"/>
        <v>23604.05</v>
      </c>
    </row>
    <row r="64" spans="1:22" s="587" customFormat="1" ht="26.25" thickBot="1" x14ac:dyDescent="0.3">
      <c r="A64" s="306">
        <v>20</v>
      </c>
      <c r="B64" s="307" t="s">
        <v>344</v>
      </c>
      <c r="C64" s="635">
        <f t="shared" si="2"/>
        <v>0</v>
      </c>
      <c r="D64" s="308">
        <f>D62+D63</f>
        <v>1149763.19</v>
      </c>
      <c r="E64" s="624">
        <f t="shared" si="5"/>
        <v>0</v>
      </c>
      <c r="F64" s="309">
        <f t="shared" ref="F64:F70" si="6">H64+R64</f>
        <v>141624.31</v>
      </c>
      <c r="G64" s="308">
        <f>G62+G63</f>
        <v>0</v>
      </c>
      <c r="H64" s="259">
        <f>H62+H63</f>
        <v>5423.65</v>
      </c>
      <c r="I64" s="303"/>
      <c r="J64" s="632"/>
      <c r="K64" s="303">
        <v>0</v>
      </c>
      <c r="L64" s="632">
        <v>887629.4</v>
      </c>
      <c r="M64" s="587">
        <v>0</v>
      </c>
      <c r="N64" s="587">
        <v>1008138.88</v>
      </c>
      <c r="O64" s="587">
        <v>0</v>
      </c>
      <c r="P64" s="587">
        <v>1008138.88</v>
      </c>
      <c r="Q64" s="587">
        <v>0</v>
      </c>
      <c r="R64" s="602">
        <v>136200.66</v>
      </c>
      <c r="S64" s="587">
        <v>0</v>
      </c>
      <c r="T64" s="587">
        <v>136200.66</v>
      </c>
      <c r="U64" s="619">
        <f t="shared" si="0"/>
        <v>0</v>
      </c>
      <c r="V64" s="602">
        <f t="shared" si="1"/>
        <v>141624.31</v>
      </c>
    </row>
    <row r="65" spans="1:22" s="587" customFormat="1" x14ac:dyDescent="0.25">
      <c r="A65" s="310">
        <v>21</v>
      </c>
      <c r="B65" s="311" t="s">
        <v>345</v>
      </c>
      <c r="C65" s="633">
        <f t="shared" si="2"/>
        <v>0</v>
      </c>
      <c r="D65" s="312">
        <f>D62</f>
        <v>958135.99</v>
      </c>
      <c r="E65" s="620">
        <f t="shared" si="5"/>
        <v>0</v>
      </c>
      <c r="F65" s="262">
        <f t="shared" si="6"/>
        <v>118020.26</v>
      </c>
      <c r="G65" s="312">
        <f t="shared" ref="G65:G67" si="7">G62</f>
        <v>0</v>
      </c>
      <c r="H65" s="302">
        <f>H62</f>
        <v>4519.71</v>
      </c>
      <c r="I65" s="303"/>
      <c r="J65" s="632"/>
      <c r="K65" s="303" t="s">
        <v>346</v>
      </c>
      <c r="L65" s="632">
        <v>739691.17</v>
      </c>
      <c r="M65" s="587">
        <v>0</v>
      </c>
      <c r="N65" s="587">
        <v>840115.73</v>
      </c>
      <c r="O65" s="587">
        <v>0</v>
      </c>
      <c r="P65" s="587">
        <v>840115.73</v>
      </c>
      <c r="Q65" s="587">
        <v>0</v>
      </c>
      <c r="R65" s="602">
        <v>113500.55</v>
      </c>
      <c r="S65" s="587">
        <v>0</v>
      </c>
      <c r="T65" s="587">
        <v>113500.55</v>
      </c>
      <c r="U65" s="619">
        <f t="shared" si="0"/>
        <v>0</v>
      </c>
      <c r="V65" s="602">
        <f t="shared" si="1"/>
        <v>118020.26</v>
      </c>
    </row>
    <row r="66" spans="1:22" s="587" customFormat="1" x14ac:dyDescent="0.25">
      <c r="A66" s="304">
        <v>22</v>
      </c>
      <c r="B66" s="313" t="s">
        <v>347</v>
      </c>
      <c r="C66" s="634">
        <f t="shared" si="2"/>
        <v>0</v>
      </c>
      <c r="D66" s="305">
        <f>D63</f>
        <v>191627.2</v>
      </c>
      <c r="E66" s="622">
        <f t="shared" si="5"/>
        <v>0</v>
      </c>
      <c r="F66" s="268">
        <f t="shared" si="6"/>
        <v>23604.05</v>
      </c>
      <c r="G66" s="305">
        <f t="shared" si="7"/>
        <v>0</v>
      </c>
      <c r="H66" s="270">
        <f>H63</f>
        <v>903.94</v>
      </c>
      <c r="I66" s="303"/>
      <c r="J66" s="632"/>
      <c r="K66" s="303" t="s">
        <v>346</v>
      </c>
      <c r="L66" s="632">
        <v>147938.23000000001</v>
      </c>
      <c r="M66" s="587">
        <v>0</v>
      </c>
      <c r="N66" s="587">
        <v>168023.15</v>
      </c>
      <c r="O66" s="587">
        <v>0</v>
      </c>
      <c r="P66" s="587">
        <v>168023.15</v>
      </c>
      <c r="Q66" s="587">
        <v>0</v>
      </c>
      <c r="R66" s="602">
        <v>22700.11</v>
      </c>
      <c r="S66" s="587">
        <v>0</v>
      </c>
      <c r="T66" s="587">
        <v>22700.11</v>
      </c>
      <c r="U66" s="619">
        <f t="shared" si="0"/>
        <v>0</v>
      </c>
      <c r="V66" s="602">
        <f t="shared" si="1"/>
        <v>23604.05</v>
      </c>
    </row>
    <row r="67" spans="1:22" s="587" customFormat="1" ht="27" customHeight="1" thickBot="1" x14ac:dyDescent="0.3">
      <c r="A67" s="314">
        <v>23</v>
      </c>
      <c r="B67" s="315" t="s">
        <v>348</v>
      </c>
      <c r="C67" s="635">
        <f t="shared" si="2"/>
        <v>0</v>
      </c>
      <c r="D67" s="316">
        <f>D64</f>
        <v>1149763.19</v>
      </c>
      <c r="E67" s="624">
        <f t="shared" si="5"/>
        <v>0</v>
      </c>
      <c r="F67" s="273">
        <f t="shared" si="6"/>
        <v>141624.31</v>
      </c>
      <c r="G67" s="316">
        <f t="shared" si="7"/>
        <v>0</v>
      </c>
      <c r="H67" s="317">
        <f>H64</f>
        <v>5423.65</v>
      </c>
      <c r="I67" s="303"/>
      <c r="J67" s="632"/>
      <c r="K67" s="303" t="s">
        <v>346</v>
      </c>
      <c r="L67" s="632">
        <v>887629.4</v>
      </c>
      <c r="M67" s="587">
        <v>0</v>
      </c>
      <c r="N67" s="587">
        <v>1008138.88</v>
      </c>
      <c r="O67" s="587">
        <v>0</v>
      </c>
      <c r="P67" s="587">
        <v>1008138.88</v>
      </c>
      <c r="Q67" s="587">
        <v>0</v>
      </c>
      <c r="R67" s="602">
        <v>136200.66</v>
      </c>
      <c r="S67" s="587">
        <v>0</v>
      </c>
      <c r="T67" s="587">
        <v>136200.66</v>
      </c>
      <c r="U67" s="619">
        <f t="shared" si="0"/>
        <v>0</v>
      </c>
      <c r="V67" s="602">
        <f t="shared" si="1"/>
        <v>141624.31</v>
      </c>
    </row>
    <row r="68" spans="1:22" s="587" customFormat="1" x14ac:dyDescent="0.25">
      <c r="A68" s="318">
        <v>24</v>
      </c>
      <c r="B68" s="311" t="s">
        <v>349</v>
      </c>
      <c r="C68" s="633">
        <f t="shared" si="2"/>
        <v>0</v>
      </c>
      <c r="D68" s="312">
        <f>D56-D65</f>
        <v>46948663.32</v>
      </c>
      <c r="E68" s="620">
        <f t="shared" si="5"/>
        <v>0</v>
      </c>
      <c r="F68" s="262">
        <f t="shared" si="6"/>
        <v>5782992.6900000004</v>
      </c>
      <c r="G68" s="312">
        <f>G56-G65</f>
        <v>0</v>
      </c>
      <c r="H68" s="302">
        <f>H56-H65</f>
        <v>221465.73</v>
      </c>
      <c r="I68" s="303"/>
      <c r="J68" s="632"/>
      <c r="K68" s="303" t="s">
        <v>346</v>
      </c>
      <c r="L68" s="632">
        <v>36244867.289999999</v>
      </c>
      <c r="M68" s="587">
        <v>0</v>
      </c>
      <c r="N68" s="587">
        <v>41165670.630000003</v>
      </c>
      <c r="O68" s="587">
        <v>0</v>
      </c>
      <c r="P68" s="587">
        <v>41165670.630000003</v>
      </c>
      <c r="Q68" s="587">
        <v>0</v>
      </c>
      <c r="R68" s="602">
        <v>5561526.96</v>
      </c>
      <c r="S68" s="587">
        <v>0</v>
      </c>
      <c r="T68" s="587">
        <v>5561526.96</v>
      </c>
      <c r="U68" s="619">
        <f t="shared" si="0"/>
        <v>0</v>
      </c>
      <c r="V68" s="602">
        <f t="shared" si="1"/>
        <v>5782992.6900000004</v>
      </c>
    </row>
    <row r="69" spans="1:22" s="587" customFormat="1" x14ac:dyDescent="0.25">
      <c r="A69" s="319">
        <v>25</v>
      </c>
      <c r="B69" s="313" t="s">
        <v>350</v>
      </c>
      <c r="C69" s="634">
        <f t="shared" si="2"/>
        <v>0</v>
      </c>
      <c r="D69" s="305">
        <f>D57-D66</f>
        <v>9389732.6600000001</v>
      </c>
      <c r="E69" s="622">
        <f t="shared" si="5"/>
        <v>0</v>
      </c>
      <c r="F69" s="268">
        <f t="shared" si="6"/>
        <v>1156598.54</v>
      </c>
      <c r="G69" s="305">
        <f>G57-G66</f>
        <v>0</v>
      </c>
      <c r="H69" s="270">
        <f>H57-H66</f>
        <v>44293.15</v>
      </c>
      <c r="I69" s="303"/>
      <c r="J69" s="632"/>
      <c r="K69" s="303" t="s">
        <v>346</v>
      </c>
      <c r="L69" s="632">
        <v>7248973.46</v>
      </c>
      <c r="M69" s="587">
        <v>0</v>
      </c>
      <c r="N69" s="587">
        <v>8233134.1200000001</v>
      </c>
      <c r="O69" s="587">
        <v>0</v>
      </c>
      <c r="P69" s="587">
        <v>8233134.1200000001</v>
      </c>
      <c r="Q69" s="587">
        <v>0</v>
      </c>
      <c r="R69" s="602">
        <v>1112305.3899999999</v>
      </c>
      <c r="S69" s="587">
        <v>0</v>
      </c>
      <c r="T69" s="587">
        <v>1112305.3899999999</v>
      </c>
      <c r="U69" s="619">
        <f t="shared" si="0"/>
        <v>0</v>
      </c>
      <c r="V69" s="602">
        <f t="shared" si="1"/>
        <v>1156598.54</v>
      </c>
    </row>
    <row r="70" spans="1:22" s="587" customFormat="1" ht="15" customHeight="1" thickBot="1" x14ac:dyDescent="0.3">
      <c r="A70" s="320">
        <v>26</v>
      </c>
      <c r="B70" s="321" t="s">
        <v>351</v>
      </c>
      <c r="C70" s="635">
        <f t="shared" si="2"/>
        <v>0</v>
      </c>
      <c r="D70" s="316">
        <f>D58-D67</f>
        <v>56338395.979999997</v>
      </c>
      <c r="E70" s="624">
        <f t="shared" si="5"/>
        <v>0</v>
      </c>
      <c r="F70" s="273">
        <f t="shared" si="6"/>
        <v>6939591.2300000004</v>
      </c>
      <c r="G70" s="316">
        <f>G68+G69</f>
        <v>0</v>
      </c>
      <c r="H70" s="317">
        <f>H58-H67</f>
        <v>265758.88</v>
      </c>
      <c r="I70" s="303"/>
      <c r="J70" s="632"/>
      <c r="K70" s="303" t="s">
        <v>346</v>
      </c>
      <c r="L70" s="632">
        <v>43493840.75</v>
      </c>
      <c r="M70" s="587">
        <v>0</v>
      </c>
      <c r="N70" s="587">
        <v>49398804.75</v>
      </c>
      <c r="O70" s="587">
        <v>0</v>
      </c>
      <c r="P70" s="587">
        <v>49398804.75</v>
      </c>
      <c r="Q70" s="587">
        <v>0</v>
      </c>
      <c r="R70" s="602">
        <v>6673832.3499999996</v>
      </c>
      <c r="S70" s="587">
        <v>0</v>
      </c>
      <c r="T70" s="587">
        <v>6673832.3499999996</v>
      </c>
      <c r="U70" s="619">
        <f t="shared" si="0"/>
        <v>0</v>
      </c>
      <c r="V70" s="602">
        <f t="shared" si="1"/>
        <v>6939591.2300000004</v>
      </c>
    </row>
    <row r="71" spans="1:22" s="587" customFormat="1" ht="23.25" customHeight="1" x14ac:dyDescent="0.25">
      <c r="A71" s="582"/>
      <c r="B71" s="582"/>
      <c r="C71" s="582"/>
      <c r="D71" s="636"/>
      <c r="E71" s="582"/>
      <c r="F71" s="636"/>
      <c r="G71" s="582"/>
      <c r="H71" s="636"/>
      <c r="I71" s="322"/>
      <c r="J71" s="586"/>
      <c r="K71" s="586"/>
      <c r="L71" s="586"/>
    </row>
    <row r="72" spans="1:22" s="587" customFormat="1" ht="20.25" customHeight="1" x14ac:dyDescent="0.25">
      <c r="A72" s="582"/>
      <c r="B72" s="582"/>
      <c r="C72" s="582"/>
      <c r="D72" s="636"/>
      <c r="E72" s="582"/>
      <c r="F72" s="636"/>
      <c r="G72" s="582"/>
      <c r="H72" s="636"/>
      <c r="I72" s="322"/>
      <c r="J72" s="586"/>
      <c r="K72" s="586"/>
      <c r="L72" s="586"/>
    </row>
    <row r="73" spans="1:22" s="587" customFormat="1" ht="17.25" customHeight="1" x14ac:dyDescent="0.25">
      <c r="A73" s="582"/>
      <c r="B73" s="637" t="s">
        <v>284</v>
      </c>
      <c r="C73" s="637"/>
      <c r="D73" s="637"/>
      <c r="E73" s="637"/>
      <c r="F73" s="637"/>
      <c r="G73" s="637"/>
      <c r="H73" s="637"/>
      <c r="I73" s="323"/>
      <c r="J73" s="586"/>
      <c r="K73" s="586"/>
      <c r="L73" s="586"/>
    </row>
    <row r="74" spans="1:22" s="587" customFormat="1" ht="36" customHeight="1" x14ac:dyDescent="0.25">
      <c r="A74" s="582"/>
      <c r="B74" s="638" t="s">
        <v>352</v>
      </c>
      <c r="C74" s="639" t="s">
        <v>353</v>
      </c>
      <c r="D74" s="639"/>
      <c r="E74" s="639"/>
      <c r="F74" s="639"/>
      <c r="G74" s="639"/>
      <c r="H74" s="640" t="s">
        <v>354</v>
      </c>
      <c r="I74" s="322"/>
      <c r="J74" s="586"/>
      <c r="K74" s="586"/>
      <c r="L74" s="586"/>
    </row>
    <row r="75" spans="1:22" s="587" customFormat="1" x14ac:dyDescent="0.25">
      <c r="A75" s="582"/>
      <c r="B75" s="641" t="s">
        <v>355</v>
      </c>
      <c r="C75" s="642"/>
      <c r="D75" s="642"/>
      <c r="E75" s="642"/>
      <c r="F75" s="642"/>
      <c r="G75" s="642"/>
      <c r="H75" s="637"/>
      <c r="I75" s="322"/>
      <c r="J75" s="586"/>
      <c r="K75" s="586"/>
      <c r="L75" s="586"/>
    </row>
    <row r="76" spans="1:22" s="587" customFormat="1" x14ac:dyDescent="0.25">
      <c r="A76" s="582"/>
      <c r="B76" s="637"/>
      <c r="C76" s="642"/>
      <c r="D76" s="642"/>
      <c r="E76" s="642"/>
      <c r="F76" s="642"/>
      <c r="G76" s="642"/>
      <c r="H76" s="643"/>
      <c r="I76" s="323"/>
      <c r="J76" s="586"/>
      <c r="K76" s="586"/>
      <c r="L76" s="586"/>
    </row>
    <row r="77" spans="1:22" s="587" customFormat="1" x14ac:dyDescent="0.25">
      <c r="A77" s="582"/>
      <c r="B77" s="637" t="s">
        <v>356</v>
      </c>
      <c r="C77" s="637"/>
      <c r="D77" s="637"/>
      <c r="E77" s="637"/>
      <c r="F77" s="637"/>
      <c r="G77" s="637"/>
      <c r="H77" s="637"/>
      <c r="I77" s="615"/>
      <c r="J77" s="586"/>
      <c r="K77" s="586"/>
      <c r="L77" s="586"/>
    </row>
    <row r="78" spans="1:22" s="587" customFormat="1" ht="37.5" customHeight="1" x14ac:dyDescent="0.25">
      <c r="A78" s="582"/>
      <c r="B78" s="638" t="s">
        <v>357</v>
      </c>
      <c r="C78" s="639" t="s">
        <v>353</v>
      </c>
      <c r="D78" s="639"/>
      <c r="E78" s="639"/>
      <c r="F78" s="639"/>
      <c r="G78" s="639"/>
      <c r="H78" s="644" t="s">
        <v>358</v>
      </c>
      <c r="I78" s="586"/>
      <c r="J78" s="586"/>
      <c r="K78" s="586"/>
      <c r="L78" s="586"/>
    </row>
    <row r="79" spans="1:22" s="587" customFormat="1" x14ac:dyDescent="0.25">
      <c r="A79" s="582"/>
      <c r="B79" s="641" t="s">
        <v>355</v>
      </c>
      <c r="C79" s="637"/>
      <c r="D79" s="637"/>
      <c r="E79" s="642"/>
      <c r="F79" s="642"/>
      <c r="G79" s="642"/>
      <c r="H79" s="642"/>
      <c r="I79" s="586"/>
      <c r="J79" s="586"/>
      <c r="K79" s="586"/>
      <c r="L79" s="586"/>
    </row>
  </sheetData>
  <mergeCells count="44">
    <mergeCell ref="G5:H5"/>
    <mergeCell ref="G6:H6"/>
    <mergeCell ref="G7:H7"/>
    <mergeCell ref="G9:H9"/>
    <mergeCell ref="G10:H10"/>
    <mergeCell ref="A12:E12"/>
    <mergeCell ref="A13:E13"/>
    <mergeCell ref="G13:H14"/>
    <mergeCell ref="A14:E14"/>
    <mergeCell ref="A15:E15"/>
    <mergeCell ref="G15:H16"/>
    <mergeCell ref="A16:E16"/>
    <mergeCell ref="G11:H12"/>
    <mergeCell ref="A17:E17"/>
    <mergeCell ref="G17:H18"/>
    <mergeCell ref="A18:E18"/>
    <mergeCell ref="A19:E19"/>
    <mergeCell ref="G19:H20"/>
    <mergeCell ref="A20:E20"/>
    <mergeCell ref="A35:H35"/>
    <mergeCell ref="A21:E21"/>
    <mergeCell ref="G21:H22"/>
    <mergeCell ref="A22:E22"/>
    <mergeCell ref="A23:E23"/>
    <mergeCell ref="G24:H24"/>
    <mergeCell ref="G25:H25"/>
    <mergeCell ref="G26:H26"/>
    <mergeCell ref="G27:H27"/>
    <mergeCell ref="F29:F30"/>
    <mergeCell ref="G29:H29"/>
    <mergeCell ref="A34:H34"/>
    <mergeCell ref="G40:G42"/>
    <mergeCell ref="H40:H42"/>
    <mergeCell ref="B61:H61"/>
    <mergeCell ref="A37:A42"/>
    <mergeCell ref="B37:B42"/>
    <mergeCell ref="C37:H37"/>
    <mergeCell ref="C38:D39"/>
    <mergeCell ref="E38:F39"/>
    <mergeCell ref="G38:H39"/>
    <mergeCell ref="C40:C42"/>
    <mergeCell ref="D40:D42"/>
    <mergeCell ref="E40:E42"/>
    <mergeCell ref="F40:F42"/>
  </mergeCells>
  <pageMargins left="0.7" right="0.7" top="0.75" bottom="0.75" header="0.3" footer="0.3"/>
  <pageSetup paperSize="9" scale="58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fitToPage="1"/>
  </sheetPr>
  <dimension ref="A1:W36"/>
  <sheetViews>
    <sheetView view="pageBreakPreview" zoomScale="40" zoomScaleNormal="40" zoomScaleSheetLayoutView="40" workbookViewId="0">
      <selection activeCell="O16" sqref="O16:P16"/>
    </sheetView>
  </sheetViews>
  <sheetFormatPr defaultColWidth="9.33203125" defaultRowHeight="25.5" outlineLevelCol="1" x14ac:dyDescent="0.2"/>
  <cols>
    <col min="1" max="1" width="8.1640625" style="67" customWidth="1"/>
    <col min="2" max="2" width="13.83203125" style="68" customWidth="1"/>
    <col min="3" max="3" width="35.1640625" style="69" customWidth="1" outlineLevel="1"/>
    <col min="4" max="4" width="23" style="69" customWidth="1" outlineLevel="1"/>
    <col min="5" max="5" width="67.5" style="47" customWidth="1" outlineLevel="1"/>
    <col min="6" max="7" width="26.1640625" style="70" customWidth="1"/>
    <col min="8" max="8" width="24.6640625" style="70" customWidth="1"/>
    <col min="9" max="11" width="21.5" style="70" customWidth="1"/>
    <col min="12" max="12" width="28" style="71" customWidth="1"/>
    <col min="13" max="13" width="28.5" style="71" customWidth="1"/>
    <col min="14" max="14" width="29" style="71" customWidth="1"/>
    <col min="15" max="15" width="28.5" style="71" customWidth="1"/>
    <col min="16" max="16" width="22.33203125" style="71" customWidth="1"/>
    <col min="17" max="17" width="31.83203125" style="72" customWidth="1"/>
    <col min="18" max="18" width="48" style="73" customWidth="1"/>
    <col min="19" max="19" width="34.83203125" style="251" customWidth="1"/>
    <col min="20" max="20" width="9.33203125" style="74"/>
    <col min="21" max="21" width="31.5" style="74" customWidth="1"/>
    <col min="22" max="16384" width="9.33203125" style="74"/>
  </cols>
  <sheetData>
    <row r="1" spans="1:23" s="168" customFormat="1" ht="26.25" x14ac:dyDescent="0.2">
      <c r="A1" s="205" t="s">
        <v>287</v>
      </c>
      <c r="B1" s="206"/>
      <c r="C1" s="206"/>
      <c r="D1" s="205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8"/>
      <c r="W1" s="208"/>
    </row>
    <row r="2" spans="1:23" s="168" customFormat="1" ht="26.25" x14ac:dyDescent="0.2">
      <c r="A2" s="209" t="s">
        <v>288</v>
      </c>
      <c r="B2" s="210"/>
      <c r="C2" s="210"/>
      <c r="D2" s="209"/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8"/>
      <c r="W2" s="208"/>
    </row>
    <row r="3" spans="1:23" s="168" customFormat="1" ht="26.25" x14ac:dyDescent="0.2">
      <c r="A3" s="205" t="s">
        <v>289</v>
      </c>
      <c r="B3" s="205"/>
      <c r="C3" s="205"/>
      <c r="D3" s="207"/>
      <c r="E3" s="207"/>
      <c r="F3" s="207"/>
      <c r="G3" s="207"/>
      <c r="H3" s="207"/>
      <c r="I3" s="207"/>
      <c r="J3" s="207"/>
      <c r="K3" s="207"/>
      <c r="L3" s="207"/>
      <c r="M3" s="207"/>
      <c r="N3" s="207"/>
      <c r="O3" s="207"/>
      <c r="P3" s="207"/>
      <c r="Q3" s="207"/>
      <c r="R3" s="207"/>
      <c r="S3" s="207"/>
      <c r="T3" s="207"/>
      <c r="U3" s="207"/>
      <c r="V3" s="208"/>
      <c r="W3" s="208"/>
    </row>
    <row r="4" spans="1:23" s="168" customFormat="1" ht="26.25" x14ac:dyDescent="0.2">
      <c r="A4" s="209" t="s">
        <v>290</v>
      </c>
      <c r="B4" s="206"/>
      <c r="C4" s="206"/>
      <c r="D4" s="205"/>
      <c r="E4" s="207"/>
      <c r="F4" s="207"/>
      <c r="G4" s="207"/>
      <c r="H4" s="207"/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/>
      <c r="T4" s="207"/>
      <c r="U4" s="207"/>
      <c r="V4" s="208"/>
      <c r="W4" s="208"/>
    </row>
    <row r="5" spans="1:23" s="11" customFormat="1" ht="24.75" customHeight="1" x14ac:dyDescent="0.2">
      <c r="A5" s="205" t="s">
        <v>291</v>
      </c>
      <c r="B5" s="206"/>
      <c r="C5" s="206"/>
      <c r="D5" s="205"/>
      <c r="E5" s="207"/>
      <c r="F5" s="207"/>
      <c r="G5" s="207"/>
      <c r="H5" s="207"/>
      <c r="I5" s="207"/>
      <c r="J5" s="207"/>
      <c r="K5" s="207"/>
      <c r="L5" s="207"/>
      <c r="M5" s="207"/>
      <c r="N5" s="207"/>
      <c r="O5" s="207"/>
      <c r="P5" s="207"/>
      <c r="Q5" s="207"/>
      <c r="R5" s="207"/>
      <c r="S5" s="207"/>
      <c r="T5" s="207"/>
      <c r="U5" s="207"/>
      <c r="V5" s="208"/>
      <c r="W5" s="208"/>
    </row>
    <row r="6" spans="1:23" s="11" customFormat="1" ht="31.5" customHeight="1" x14ac:dyDescent="0.35">
      <c r="A6" s="461" t="s">
        <v>301</v>
      </c>
      <c r="B6" s="461"/>
      <c r="C6" s="461"/>
      <c r="D6" s="461"/>
      <c r="E6" s="461"/>
      <c r="F6" s="461"/>
      <c r="G6" s="461"/>
      <c r="H6" s="461"/>
      <c r="I6" s="461"/>
      <c r="J6" s="461"/>
      <c r="K6" s="461"/>
      <c r="L6" s="461"/>
      <c r="M6" s="461"/>
      <c r="N6" s="461"/>
      <c r="O6" s="461"/>
      <c r="P6" s="461"/>
      <c r="Q6" s="461"/>
      <c r="R6" s="211"/>
      <c r="S6" s="211"/>
      <c r="T6" s="211"/>
      <c r="U6" s="211"/>
      <c r="V6" s="211"/>
      <c r="W6" s="211"/>
    </row>
    <row r="7" spans="1:23" s="11" customFormat="1" ht="24.75" customHeight="1" x14ac:dyDescent="0.35">
      <c r="A7" s="212"/>
      <c r="B7" s="212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  <c r="O7" s="212"/>
      <c r="P7" s="212"/>
      <c r="Q7" s="212"/>
      <c r="R7" s="212"/>
      <c r="S7" s="212"/>
      <c r="T7" s="212"/>
      <c r="U7" s="213"/>
      <c r="V7" s="212"/>
      <c r="W7" s="212"/>
    </row>
    <row r="8" spans="1:23" s="11" customFormat="1" ht="24.75" customHeight="1" x14ac:dyDescent="0.35">
      <c r="A8" s="461" t="s">
        <v>387</v>
      </c>
      <c r="B8" s="461"/>
      <c r="C8" s="461"/>
      <c r="D8" s="461"/>
      <c r="E8" s="461"/>
      <c r="F8" s="461"/>
      <c r="G8" s="461"/>
      <c r="H8" s="461"/>
      <c r="I8" s="461"/>
      <c r="J8" s="461"/>
      <c r="K8" s="461"/>
      <c r="L8" s="461"/>
      <c r="M8" s="461"/>
      <c r="N8" s="461"/>
      <c r="O8" s="461"/>
      <c r="P8" s="461"/>
      <c r="Q8" s="461"/>
      <c r="R8" s="211"/>
      <c r="S8" s="211"/>
      <c r="T8" s="211"/>
      <c r="U8" s="211"/>
      <c r="V8" s="211"/>
      <c r="W8" s="211"/>
    </row>
    <row r="9" spans="1:23" s="49" customFormat="1" ht="24" customHeight="1" x14ac:dyDescent="0.35">
      <c r="A9" s="214"/>
      <c r="B9" s="214"/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4"/>
      <c r="O9" s="214"/>
      <c r="P9" s="214"/>
      <c r="Q9" s="214"/>
      <c r="R9" s="214"/>
      <c r="S9" s="214"/>
      <c r="T9" s="214"/>
      <c r="U9" s="214"/>
      <c r="V9" s="214"/>
      <c r="W9" s="214"/>
    </row>
    <row r="10" spans="1:23" s="11" customFormat="1" ht="50.25" customHeight="1" x14ac:dyDescent="0.2">
      <c r="A10" s="462" t="s">
        <v>0</v>
      </c>
      <c r="B10" s="464" t="s">
        <v>1</v>
      </c>
      <c r="C10" s="466" t="s">
        <v>63</v>
      </c>
      <c r="D10" s="466" t="s">
        <v>64</v>
      </c>
      <c r="E10" s="464" t="s">
        <v>2</v>
      </c>
      <c r="F10" s="468" t="s">
        <v>3</v>
      </c>
      <c r="G10" s="469"/>
      <c r="H10" s="470"/>
      <c r="I10" s="468" t="s">
        <v>65</v>
      </c>
      <c r="J10" s="469"/>
      <c r="K10" s="470"/>
      <c r="L10" s="471" t="s">
        <v>5</v>
      </c>
      <c r="M10" s="472"/>
      <c r="N10" s="473"/>
      <c r="O10" s="474" t="s">
        <v>292</v>
      </c>
      <c r="P10" s="474" t="s">
        <v>293</v>
      </c>
      <c r="Q10" s="476" t="s">
        <v>6</v>
      </c>
      <c r="R10" s="50"/>
      <c r="S10" s="215"/>
    </row>
    <row r="11" spans="1:23" s="11" customFormat="1" ht="63" x14ac:dyDescent="0.2">
      <c r="A11" s="463"/>
      <c r="B11" s="465"/>
      <c r="C11" s="467"/>
      <c r="D11" s="467"/>
      <c r="E11" s="465"/>
      <c r="F11" s="12" t="s">
        <v>7</v>
      </c>
      <c r="G11" s="13" t="s">
        <v>8</v>
      </c>
      <c r="H11" s="75" t="s">
        <v>294</v>
      </c>
      <c r="I11" s="76" t="s">
        <v>9</v>
      </c>
      <c r="J11" s="76" t="s">
        <v>10</v>
      </c>
      <c r="K11" s="75" t="s">
        <v>294</v>
      </c>
      <c r="L11" s="76" t="s">
        <v>11</v>
      </c>
      <c r="M11" s="76" t="s">
        <v>10</v>
      </c>
      <c r="N11" s="75" t="s">
        <v>294</v>
      </c>
      <c r="O11" s="475"/>
      <c r="P11" s="475"/>
      <c r="Q11" s="476"/>
      <c r="R11" s="50"/>
      <c r="S11" s="215"/>
    </row>
    <row r="12" spans="1:23" s="17" customFormat="1" ht="23.25" x14ac:dyDescent="0.2">
      <c r="A12" s="14">
        <v>1</v>
      </c>
      <c r="B12" s="14">
        <v>2</v>
      </c>
      <c r="C12" s="15">
        <v>3</v>
      </c>
      <c r="D12" s="15"/>
      <c r="E12" s="14">
        <v>4</v>
      </c>
      <c r="F12" s="14">
        <v>5</v>
      </c>
      <c r="G12" s="14">
        <v>6</v>
      </c>
      <c r="H12" s="14">
        <v>7</v>
      </c>
      <c r="I12" s="14">
        <v>25</v>
      </c>
      <c r="J12" s="14">
        <v>26</v>
      </c>
      <c r="K12" s="14">
        <v>27</v>
      </c>
      <c r="L12" s="14">
        <v>28</v>
      </c>
      <c r="M12" s="14">
        <v>29</v>
      </c>
      <c r="N12" s="14">
        <v>30</v>
      </c>
      <c r="O12" s="14">
        <v>31</v>
      </c>
      <c r="P12" s="14"/>
      <c r="Q12" s="16">
        <v>32</v>
      </c>
      <c r="R12" s="51"/>
      <c r="S12" s="216"/>
    </row>
    <row r="13" spans="1:23" s="22" customFormat="1" ht="35.25" customHeight="1" x14ac:dyDescent="0.2">
      <c r="A13" s="23" t="s">
        <v>159</v>
      </c>
      <c r="B13" s="19"/>
      <c r="C13" s="18"/>
      <c r="D13" s="18"/>
      <c r="E13" s="20"/>
      <c r="F13" s="18"/>
      <c r="G13" s="18"/>
      <c r="H13" s="18"/>
      <c r="I13" s="18"/>
      <c r="J13" s="21"/>
      <c r="K13" s="18"/>
      <c r="L13" s="21"/>
      <c r="M13" s="18"/>
      <c r="N13" s="21"/>
      <c r="O13" s="21"/>
      <c r="P13" s="21"/>
      <c r="Q13" s="45"/>
      <c r="R13" s="52"/>
      <c r="S13" s="217"/>
    </row>
    <row r="14" spans="1:23" s="154" customFormat="1" ht="118.5" customHeight="1" x14ac:dyDescent="0.2">
      <c r="A14" s="165" t="s">
        <v>12</v>
      </c>
      <c r="B14" s="218" t="s">
        <v>382</v>
      </c>
      <c r="C14" s="219" t="s">
        <v>384</v>
      </c>
      <c r="D14" s="219" t="s">
        <v>166</v>
      </c>
      <c r="E14" s="220" t="s">
        <v>95</v>
      </c>
      <c r="F14" s="53">
        <f>'17.55'!J206</f>
        <v>11027.84</v>
      </c>
      <c r="G14" s="53">
        <f>'17.55'!L206</f>
        <v>228132.32</v>
      </c>
      <c r="H14" s="166">
        <f>'17.55'!L214</f>
        <v>211022.4</v>
      </c>
      <c r="I14" s="181">
        <f>'17.55'!J210</f>
        <v>659.45</v>
      </c>
      <c r="J14" s="221">
        <f>'17.55'!L210</f>
        <v>16176.26</v>
      </c>
      <c r="K14" s="166">
        <f>'17.55'!L218</f>
        <v>14963.04</v>
      </c>
      <c r="L14" s="56">
        <f t="shared" ref="L14:N14" si="0">F14+I14</f>
        <v>11687.29</v>
      </c>
      <c r="M14" s="54">
        <f t="shared" si="0"/>
        <v>244308.58</v>
      </c>
      <c r="N14" s="56">
        <f t="shared" si="0"/>
        <v>225985.44</v>
      </c>
      <c r="O14" s="55"/>
      <c r="P14" s="55"/>
      <c r="Q14" s="167" t="s">
        <v>167</v>
      </c>
      <c r="R14" s="153"/>
      <c r="S14" s="222"/>
    </row>
    <row r="15" spans="1:23" s="154" customFormat="1" ht="118.5" customHeight="1" x14ac:dyDescent="0.2">
      <c r="A15" s="165" t="s">
        <v>149</v>
      </c>
      <c r="B15" s="218" t="s">
        <v>383</v>
      </c>
      <c r="C15" s="219" t="s">
        <v>171</v>
      </c>
      <c r="D15" s="219" t="s">
        <v>385</v>
      </c>
      <c r="E15" s="220" t="s">
        <v>172</v>
      </c>
      <c r="F15" s="53">
        <v>0</v>
      </c>
      <c r="G15" s="53">
        <v>0</v>
      </c>
      <c r="H15" s="166">
        <v>0</v>
      </c>
      <c r="I15" s="181">
        <f>'17.55доп2'!J389</f>
        <v>0</v>
      </c>
      <c r="J15" s="221">
        <f>'17.55доп2'!L389</f>
        <v>0</v>
      </c>
      <c r="K15" s="166">
        <f>'17.55доп2'!L397</f>
        <v>0</v>
      </c>
      <c r="L15" s="56">
        <v>0</v>
      </c>
      <c r="M15" s="54">
        <v>0</v>
      </c>
      <c r="N15" s="56">
        <v>0</v>
      </c>
      <c r="O15" s="55">
        <f>'17.55доп2'!$L$382</f>
        <v>214109.87</v>
      </c>
      <c r="P15" s="55">
        <f>'17.55доп2'!$L$381</f>
        <v>1139502.44</v>
      </c>
      <c r="Q15" s="167" t="s">
        <v>167</v>
      </c>
      <c r="R15" s="153"/>
      <c r="S15" s="222"/>
    </row>
    <row r="16" spans="1:23" s="24" customFormat="1" ht="43.5" customHeight="1" x14ac:dyDescent="0.2">
      <c r="A16" s="1"/>
      <c r="B16" s="2"/>
      <c r="C16" s="2"/>
      <c r="D16" s="2"/>
      <c r="E16" s="3" t="s">
        <v>403</v>
      </c>
      <c r="F16" s="55">
        <f t="shared" ref="F16:N16" si="1">SUM(F14:F15)</f>
        <v>11027.84</v>
      </c>
      <c r="G16" s="55">
        <f t="shared" si="1"/>
        <v>228132.32</v>
      </c>
      <c r="H16" s="55">
        <f t="shared" si="1"/>
        <v>211022.4</v>
      </c>
      <c r="I16" s="55">
        <f t="shared" si="1"/>
        <v>659.45</v>
      </c>
      <c r="J16" s="55">
        <f t="shared" si="1"/>
        <v>16176.26</v>
      </c>
      <c r="K16" s="55">
        <f t="shared" si="1"/>
        <v>14963.04</v>
      </c>
      <c r="L16" s="55">
        <f t="shared" si="1"/>
        <v>11687.29</v>
      </c>
      <c r="M16" s="55">
        <f t="shared" si="1"/>
        <v>244308.58</v>
      </c>
      <c r="N16" s="55">
        <f t="shared" si="1"/>
        <v>225985.44</v>
      </c>
      <c r="O16" s="55">
        <f t="shared" ref="O16" si="2">SUM(O14:O15)</f>
        <v>214109.87</v>
      </c>
      <c r="P16" s="55">
        <f>SUM(P14:P15)</f>
        <v>1139502.44</v>
      </c>
      <c r="Q16" s="45"/>
      <c r="R16" s="57"/>
      <c r="S16" s="223"/>
      <c r="T16" s="47"/>
    </row>
    <row r="17" spans="1:22" s="17" customFormat="1" ht="23.25" x14ac:dyDescent="0.2">
      <c r="A17" s="58"/>
      <c r="B17" s="59"/>
      <c r="C17" s="60"/>
      <c r="D17" s="60"/>
      <c r="E17" s="61" t="s">
        <v>3</v>
      </c>
      <c r="F17" s="53">
        <f>F22</f>
        <v>11027.84</v>
      </c>
      <c r="G17" s="53">
        <f>G22</f>
        <v>228132.32</v>
      </c>
      <c r="H17" s="53">
        <f>H22</f>
        <v>211022.4</v>
      </c>
      <c r="I17" s="53"/>
      <c r="J17" s="53"/>
      <c r="K17" s="53"/>
      <c r="L17" s="53">
        <f>F17</f>
        <v>11027.84</v>
      </c>
      <c r="M17" s="53">
        <f>G17</f>
        <v>228132.32</v>
      </c>
      <c r="N17" s="53">
        <f>H17</f>
        <v>211022.4</v>
      </c>
      <c r="O17" s="53"/>
      <c r="P17" s="53"/>
      <c r="Q17" s="4"/>
      <c r="R17" s="51"/>
      <c r="S17" s="216"/>
    </row>
    <row r="18" spans="1:22" s="17" customFormat="1" ht="23.25" x14ac:dyDescent="0.2">
      <c r="A18" s="58"/>
      <c r="B18" s="59"/>
      <c r="C18" s="60"/>
      <c r="D18" s="60"/>
      <c r="E18" s="61" t="s">
        <v>4</v>
      </c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4"/>
      <c r="R18" s="51"/>
      <c r="S18" s="224"/>
      <c r="T18" s="62"/>
      <c r="U18" s="62"/>
      <c r="V18" s="62"/>
    </row>
    <row r="19" spans="1:22" s="17" customFormat="1" ht="23.25" x14ac:dyDescent="0.2">
      <c r="A19" s="58"/>
      <c r="B19" s="59"/>
      <c r="C19" s="60"/>
      <c r="D19" s="60"/>
      <c r="E19" s="61" t="s">
        <v>62</v>
      </c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4"/>
      <c r="R19" s="51"/>
      <c r="S19" s="224"/>
      <c r="T19" s="62"/>
      <c r="U19" s="62"/>
      <c r="V19" s="62"/>
    </row>
    <row r="20" spans="1:22" s="17" customFormat="1" ht="23.25" x14ac:dyDescent="0.2">
      <c r="A20" s="58"/>
      <c r="B20" s="59"/>
      <c r="C20" s="60"/>
      <c r="D20" s="60"/>
      <c r="E20" s="61" t="s">
        <v>13</v>
      </c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4"/>
      <c r="R20" s="51"/>
      <c r="S20" s="224"/>
      <c r="T20" s="62"/>
      <c r="U20" s="62"/>
      <c r="V20" s="62"/>
    </row>
    <row r="21" spans="1:22" s="17" customFormat="1" ht="23.25" x14ac:dyDescent="0.2">
      <c r="A21" s="58"/>
      <c r="B21" s="59"/>
      <c r="C21" s="16"/>
      <c r="D21" s="16"/>
      <c r="E21" s="61" t="s">
        <v>14</v>
      </c>
      <c r="F21" s="56"/>
      <c r="G21" s="56"/>
      <c r="H21" s="56"/>
      <c r="I21" s="53">
        <f>I22</f>
        <v>659.45</v>
      </c>
      <c r="J21" s="53">
        <f>J22</f>
        <v>16176.26</v>
      </c>
      <c r="K21" s="53">
        <f>K22</f>
        <v>14963.04</v>
      </c>
      <c r="L21" s="53">
        <f>I21</f>
        <v>659.45</v>
      </c>
      <c r="M21" s="53">
        <f>J21</f>
        <v>16176.26</v>
      </c>
      <c r="N21" s="53">
        <f>K21</f>
        <v>14963.04</v>
      </c>
      <c r="O21" s="53"/>
      <c r="P21" s="53"/>
      <c r="Q21" s="63"/>
      <c r="R21" s="51"/>
      <c r="S21" s="216"/>
    </row>
    <row r="22" spans="1:22" s="25" customFormat="1" ht="37.5" customHeight="1" x14ac:dyDescent="0.2">
      <c r="A22" s="5"/>
      <c r="B22" s="6"/>
      <c r="C22" s="6"/>
      <c r="D22" s="6"/>
      <c r="E22" s="7" t="s">
        <v>402</v>
      </c>
      <c r="F22" s="55">
        <f t="shared" ref="F22:N22" si="3">F16</f>
        <v>11027.84</v>
      </c>
      <c r="G22" s="55">
        <f t="shared" si="3"/>
        <v>228132.32</v>
      </c>
      <c r="H22" s="55">
        <f t="shared" si="3"/>
        <v>211022.4</v>
      </c>
      <c r="I22" s="55">
        <f t="shared" si="3"/>
        <v>659.45</v>
      </c>
      <c r="J22" s="55">
        <f t="shared" si="3"/>
        <v>16176.26</v>
      </c>
      <c r="K22" s="55">
        <f t="shared" si="3"/>
        <v>14963.04</v>
      </c>
      <c r="L22" s="55">
        <f t="shared" si="3"/>
        <v>11687.29</v>
      </c>
      <c r="M22" s="55">
        <f t="shared" si="3"/>
        <v>244308.58</v>
      </c>
      <c r="N22" s="55">
        <f t="shared" si="3"/>
        <v>225985.44</v>
      </c>
      <c r="O22" s="55">
        <f t="shared" ref="O22" si="4">O16</f>
        <v>214109.87</v>
      </c>
      <c r="P22" s="55">
        <f>P16</f>
        <v>1139502.44</v>
      </c>
      <c r="Q22" s="8"/>
      <c r="R22" s="64"/>
      <c r="S22" s="225"/>
      <c r="U22" s="26"/>
    </row>
    <row r="23" spans="1:22" s="11" customFormat="1" x14ac:dyDescent="0.3">
      <c r="A23" s="27"/>
      <c r="B23" s="28"/>
      <c r="C23" s="29"/>
      <c r="D23" s="29"/>
      <c r="E23" s="30"/>
      <c r="F23" s="30"/>
      <c r="G23" s="30"/>
      <c r="H23" s="30"/>
      <c r="I23" s="30"/>
      <c r="J23" s="30"/>
      <c r="K23" s="30"/>
      <c r="L23" s="31"/>
      <c r="M23" s="31"/>
      <c r="N23" s="32"/>
      <c r="O23" s="31"/>
      <c r="P23" s="31"/>
      <c r="Q23" s="33"/>
      <c r="R23" s="50"/>
      <c r="S23" s="226"/>
      <c r="U23" s="34"/>
    </row>
    <row r="24" spans="1:22" s="11" customFormat="1" x14ac:dyDescent="0.3">
      <c r="A24" s="27"/>
      <c r="B24" s="28"/>
      <c r="C24" s="29"/>
      <c r="D24" s="29"/>
      <c r="E24" s="65"/>
      <c r="F24" s="65"/>
      <c r="G24" s="65"/>
      <c r="H24" s="65"/>
      <c r="I24" s="65"/>
      <c r="J24" s="65"/>
      <c r="K24" s="30"/>
      <c r="L24" s="31"/>
      <c r="M24" s="31"/>
      <c r="N24" s="31"/>
      <c r="O24" s="31"/>
      <c r="P24" s="31"/>
      <c r="Q24" s="33"/>
      <c r="R24" s="50"/>
      <c r="S24" s="226"/>
      <c r="U24" s="34"/>
    </row>
    <row r="25" spans="1:22" s="11" customFormat="1" x14ac:dyDescent="0.3">
      <c r="A25" s="27"/>
      <c r="B25" s="28"/>
      <c r="C25" s="29"/>
      <c r="D25" s="29"/>
      <c r="E25" s="65"/>
      <c r="F25" s="65"/>
      <c r="G25" s="65"/>
      <c r="H25" s="65"/>
      <c r="I25" s="65"/>
      <c r="J25" s="65"/>
      <c r="K25" s="30"/>
      <c r="L25" s="31"/>
      <c r="M25" s="31"/>
      <c r="N25" s="46"/>
      <c r="O25" s="31"/>
      <c r="P25" s="31"/>
      <c r="Q25" s="33"/>
      <c r="R25" s="50"/>
      <c r="S25" s="226"/>
      <c r="U25" s="34"/>
    </row>
    <row r="26" spans="1:22" s="11" customFormat="1" x14ac:dyDescent="0.3">
      <c r="A26" s="27"/>
      <c r="B26" s="28"/>
      <c r="C26" s="29"/>
      <c r="D26" s="29"/>
      <c r="E26" s="65"/>
      <c r="F26" s="65"/>
      <c r="G26" s="65"/>
      <c r="H26" s="65"/>
      <c r="I26" s="65"/>
      <c r="J26" s="65"/>
      <c r="K26" s="30"/>
      <c r="L26" s="31"/>
      <c r="M26" s="31"/>
      <c r="N26" s="31"/>
      <c r="O26" s="31"/>
      <c r="P26" s="31"/>
      <c r="Q26" s="47"/>
      <c r="R26" s="50"/>
      <c r="S26" s="226"/>
      <c r="U26" s="34"/>
    </row>
    <row r="27" spans="1:22" s="9" customFormat="1" x14ac:dyDescent="0.3">
      <c r="A27" s="35"/>
      <c r="B27" s="36"/>
      <c r="C27" s="37"/>
      <c r="D27" s="37"/>
      <c r="E27" s="66"/>
      <c r="F27" s="65"/>
      <c r="G27" s="65"/>
      <c r="H27" s="65"/>
      <c r="I27" s="65"/>
      <c r="J27" s="65"/>
      <c r="K27" s="30"/>
      <c r="L27" s="30"/>
      <c r="M27" s="38"/>
      <c r="N27" s="31"/>
      <c r="O27" s="31"/>
      <c r="P27" s="31"/>
      <c r="Q27" s="31"/>
      <c r="R27" s="48"/>
      <c r="S27" s="227"/>
      <c r="T27" s="39"/>
      <c r="V27" s="39"/>
    </row>
    <row r="28" spans="1:22" s="9" customFormat="1" x14ac:dyDescent="0.3">
      <c r="A28" s="35"/>
      <c r="B28" s="36"/>
      <c r="C28" s="37"/>
      <c r="D28" s="37"/>
      <c r="E28" s="66"/>
      <c r="F28" s="65"/>
      <c r="G28" s="65"/>
      <c r="H28" s="65"/>
      <c r="I28" s="65"/>
      <c r="J28" s="65"/>
      <c r="K28" s="30"/>
      <c r="L28" s="30"/>
      <c r="M28" s="38"/>
      <c r="N28" s="31"/>
      <c r="O28" s="31"/>
      <c r="P28" s="31"/>
      <c r="Q28" s="31"/>
      <c r="R28" s="48"/>
      <c r="S28" s="227"/>
      <c r="T28" s="39"/>
      <c r="V28" s="39"/>
    </row>
    <row r="29" spans="1:22" s="9" customFormat="1" x14ac:dyDescent="0.3">
      <c r="A29" s="35"/>
      <c r="B29" s="36"/>
      <c r="C29" s="37"/>
      <c r="D29" s="37"/>
      <c r="E29" s="66"/>
      <c r="F29" s="65"/>
      <c r="G29" s="65"/>
      <c r="H29" s="65"/>
      <c r="I29" s="65"/>
      <c r="J29" s="65"/>
      <c r="K29" s="30"/>
      <c r="L29" s="30"/>
      <c r="M29" s="38"/>
      <c r="N29" s="31"/>
      <c r="O29" s="31"/>
      <c r="P29" s="31"/>
      <c r="Q29" s="31"/>
      <c r="R29" s="48"/>
      <c r="S29" s="227"/>
      <c r="T29" s="39"/>
      <c r="V29" s="39"/>
    </row>
    <row r="30" spans="1:22" s="11" customFormat="1" ht="26.25" customHeight="1" x14ac:dyDescent="0.35">
      <c r="A30" s="40"/>
      <c r="B30" s="228" t="s">
        <v>295</v>
      </c>
      <c r="C30" s="228"/>
      <c r="D30" s="228"/>
      <c r="E30" s="458" t="s">
        <v>296</v>
      </c>
      <c r="F30" s="459"/>
      <c r="G30" s="459"/>
      <c r="H30" s="459"/>
      <c r="I30" s="229"/>
      <c r="J30" s="230"/>
      <c r="K30" s="231"/>
      <c r="L30" s="232"/>
      <c r="M30" s="233" t="s">
        <v>297</v>
      </c>
      <c r="N30" s="31"/>
      <c r="O30" s="31"/>
      <c r="P30" s="31"/>
      <c r="Q30" s="31"/>
      <c r="R30" s="51"/>
      <c r="S30" s="215"/>
    </row>
    <row r="31" spans="1:22" s="10" customFormat="1" ht="23.25" x14ac:dyDescent="0.35">
      <c r="A31" s="41"/>
      <c r="B31" s="234"/>
      <c r="C31" s="234"/>
      <c r="D31" s="235"/>
      <c r="E31" s="236"/>
      <c r="F31" s="237"/>
      <c r="G31" s="238"/>
      <c r="H31" s="239"/>
      <c r="I31" s="65"/>
      <c r="J31" s="65"/>
      <c r="K31" s="239"/>
      <c r="L31" s="239"/>
      <c r="M31" s="233"/>
      <c r="N31" s="42"/>
      <c r="O31" s="42"/>
      <c r="P31" s="42"/>
      <c r="Q31" s="42"/>
      <c r="R31" s="48"/>
      <c r="S31" s="240"/>
    </row>
    <row r="32" spans="1:22" s="11" customFormat="1" ht="23.25" x14ac:dyDescent="0.35">
      <c r="A32" s="40"/>
      <c r="B32" s="241"/>
      <c r="C32" s="241"/>
      <c r="D32" s="242"/>
      <c r="E32" s="243"/>
      <c r="F32" s="244"/>
      <c r="G32" s="245"/>
      <c r="H32" s="246"/>
      <c r="I32" s="65"/>
      <c r="J32" s="65"/>
      <c r="K32" s="246"/>
      <c r="L32" s="246"/>
      <c r="M32" s="233"/>
      <c r="N32" s="43"/>
      <c r="O32" s="43"/>
      <c r="P32" s="43"/>
      <c r="Q32" s="33"/>
      <c r="R32" s="50"/>
      <c r="S32" s="215"/>
    </row>
    <row r="33" spans="1:19" s="11" customFormat="1" ht="26.25" customHeight="1" x14ac:dyDescent="0.35">
      <c r="A33" s="40"/>
      <c r="B33" s="228" t="s">
        <v>298</v>
      </c>
      <c r="C33" s="228"/>
      <c r="D33" s="228"/>
      <c r="E33" s="458" t="s">
        <v>299</v>
      </c>
      <c r="F33" s="460"/>
      <c r="G33" s="460"/>
      <c r="H33" s="460"/>
      <c r="I33" s="230"/>
      <c r="J33" s="230"/>
      <c r="K33" s="231"/>
      <c r="L33" s="232"/>
      <c r="M33" s="233" t="s">
        <v>300</v>
      </c>
      <c r="N33" s="43"/>
      <c r="O33" s="43"/>
      <c r="P33" s="43"/>
      <c r="Q33" s="33"/>
      <c r="R33" s="50"/>
      <c r="S33" s="215"/>
    </row>
    <row r="34" spans="1:19" x14ac:dyDescent="0.3">
      <c r="B34" s="209"/>
      <c r="C34" s="209"/>
      <c r="D34" s="247"/>
      <c r="E34" s="248"/>
      <c r="F34" s="249"/>
      <c r="G34" s="250"/>
      <c r="H34" s="250"/>
      <c r="I34" s="65"/>
      <c r="J34" s="65"/>
    </row>
    <row r="35" spans="1:19" x14ac:dyDescent="0.2">
      <c r="E35" s="65"/>
      <c r="F35" s="65"/>
      <c r="G35" s="65"/>
      <c r="H35" s="65"/>
      <c r="I35" s="65"/>
      <c r="J35" s="65"/>
    </row>
    <row r="36" spans="1:19" x14ac:dyDescent="0.2">
      <c r="E36" s="65"/>
      <c r="F36" s="65"/>
      <c r="G36" s="65"/>
      <c r="H36" s="65"/>
      <c r="I36" s="65"/>
      <c r="J36" s="65"/>
    </row>
  </sheetData>
  <mergeCells count="15">
    <mergeCell ref="E30:H30"/>
    <mergeCell ref="E33:H33"/>
    <mergeCell ref="A6:Q6"/>
    <mergeCell ref="A8:Q8"/>
    <mergeCell ref="A10:A11"/>
    <mergeCell ref="B10:B11"/>
    <mergeCell ref="C10:C11"/>
    <mergeCell ref="D10:D11"/>
    <mergeCell ref="E10:E11"/>
    <mergeCell ref="F10:H10"/>
    <mergeCell ref="I10:K10"/>
    <mergeCell ref="L10:N10"/>
    <mergeCell ref="O10:O11"/>
    <mergeCell ref="P10:P11"/>
    <mergeCell ref="Q10:Q11"/>
  </mergeCells>
  <pageMargins left="0.7" right="0.7" top="0.75" bottom="0.75" header="0.3" footer="0.3"/>
  <pageSetup paperSize="9" scale="36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fitToPage="1"/>
  </sheetPr>
  <dimension ref="A1:AJ228"/>
  <sheetViews>
    <sheetView view="pageBreakPreview" topLeftCell="A26" zoomScale="60" zoomScaleNormal="100" workbookViewId="0">
      <selection activeCell="A26" sqref="A1:XFD1048576"/>
    </sheetView>
  </sheetViews>
  <sheetFormatPr defaultColWidth="9.33203125" defaultRowHeight="11.25" x14ac:dyDescent="0.2"/>
  <cols>
    <col min="1" max="2" width="11" style="645" customWidth="1"/>
    <col min="3" max="3" width="18.1640625" style="645" customWidth="1"/>
    <col min="4" max="4" width="67.5" style="645" customWidth="1"/>
    <col min="5" max="5" width="13.6640625" style="645" customWidth="1"/>
    <col min="6" max="6" width="18.1640625" style="645" customWidth="1"/>
    <col min="7" max="7" width="14" style="645" customWidth="1"/>
    <col min="8" max="8" width="15" style="645" customWidth="1"/>
    <col min="9" max="9" width="15.33203125" style="645" customWidth="1"/>
    <col min="10" max="10" width="17.5" style="645" customWidth="1"/>
    <col min="11" max="11" width="14.6640625" style="645" bestFit="1" customWidth="1"/>
    <col min="12" max="12" width="19.5" style="645" customWidth="1"/>
    <col min="13" max="14" width="14" style="645" customWidth="1"/>
    <col min="15" max="30" width="0" style="645" hidden="1" customWidth="1"/>
    <col min="31" max="31" width="157.1640625" style="645" hidden="1" customWidth="1"/>
    <col min="32" max="32" width="117.83203125" style="645" hidden="1" customWidth="1"/>
    <col min="33" max="34" width="0" style="645" hidden="1" customWidth="1"/>
    <col min="35" max="35" width="1.1640625" style="645" customWidth="1"/>
    <col min="36" max="36" width="1.6640625" style="645" customWidth="1"/>
    <col min="37" max="16384" width="9.33203125" style="645"/>
  </cols>
  <sheetData>
    <row r="1" hidden="1" x14ac:dyDescent="0.2"/>
    <row r="2" hidden="1" x14ac:dyDescent="0.2"/>
    <row r="3" hidden="1" x14ac:dyDescent="0.2"/>
    <row r="4" hidden="1" x14ac:dyDescent="0.2"/>
    <row r="5" hidden="1" x14ac:dyDescent="0.2"/>
    <row r="6" ht="25.5" hidden="1" customHeight="1" x14ac:dyDescent="0.2"/>
    <row r="7" hidden="1" x14ac:dyDescent="0.2"/>
    <row r="8" ht="26.25" hidden="1" customHeight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3" ht="14.25" hidden="1" customHeight="1" x14ac:dyDescent="0.2"/>
    <row r="18" spans="1:13" hidden="1" x14ac:dyDescent="0.2"/>
    <row r="19" spans="1:13" ht="14.25" hidden="1" customHeight="1" x14ac:dyDescent="0.2"/>
    <row r="20" spans="1:13" ht="18" hidden="1" x14ac:dyDescent="0.25">
      <c r="M20" s="140"/>
    </row>
    <row r="21" spans="1:13" ht="14.25" hidden="1" customHeight="1" x14ac:dyDescent="0.25">
      <c r="M21" s="140"/>
    </row>
    <row r="22" spans="1:13" hidden="1" x14ac:dyDescent="0.2"/>
    <row r="23" spans="1:13" ht="14.25" hidden="1" customHeight="1" x14ac:dyDescent="0.2"/>
    <row r="24" spans="1:13" hidden="1" x14ac:dyDescent="0.2"/>
    <row r="25" spans="1:13" hidden="1" x14ac:dyDescent="0.2"/>
    <row r="26" spans="1:13" s="325" customFormat="1" ht="15" x14ac:dyDescent="0.25">
      <c r="A26" s="324"/>
      <c r="D26" s="326"/>
      <c r="E26" s="326"/>
      <c r="F26" s="327"/>
      <c r="G26" s="327"/>
      <c r="H26" s="327"/>
      <c r="I26" s="511" t="s">
        <v>278</v>
      </c>
      <c r="J26" s="511"/>
      <c r="K26" s="511"/>
      <c r="L26" s="511"/>
    </row>
    <row r="27" spans="1:13" s="325" customFormat="1" ht="15" x14ac:dyDescent="0.25">
      <c r="A27" s="327"/>
      <c r="B27" s="327"/>
      <c r="C27" s="327"/>
      <c r="D27" s="327"/>
      <c r="E27" s="327"/>
      <c r="F27" s="327"/>
      <c r="G27" s="327"/>
      <c r="H27" s="327"/>
      <c r="I27" s="511" t="s">
        <v>15</v>
      </c>
      <c r="J27" s="511"/>
      <c r="K27" s="511"/>
      <c r="L27" s="511"/>
    </row>
    <row r="28" spans="1:13" s="325" customFormat="1" ht="15" x14ac:dyDescent="0.25">
      <c r="A28" s="327"/>
      <c r="B28" s="327"/>
      <c r="C28" s="327"/>
      <c r="D28" s="327"/>
      <c r="E28" s="327"/>
      <c r="F28" s="327"/>
      <c r="G28" s="327"/>
      <c r="H28" s="327"/>
      <c r="I28" s="511" t="s">
        <v>16</v>
      </c>
      <c r="J28" s="511"/>
      <c r="K28" s="511"/>
      <c r="L28" s="511"/>
    </row>
    <row r="29" spans="1:13" s="328" customFormat="1" ht="15" x14ac:dyDescent="0.25">
      <c r="A29" s="327"/>
      <c r="B29" s="327"/>
      <c r="C29" s="327"/>
      <c r="D29" s="327"/>
      <c r="E29" s="327"/>
      <c r="F29" s="327"/>
      <c r="G29" s="327"/>
      <c r="H29" s="327"/>
      <c r="I29" s="327"/>
      <c r="J29" s="483" t="s">
        <v>17</v>
      </c>
      <c r="K29" s="484"/>
      <c r="L29" s="485"/>
    </row>
    <row r="30" spans="1:13" s="328" customFormat="1" ht="15" x14ac:dyDescent="0.25">
      <c r="A30" s="327"/>
      <c r="B30" s="327"/>
      <c r="C30" s="327"/>
      <c r="D30" s="327"/>
      <c r="E30" s="327"/>
      <c r="F30" s="327"/>
      <c r="G30" s="327"/>
      <c r="H30" s="327"/>
      <c r="I30" s="387" t="s">
        <v>18</v>
      </c>
      <c r="J30" s="512" t="s">
        <v>19</v>
      </c>
      <c r="K30" s="513"/>
      <c r="L30" s="514"/>
    </row>
    <row r="31" spans="1:13" s="328" customFormat="1" ht="15" x14ac:dyDescent="0.25">
      <c r="A31" s="327"/>
      <c r="B31" s="327"/>
      <c r="C31" s="327"/>
      <c r="D31" s="327"/>
      <c r="E31" s="327"/>
      <c r="F31" s="327"/>
      <c r="G31" s="327"/>
      <c r="H31" s="327"/>
      <c r="I31" s="327"/>
      <c r="J31" s="504" t="s">
        <v>279</v>
      </c>
      <c r="K31" s="505"/>
      <c r="L31" s="506"/>
    </row>
    <row r="32" spans="1:13" s="328" customFormat="1" ht="25.5" customHeight="1" x14ac:dyDescent="0.25">
      <c r="A32" s="510" t="s">
        <v>280</v>
      </c>
      <c r="B32" s="510"/>
      <c r="C32" s="500" t="s">
        <v>281</v>
      </c>
      <c r="D32" s="500"/>
      <c r="E32" s="500"/>
      <c r="F32" s="500"/>
      <c r="G32" s="500"/>
      <c r="H32" s="500"/>
      <c r="I32" s="387" t="s">
        <v>21</v>
      </c>
      <c r="J32" s="507"/>
      <c r="K32" s="508"/>
      <c r="L32" s="509"/>
    </row>
    <row r="33" spans="1:36" s="328" customFormat="1" ht="15" x14ac:dyDescent="0.25">
      <c r="A33" s="327"/>
      <c r="B33" s="327"/>
      <c r="C33" s="490" t="s">
        <v>22</v>
      </c>
      <c r="D33" s="490"/>
      <c r="E33" s="490"/>
      <c r="F33" s="490"/>
      <c r="G33" s="490"/>
      <c r="H33" s="490"/>
      <c r="I33" s="327"/>
      <c r="J33" s="504" t="s">
        <v>56</v>
      </c>
      <c r="K33" s="505"/>
      <c r="L33" s="506"/>
    </row>
    <row r="34" spans="1:36" s="328" customFormat="1" ht="28.5" customHeight="1" x14ac:dyDescent="0.25">
      <c r="A34" s="510" t="s">
        <v>282</v>
      </c>
      <c r="B34" s="510"/>
      <c r="C34" s="500" t="s">
        <v>283</v>
      </c>
      <c r="D34" s="500"/>
      <c r="E34" s="500"/>
      <c r="F34" s="500"/>
      <c r="G34" s="500"/>
      <c r="H34" s="500"/>
      <c r="I34" s="387" t="s">
        <v>21</v>
      </c>
      <c r="J34" s="507"/>
      <c r="K34" s="508"/>
      <c r="L34" s="509"/>
    </row>
    <row r="35" spans="1:36" s="328" customFormat="1" ht="15" x14ac:dyDescent="0.25">
      <c r="A35" s="327"/>
      <c r="B35" s="327"/>
      <c r="C35" s="490" t="s">
        <v>22</v>
      </c>
      <c r="D35" s="490"/>
      <c r="E35" s="490"/>
      <c r="F35" s="490"/>
      <c r="G35" s="490"/>
      <c r="H35" s="490"/>
      <c r="I35" s="327"/>
      <c r="J35" s="504" t="s">
        <v>308</v>
      </c>
      <c r="K35" s="505"/>
      <c r="L35" s="506"/>
    </row>
    <row r="36" spans="1:36" s="328" customFormat="1" ht="14.25" customHeight="1" x14ac:dyDescent="0.25">
      <c r="A36" s="327" t="s">
        <v>284</v>
      </c>
      <c r="B36" s="327"/>
      <c r="C36" s="500" t="s">
        <v>285</v>
      </c>
      <c r="D36" s="500"/>
      <c r="E36" s="500"/>
      <c r="F36" s="500"/>
      <c r="G36" s="500"/>
      <c r="H36" s="500"/>
      <c r="I36" s="387" t="s">
        <v>21</v>
      </c>
      <c r="J36" s="507"/>
      <c r="K36" s="508"/>
      <c r="L36" s="509"/>
    </row>
    <row r="37" spans="1:36" s="328" customFormat="1" ht="15" x14ac:dyDescent="0.25">
      <c r="A37" s="327"/>
      <c r="B37" s="327"/>
      <c r="C37" s="493" t="s">
        <v>22</v>
      </c>
      <c r="D37" s="493"/>
      <c r="E37" s="493"/>
      <c r="F37" s="493"/>
      <c r="G37" s="493"/>
      <c r="H37" s="493"/>
      <c r="I37" s="327"/>
      <c r="J37" s="504" t="s">
        <v>310</v>
      </c>
      <c r="K37" s="505"/>
      <c r="L37" s="506"/>
    </row>
    <row r="38" spans="1:36" s="328" customFormat="1" ht="14.25" customHeight="1" x14ac:dyDescent="0.25">
      <c r="A38" s="327" t="s">
        <v>356</v>
      </c>
      <c r="B38" s="327"/>
      <c r="C38" s="500" t="s">
        <v>359</v>
      </c>
      <c r="D38" s="500"/>
      <c r="E38" s="500"/>
      <c r="F38" s="500"/>
      <c r="G38" s="500"/>
      <c r="H38" s="500"/>
      <c r="I38" s="387" t="s">
        <v>21</v>
      </c>
      <c r="J38" s="507"/>
      <c r="K38" s="508"/>
      <c r="L38" s="509"/>
    </row>
    <row r="39" spans="1:36" s="328" customFormat="1" ht="15" x14ac:dyDescent="0.25">
      <c r="A39" s="327"/>
      <c r="B39" s="327"/>
      <c r="C39" s="493" t="s">
        <v>22</v>
      </c>
      <c r="D39" s="493"/>
      <c r="E39" s="493"/>
      <c r="F39" s="493"/>
      <c r="G39" s="493"/>
      <c r="H39" s="493"/>
      <c r="I39" s="327"/>
      <c r="J39" s="494"/>
      <c r="K39" s="495"/>
      <c r="L39" s="496"/>
    </row>
    <row r="40" spans="1:36" s="328" customFormat="1" ht="30.75" customHeight="1" x14ac:dyDescent="0.25">
      <c r="A40" s="327" t="s">
        <v>23</v>
      </c>
      <c r="B40" s="327"/>
      <c r="C40" s="500" t="s">
        <v>61</v>
      </c>
      <c r="D40" s="500"/>
      <c r="E40" s="500"/>
      <c r="F40" s="500"/>
      <c r="G40" s="500"/>
      <c r="H40" s="500"/>
      <c r="I40" s="327"/>
      <c r="J40" s="497"/>
      <c r="K40" s="498"/>
      <c r="L40" s="499"/>
    </row>
    <row r="41" spans="1:36" s="328" customFormat="1" ht="15" x14ac:dyDescent="0.25">
      <c r="A41" s="327"/>
      <c r="B41" s="327"/>
      <c r="C41" s="493" t="s">
        <v>24</v>
      </c>
      <c r="D41" s="493"/>
      <c r="E41" s="493"/>
      <c r="F41" s="493"/>
      <c r="G41" s="493"/>
      <c r="H41" s="493"/>
      <c r="I41" s="327"/>
      <c r="J41" s="501"/>
      <c r="K41" s="502"/>
      <c r="L41" s="503"/>
    </row>
    <row r="42" spans="1:36" s="328" customFormat="1" ht="31.5" customHeight="1" x14ac:dyDescent="0.25">
      <c r="A42" s="327" t="s">
        <v>25</v>
      </c>
      <c r="B42" s="327"/>
      <c r="C42" s="500" t="s">
        <v>61</v>
      </c>
      <c r="D42" s="500"/>
      <c r="E42" s="500"/>
      <c r="F42" s="500"/>
      <c r="G42" s="500"/>
      <c r="H42" s="500"/>
      <c r="I42" s="327"/>
      <c r="J42" s="497"/>
      <c r="K42" s="498"/>
      <c r="L42" s="499"/>
      <c r="AJ42" s="329" t="s">
        <v>360</v>
      </c>
    </row>
    <row r="43" spans="1:36" s="328" customFormat="1" ht="15" x14ac:dyDescent="0.25">
      <c r="A43" s="327"/>
      <c r="B43" s="327"/>
      <c r="C43" s="490" t="s">
        <v>26</v>
      </c>
      <c r="D43" s="490"/>
      <c r="E43" s="490"/>
      <c r="F43" s="490"/>
      <c r="G43" s="490"/>
      <c r="H43" s="490"/>
      <c r="I43" s="327"/>
      <c r="J43" s="327"/>
      <c r="K43" s="327"/>
      <c r="L43" s="327"/>
    </row>
    <row r="44" spans="1:36" s="328" customFormat="1" ht="14.25" customHeight="1" x14ac:dyDescent="0.25">
      <c r="A44" s="327"/>
      <c r="B44" s="327"/>
      <c r="C44" s="327"/>
      <c r="D44" s="327"/>
      <c r="E44" s="327"/>
      <c r="F44" s="327"/>
      <c r="G44" s="491" t="s">
        <v>27</v>
      </c>
      <c r="H44" s="491"/>
      <c r="I44" s="492"/>
      <c r="J44" s="483"/>
      <c r="K44" s="484"/>
      <c r="L44" s="485"/>
      <c r="AJ44" s="330" t="e">
        <f>IF([83]Source!G60&lt;&gt;"Новый объект", [83]Source!G60, "")</f>
        <v>#REF!</v>
      </c>
    </row>
    <row r="45" spans="1:36" s="328" customFormat="1" ht="15" x14ac:dyDescent="0.25">
      <c r="A45" s="327"/>
      <c r="B45" s="327"/>
      <c r="C45" s="327"/>
      <c r="D45" s="327"/>
      <c r="E45" s="327"/>
      <c r="F45" s="327"/>
      <c r="G45" s="491" t="s">
        <v>28</v>
      </c>
      <c r="H45" s="492"/>
      <c r="I45" s="388" t="s">
        <v>29</v>
      </c>
      <c r="J45" s="483" t="s">
        <v>315</v>
      </c>
      <c r="K45" s="484"/>
      <c r="L45" s="485"/>
    </row>
    <row r="46" spans="1:36" s="328" customFormat="1" ht="15" x14ac:dyDescent="0.25">
      <c r="A46" s="327"/>
      <c r="B46" s="327"/>
      <c r="C46" s="327"/>
      <c r="D46" s="327"/>
      <c r="E46" s="327"/>
      <c r="F46" s="327"/>
      <c r="G46" s="327"/>
      <c r="H46" s="327"/>
      <c r="I46" s="383" t="s">
        <v>30</v>
      </c>
      <c r="J46" s="480">
        <v>43811</v>
      </c>
      <c r="K46" s="481"/>
      <c r="L46" s="482"/>
    </row>
    <row r="47" spans="1:36" s="328" customFormat="1" ht="15" x14ac:dyDescent="0.25">
      <c r="A47" s="327"/>
      <c r="B47" s="327"/>
      <c r="C47" s="327"/>
      <c r="D47" s="327"/>
      <c r="E47" s="327"/>
      <c r="F47" s="327"/>
      <c r="G47" s="327"/>
      <c r="H47" s="327"/>
      <c r="I47" s="387" t="s">
        <v>286</v>
      </c>
      <c r="J47" s="483"/>
      <c r="K47" s="484"/>
      <c r="L47" s="485"/>
    </row>
    <row r="48" spans="1:36" s="328" customFormat="1" ht="15" x14ac:dyDescent="0.25">
      <c r="A48" s="327"/>
      <c r="B48" s="327"/>
      <c r="C48" s="327"/>
      <c r="D48" s="327"/>
      <c r="E48" s="327"/>
      <c r="F48" s="327"/>
      <c r="G48" s="327"/>
      <c r="H48" s="327"/>
      <c r="I48" s="327"/>
      <c r="J48" s="327"/>
      <c r="K48" s="327"/>
      <c r="L48" s="327"/>
    </row>
    <row r="49" spans="1:31" s="328" customFormat="1" ht="15" x14ac:dyDescent="0.25">
      <c r="A49" s="327"/>
      <c r="B49" s="327"/>
      <c r="C49" s="327"/>
      <c r="D49" s="327"/>
      <c r="E49" s="327"/>
      <c r="F49" s="327"/>
      <c r="G49" s="327"/>
      <c r="H49" s="327"/>
      <c r="I49" s="486" t="s">
        <v>31</v>
      </c>
      <c r="J49" s="486" t="s">
        <v>32</v>
      </c>
      <c r="K49" s="488" t="s">
        <v>33</v>
      </c>
      <c r="L49" s="489"/>
    </row>
    <row r="50" spans="1:31" s="328" customFormat="1" ht="15" x14ac:dyDescent="0.25">
      <c r="A50" s="327"/>
      <c r="B50" s="327"/>
      <c r="C50" s="327"/>
      <c r="D50" s="327"/>
      <c r="E50" s="327"/>
      <c r="F50" s="327"/>
      <c r="G50" s="327"/>
      <c r="H50" s="327"/>
      <c r="I50" s="487"/>
      <c r="J50" s="487"/>
      <c r="K50" s="331" t="s">
        <v>34</v>
      </c>
      <c r="L50" s="391" t="s">
        <v>35</v>
      </c>
    </row>
    <row r="51" spans="1:31" s="328" customFormat="1" ht="14.25" customHeight="1" x14ac:dyDescent="0.25">
      <c r="A51" s="327"/>
      <c r="B51" s="327"/>
      <c r="C51" s="327"/>
      <c r="D51" s="327"/>
      <c r="E51" s="327"/>
      <c r="F51" s="327"/>
      <c r="G51" s="327"/>
      <c r="H51" s="327"/>
      <c r="I51" s="332" t="s">
        <v>155</v>
      </c>
      <c r="J51" s="390">
        <v>44255</v>
      </c>
      <c r="K51" s="390">
        <v>44228</v>
      </c>
      <c r="L51" s="253">
        <f>J51</f>
        <v>44255</v>
      </c>
    </row>
    <row r="52" spans="1:31" s="141" customFormat="1" ht="18" x14ac:dyDescent="0.25">
      <c r="A52" s="478" t="s">
        <v>36</v>
      </c>
      <c r="B52" s="478"/>
      <c r="C52" s="478"/>
      <c r="D52" s="478"/>
      <c r="E52" s="478"/>
      <c r="F52" s="478"/>
      <c r="G52" s="478"/>
      <c r="H52" s="478"/>
      <c r="I52" s="478"/>
      <c r="J52" s="478"/>
      <c r="K52" s="478"/>
      <c r="L52" s="478"/>
      <c r="M52" s="204"/>
      <c r="N52" s="204"/>
      <c r="O52" s="204"/>
    </row>
    <row r="53" spans="1:31" s="141" customFormat="1" ht="21.75" customHeight="1" x14ac:dyDescent="0.25">
      <c r="A53" s="478" t="s">
        <v>37</v>
      </c>
      <c r="B53" s="478"/>
      <c r="C53" s="478"/>
      <c r="D53" s="478"/>
      <c r="E53" s="478"/>
      <c r="F53" s="478"/>
      <c r="G53" s="478"/>
      <c r="H53" s="478"/>
      <c r="I53" s="478"/>
      <c r="J53" s="478"/>
      <c r="K53" s="478"/>
      <c r="L53" s="478"/>
      <c r="M53" s="204"/>
      <c r="N53" s="204"/>
      <c r="O53" s="204"/>
    </row>
    <row r="54" spans="1:31" ht="18" x14ac:dyDescent="0.25">
      <c r="A54" s="478" t="s">
        <v>361</v>
      </c>
      <c r="B54" s="478"/>
      <c r="C54" s="478"/>
      <c r="D54" s="478"/>
      <c r="E54" s="478"/>
      <c r="F54" s="478"/>
      <c r="G54" s="478"/>
      <c r="H54" s="478"/>
      <c r="I54" s="478"/>
      <c r="J54" s="478"/>
      <c r="K54" s="478"/>
      <c r="L54" s="478"/>
    </row>
    <row r="55" spans="1:31" ht="14.25" x14ac:dyDescent="0.2">
      <c r="A55" s="204"/>
      <c r="B55" s="204"/>
      <c r="C55" s="204"/>
      <c r="D55" s="204"/>
      <c r="E55" s="204"/>
      <c r="F55" s="204"/>
      <c r="G55" s="204"/>
      <c r="H55" s="204"/>
      <c r="I55" s="204"/>
      <c r="J55" s="204"/>
      <c r="K55" s="204"/>
      <c r="L55" s="204"/>
    </row>
    <row r="56" spans="1:31" ht="15" hidden="1" x14ac:dyDescent="0.25">
      <c r="A56" s="204" t="s">
        <v>92</v>
      </c>
      <c r="B56" s="204"/>
      <c r="C56" s="204"/>
      <c r="D56" s="204"/>
      <c r="E56" s="204"/>
      <c r="F56" s="204"/>
      <c r="G56" s="204"/>
      <c r="H56" s="646"/>
      <c r="I56" s="646"/>
      <c r="J56" s="204"/>
      <c r="K56" s="204"/>
      <c r="L56" s="204"/>
    </row>
    <row r="57" spans="1:31" ht="14.25" x14ac:dyDescent="0.2">
      <c r="A57" s="647" t="s">
        <v>93</v>
      </c>
      <c r="B57" s="647"/>
      <c r="C57" s="647"/>
      <c r="D57" s="647"/>
      <c r="E57" s="647"/>
      <c r="F57" s="647"/>
      <c r="G57" s="647"/>
      <c r="H57" s="647"/>
      <c r="I57" s="647"/>
      <c r="J57" s="647"/>
      <c r="K57" s="647"/>
      <c r="L57" s="647"/>
      <c r="AE57" s="648" t="s">
        <v>93</v>
      </c>
    </row>
    <row r="58" spans="1:31" x14ac:dyDescent="0.2">
      <c r="A58" s="649" t="s">
        <v>38</v>
      </c>
      <c r="B58" s="650"/>
      <c r="C58" s="651" t="s">
        <v>39</v>
      </c>
      <c r="D58" s="651" t="s">
        <v>40</v>
      </c>
      <c r="E58" s="651" t="s">
        <v>75</v>
      </c>
      <c r="F58" s="651" t="s">
        <v>68</v>
      </c>
      <c r="G58" s="651" t="s">
        <v>69</v>
      </c>
      <c r="H58" s="651" t="s">
        <v>76</v>
      </c>
      <c r="I58" s="651" t="s">
        <v>77</v>
      </c>
      <c r="J58" s="651" t="s">
        <v>78</v>
      </c>
      <c r="K58" s="651" t="s">
        <v>79</v>
      </c>
      <c r="L58" s="651" t="s">
        <v>80</v>
      </c>
    </row>
    <row r="59" spans="1:31" x14ac:dyDescent="0.2">
      <c r="A59" s="652"/>
      <c r="B59" s="653"/>
      <c r="C59" s="654"/>
      <c r="D59" s="654"/>
      <c r="E59" s="654"/>
      <c r="F59" s="654"/>
      <c r="G59" s="654"/>
      <c r="H59" s="654"/>
      <c r="I59" s="654"/>
      <c r="J59" s="654"/>
      <c r="K59" s="654"/>
      <c r="L59" s="654"/>
    </row>
    <row r="60" spans="1:31" x14ac:dyDescent="0.2">
      <c r="A60" s="655" t="s">
        <v>41</v>
      </c>
      <c r="B60" s="655" t="s">
        <v>42</v>
      </c>
      <c r="C60" s="654"/>
      <c r="D60" s="654"/>
      <c r="E60" s="654"/>
      <c r="F60" s="654"/>
      <c r="G60" s="654"/>
      <c r="H60" s="654"/>
      <c r="I60" s="654"/>
      <c r="J60" s="654"/>
      <c r="K60" s="654"/>
      <c r="L60" s="654"/>
    </row>
    <row r="61" spans="1:31" x14ac:dyDescent="0.2">
      <c r="A61" s="655"/>
      <c r="B61" s="655"/>
      <c r="C61" s="654"/>
      <c r="D61" s="654"/>
      <c r="E61" s="654"/>
      <c r="F61" s="654"/>
      <c r="G61" s="654"/>
      <c r="H61" s="654"/>
      <c r="I61" s="654"/>
      <c r="J61" s="654"/>
      <c r="K61" s="654"/>
      <c r="L61" s="654"/>
    </row>
    <row r="62" spans="1:31" x14ac:dyDescent="0.2">
      <c r="A62" s="655"/>
      <c r="B62" s="655"/>
      <c r="C62" s="654"/>
      <c r="D62" s="654"/>
      <c r="E62" s="654"/>
      <c r="F62" s="654"/>
      <c r="G62" s="654"/>
      <c r="H62" s="654"/>
      <c r="I62" s="654"/>
      <c r="J62" s="654"/>
      <c r="K62" s="654"/>
      <c r="L62" s="654"/>
    </row>
    <row r="63" spans="1:31" x14ac:dyDescent="0.2">
      <c r="A63" s="655"/>
      <c r="B63" s="655"/>
      <c r="C63" s="654"/>
      <c r="D63" s="654"/>
      <c r="E63" s="654"/>
      <c r="F63" s="654"/>
      <c r="G63" s="654"/>
      <c r="H63" s="654"/>
      <c r="I63" s="654"/>
      <c r="J63" s="654"/>
      <c r="K63" s="654"/>
      <c r="L63" s="654"/>
    </row>
    <row r="64" spans="1:31" x14ac:dyDescent="0.2">
      <c r="A64" s="655"/>
      <c r="B64" s="655"/>
      <c r="C64" s="654"/>
      <c r="D64" s="654"/>
      <c r="E64" s="654"/>
      <c r="F64" s="654"/>
      <c r="G64" s="654"/>
      <c r="H64" s="654"/>
      <c r="I64" s="654"/>
      <c r="J64" s="654"/>
      <c r="K64" s="654"/>
      <c r="L64" s="654"/>
    </row>
    <row r="65" spans="1:22" x14ac:dyDescent="0.2">
      <c r="A65" s="655"/>
      <c r="B65" s="655"/>
      <c r="C65" s="656"/>
      <c r="D65" s="656"/>
      <c r="E65" s="656"/>
      <c r="F65" s="656"/>
      <c r="G65" s="656"/>
      <c r="H65" s="656"/>
      <c r="I65" s="656"/>
      <c r="J65" s="656"/>
      <c r="K65" s="656"/>
      <c r="L65" s="656"/>
    </row>
    <row r="66" spans="1:22" ht="14.25" x14ac:dyDescent="0.2">
      <c r="A66" s="657">
        <v>1</v>
      </c>
      <c r="B66" s="657">
        <v>2</v>
      </c>
      <c r="C66" s="657">
        <v>3</v>
      </c>
      <c r="D66" s="657">
        <v>4</v>
      </c>
      <c r="E66" s="657">
        <v>5</v>
      </c>
      <c r="F66" s="657">
        <v>6</v>
      </c>
      <c r="G66" s="657">
        <v>7</v>
      </c>
      <c r="H66" s="657">
        <v>8</v>
      </c>
      <c r="I66" s="657">
        <v>9</v>
      </c>
      <c r="J66" s="657">
        <v>10</v>
      </c>
      <c r="K66" s="657">
        <v>11</v>
      </c>
      <c r="L66" s="657">
        <v>12</v>
      </c>
    </row>
    <row r="68" spans="1:22" ht="16.5" x14ac:dyDescent="0.2">
      <c r="A68" s="658" t="s">
        <v>94</v>
      </c>
      <c r="B68" s="658"/>
      <c r="C68" s="658"/>
      <c r="D68" s="658"/>
      <c r="E68" s="658"/>
      <c r="F68" s="658"/>
      <c r="G68" s="658"/>
      <c r="H68" s="658"/>
      <c r="I68" s="658"/>
      <c r="J68" s="658"/>
      <c r="K68" s="658"/>
      <c r="L68" s="658"/>
    </row>
    <row r="69" spans="1:22" ht="36.75" customHeight="1" x14ac:dyDescent="0.25">
      <c r="A69" s="407" t="s">
        <v>95</v>
      </c>
      <c r="B69" s="407"/>
      <c r="C69" s="407"/>
      <c r="D69" s="407"/>
      <c r="E69" s="407"/>
      <c r="F69" s="407"/>
      <c r="G69" s="407"/>
      <c r="H69" s="407"/>
      <c r="I69" s="407"/>
      <c r="J69" s="407"/>
      <c r="K69" s="407"/>
      <c r="L69" s="407"/>
    </row>
    <row r="70" spans="1:22" ht="15" x14ac:dyDescent="0.25">
      <c r="A70" s="477" t="s">
        <v>174</v>
      </c>
      <c r="B70" s="477"/>
      <c r="C70" s="477"/>
      <c r="D70" s="477"/>
      <c r="E70" s="477"/>
      <c r="F70" s="477"/>
      <c r="G70" s="477"/>
      <c r="H70" s="477"/>
      <c r="I70" s="477"/>
      <c r="J70" s="477"/>
      <c r="K70" s="477"/>
      <c r="L70" s="477"/>
    </row>
    <row r="71" spans="1:22" ht="16.5" x14ac:dyDescent="0.25">
      <c r="A71" s="407" t="str">
        <f>CONCATENATE("Раздел: ",IF([84]Source!G28&lt;&gt;"Новый раздел", [84]Source!G28, ""))</f>
        <v>Раздел: Вентиляция</v>
      </c>
      <c r="B71" s="407"/>
      <c r="C71" s="407"/>
      <c r="D71" s="407"/>
      <c r="E71" s="407"/>
      <c r="F71" s="407"/>
      <c r="G71" s="407"/>
      <c r="H71" s="407"/>
      <c r="I71" s="407"/>
      <c r="J71" s="407"/>
      <c r="K71" s="407"/>
      <c r="L71" s="407"/>
    </row>
    <row r="73" spans="1:22" ht="16.5" x14ac:dyDescent="0.25">
      <c r="A73" s="407" t="str">
        <f>CONCATENATE("Подраздел: ",IF([84]Source!G342&lt;&gt;"Новый подраздел", [84]Source!G342, ""))</f>
        <v>Подраздел: П2-16, П2-16р</v>
      </c>
      <c r="B73" s="407"/>
      <c r="C73" s="407"/>
      <c r="D73" s="407"/>
      <c r="E73" s="407"/>
      <c r="F73" s="407"/>
      <c r="G73" s="407"/>
      <c r="H73" s="407"/>
      <c r="I73" s="407"/>
      <c r="J73" s="407"/>
      <c r="K73" s="407"/>
      <c r="L73" s="407"/>
    </row>
    <row r="74" spans="1:22" ht="52.5" x14ac:dyDescent="0.2">
      <c r="A74" s="659">
        <v>1</v>
      </c>
      <c r="B74" s="659">
        <v>41</v>
      </c>
      <c r="C74" s="660" t="s">
        <v>96</v>
      </c>
      <c r="D74" s="660" t="s">
        <v>97</v>
      </c>
      <c r="E74" s="661" t="str">
        <f>[84]Source!H346</f>
        <v>1  ШТ.</v>
      </c>
      <c r="F74" s="662">
        <f>[84]Source!I346</f>
        <v>1</v>
      </c>
      <c r="G74" s="663"/>
      <c r="H74" s="664"/>
      <c r="I74" s="662"/>
      <c r="J74" s="665"/>
      <c r="K74" s="662"/>
      <c r="L74" s="665"/>
      <c r="Q74" s="645">
        <f>[84]Source!X346</f>
        <v>866.43</v>
      </c>
      <c r="R74" s="645">
        <f>[84]Source!X347</f>
        <v>18294.23</v>
      </c>
      <c r="S74" s="645">
        <f>[84]Source!Y346</f>
        <v>767.73</v>
      </c>
      <c r="T74" s="645">
        <f>[84]Source!Y347</f>
        <v>11568.41</v>
      </c>
      <c r="U74" s="645">
        <f>ROUND((175/100)*ROUND([84]Source!R346, 2), 2)</f>
        <v>4.08</v>
      </c>
      <c r="V74" s="645">
        <f>ROUND((157/100)*ROUND([84]Source!R347, 2), 2)</f>
        <v>89.73</v>
      </c>
    </row>
    <row r="75" spans="1:22" ht="14.25" x14ac:dyDescent="0.2">
      <c r="A75" s="659"/>
      <c r="B75" s="659"/>
      <c r="C75" s="660"/>
      <c r="D75" s="660" t="s">
        <v>43</v>
      </c>
      <c r="E75" s="661"/>
      <c r="F75" s="662"/>
      <c r="G75" s="663">
        <f>[84]Source!AO346</f>
        <v>615.5</v>
      </c>
      <c r="H75" s="664" t="str">
        <f>[84]Source!DG346</f>
        <v>)*1,67</v>
      </c>
      <c r="I75" s="662">
        <f>[84]Source!AV347</f>
        <v>1.0669999999999999</v>
      </c>
      <c r="J75" s="665">
        <f>[84]Source!S346</f>
        <v>1096.75</v>
      </c>
      <c r="K75" s="662">
        <f>IF([84]Source!BA347&lt;&gt; 0, [84]Source!BA347, 1)</f>
        <v>24.53</v>
      </c>
      <c r="L75" s="665">
        <f>[84]Source!S347</f>
        <v>26903.279999999999</v>
      </c>
    </row>
    <row r="76" spans="1:22" ht="14.25" x14ac:dyDescent="0.2">
      <c r="A76" s="659"/>
      <c r="B76" s="659"/>
      <c r="C76" s="660"/>
      <c r="D76" s="660" t="s">
        <v>44</v>
      </c>
      <c r="E76" s="661"/>
      <c r="F76" s="662"/>
      <c r="G76" s="663">
        <f>[84]Source!AM346</f>
        <v>15.8</v>
      </c>
      <c r="H76" s="664" t="str">
        <f>[84]Source!DE346</f>
        <v/>
      </c>
      <c r="I76" s="662">
        <f>[84]Source!AV347</f>
        <v>1.0669999999999999</v>
      </c>
      <c r="J76" s="665">
        <f>[84]Source!Q346-J86</f>
        <v>16.86</v>
      </c>
      <c r="K76" s="662">
        <f>IF([84]Source!BB347&lt;&gt; 0, [84]Source!BB347, 1)</f>
        <v>7.59</v>
      </c>
      <c r="L76" s="665">
        <f>[84]Source!Q347-L86</f>
        <v>127.97</v>
      </c>
    </row>
    <row r="77" spans="1:22" ht="14.25" x14ac:dyDescent="0.2">
      <c r="A77" s="659"/>
      <c r="B77" s="659"/>
      <c r="C77" s="660"/>
      <c r="D77" s="660" t="s">
        <v>45</v>
      </c>
      <c r="E77" s="661"/>
      <c r="F77" s="662"/>
      <c r="G77" s="663">
        <f>[84]Source!AN346</f>
        <v>1.31</v>
      </c>
      <c r="H77" s="664" t="str">
        <f>[84]Source!DE346</f>
        <v/>
      </c>
      <c r="I77" s="662">
        <f>[84]Source!AV347</f>
        <v>1.0669999999999999</v>
      </c>
      <c r="J77" s="666">
        <f>[84]Source!R346-J87</f>
        <v>1.39</v>
      </c>
      <c r="K77" s="662">
        <f>IF([84]Source!BS347&lt;&gt; 0, [84]Source!BS347, 1)</f>
        <v>24.53</v>
      </c>
      <c r="L77" s="666">
        <f>[84]Source!R347-L87</f>
        <v>34.090000000000003</v>
      </c>
    </row>
    <row r="78" spans="1:22" ht="14.25" x14ac:dyDescent="0.2">
      <c r="A78" s="659"/>
      <c r="B78" s="659"/>
      <c r="C78" s="660"/>
      <c r="D78" s="660" t="s">
        <v>46</v>
      </c>
      <c r="E78" s="661"/>
      <c r="F78" s="662"/>
      <c r="G78" s="663">
        <f>[84]Source!AL346</f>
        <v>4.0599999999999996</v>
      </c>
      <c r="H78" s="664" t="str">
        <f>[84]Source!DD346</f>
        <v/>
      </c>
      <c r="I78" s="662">
        <f>[84]Source!AW347</f>
        <v>1.028</v>
      </c>
      <c r="J78" s="665">
        <f>[84]Source!P346</f>
        <v>4.17</v>
      </c>
      <c r="K78" s="662">
        <f>IF([84]Source!BC347&lt;&gt; 0, [84]Source!BC347, 1)</f>
        <v>6.33</v>
      </c>
      <c r="L78" s="665">
        <f>[84]Source!P347</f>
        <v>26.4</v>
      </c>
    </row>
    <row r="79" spans="1:22" ht="14.25" x14ac:dyDescent="0.2">
      <c r="A79" s="659"/>
      <c r="B79" s="659"/>
      <c r="C79" s="660"/>
      <c r="D79" s="660" t="s">
        <v>47</v>
      </c>
      <c r="E79" s="661" t="s">
        <v>48</v>
      </c>
      <c r="F79" s="662">
        <f>[84]Source!DN347</f>
        <v>68</v>
      </c>
      <c r="G79" s="663"/>
      <c r="H79" s="664"/>
      <c r="I79" s="662"/>
      <c r="J79" s="665">
        <f>SUM(Q74:Q78)</f>
        <v>866.43</v>
      </c>
      <c r="K79" s="662">
        <f>[84]Source!BZ347</f>
        <v>68</v>
      </c>
      <c r="L79" s="665">
        <f>SUM(R74:R78)</f>
        <v>18294.23</v>
      </c>
    </row>
    <row r="80" spans="1:22" ht="14.25" x14ac:dyDescent="0.2">
      <c r="A80" s="659"/>
      <c r="B80" s="659"/>
      <c r="C80" s="660"/>
      <c r="D80" s="660" t="s">
        <v>49</v>
      </c>
      <c r="E80" s="661" t="s">
        <v>48</v>
      </c>
      <c r="F80" s="662">
        <f>[84]Source!DO347</f>
        <v>43</v>
      </c>
      <c r="G80" s="663"/>
      <c r="H80" s="664"/>
      <c r="I80" s="662"/>
      <c r="J80" s="665">
        <f>SUM(S74:S79)</f>
        <v>767.73</v>
      </c>
      <c r="K80" s="662">
        <f>[84]Source!CA347</f>
        <v>43</v>
      </c>
      <c r="L80" s="665">
        <f>SUM(T74:T79)</f>
        <v>11568.41</v>
      </c>
    </row>
    <row r="81" spans="1:22" ht="14.25" x14ac:dyDescent="0.2">
      <c r="A81" s="659"/>
      <c r="B81" s="659"/>
      <c r="C81" s="660"/>
      <c r="D81" s="660" t="s">
        <v>50</v>
      </c>
      <c r="E81" s="661" t="s">
        <v>48</v>
      </c>
      <c r="F81" s="662">
        <f>175</f>
        <v>175</v>
      </c>
      <c r="G81" s="663"/>
      <c r="H81" s="664"/>
      <c r="I81" s="662"/>
      <c r="J81" s="665">
        <f>SUM(U74:U80)-J88</f>
        <v>2.4300000000000002</v>
      </c>
      <c r="K81" s="662">
        <f>157</f>
        <v>157</v>
      </c>
      <c r="L81" s="665">
        <f>SUM(V74:V80)-L88</f>
        <v>53.53</v>
      </c>
    </row>
    <row r="82" spans="1:22" ht="14.25" x14ac:dyDescent="0.2">
      <c r="A82" s="667"/>
      <c r="B82" s="667"/>
      <c r="C82" s="668"/>
      <c r="D82" s="668" t="s">
        <v>51</v>
      </c>
      <c r="E82" s="669" t="s">
        <v>52</v>
      </c>
      <c r="F82" s="670">
        <f>[84]Source!AQ346</f>
        <v>51.58</v>
      </c>
      <c r="G82" s="671"/>
      <c r="H82" s="672" t="str">
        <f>[84]Source!DI346</f>
        <v/>
      </c>
      <c r="I82" s="670">
        <f>[84]Source!AV347</f>
        <v>1.0669999999999999</v>
      </c>
      <c r="J82" s="673">
        <f>[84]Source!U346</f>
        <v>55.04</v>
      </c>
      <c r="K82" s="670"/>
      <c r="L82" s="673"/>
    </row>
    <row r="83" spans="1:22" ht="15" x14ac:dyDescent="0.25">
      <c r="D83" s="674" t="s">
        <v>81</v>
      </c>
      <c r="I83" s="675">
        <f>J75+J76+J78+J79+J80+J81</f>
        <v>2754.37</v>
      </c>
      <c r="J83" s="675"/>
      <c r="K83" s="675">
        <f>L75+L76+L78+L79+L80+L81</f>
        <v>56973.82</v>
      </c>
      <c r="L83" s="675"/>
      <c r="O83" s="676">
        <f>J75+J76+J78+J79+J80+J81</f>
        <v>2754.37</v>
      </c>
      <c r="P83" s="676">
        <f>L75+L76+L78+L79+L80+L81</f>
        <v>56973.82</v>
      </c>
    </row>
    <row r="85" spans="1:22" ht="14.25" x14ac:dyDescent="0.2">
      <c r="A85" s="659">
        <v>2</v>
      </c>
      <c r="B85" s="659" t="s">
        <v>98</v>
      </c>
      <c r="C85" s="660"/>
      <c r="D85" s="660" t="s">
        <v>82</v>
      </c>
      <c r="E85" s="661" t="str">
        <f>[84]Source!H346</f>
        <v>1  ШТ.</v>
      </c>
      <c r="F85" s="662">
        <f>[84]Source!I346</f>
        <v>1</v>
      </c>
      <c r="G85" s="663"/>
      <c r="H85" s="664"/>
      <c r="I85" s="662"/>
      <c r="J85" s="665"/>
      <c r="K85" s="662"/>
      <c r="L85" s="665"/>
    </row>
    <row r="86" spans="1:22" ht="14.25" x14ac:dyDescent="0.2">
      <c r="A86" s="659"/>
      <c r="B86" s="659"/>
      <c r="C86" s="660"/>
      <c r="D86" s="660" t="s">
        <v>44</v>
      </c>
      <c r="E86" s="661"/>
      <c r="F86" s="662"/>
      <c r="G86" s="663">
        <f t="shared" ref="G86:L86" si="0">G87</f>
        <v>1.31</v>
      </c>
      <c r="H86" s="677" t="str">
        <f t="shared" si="0"/>
        <v>)*(1.67-1)</v>
      </c>
      <c r="I86" s="662">
        <f t="shared" si="0"/>
        <v>1.0669999999999999</v>
      </c>
      <c r="J86" s="665">
        <f t="shared" si="0"/>
        <v>0.94</v>
      </c>
      <c r="K86" s="662">
        <f t="shared" si="0"/>
        <v>24.53</v>
      </c>
      <c r="L86" s="665">
        <f t="shared" si="0"/>
        <v>23.06</v>
      </c>
    </row>
    <row r="87" spans="1:22" ht="14.25" x14ac:dyDescent="0.2">
      <c r="A87" s="659"/>
      <c r="B87" s="659"/>
      <c r="C87" s="660"/>
      <c r="D87" s="660" t="s">
        <v>45</v>
      </c>
      <c r="E87" s="661"/>
      <c r="F87" s="662"/>
      <c r="G87" s="663">
        <f>[84]Source!AN346</f>
        <v>1.31</v>
      </c>
      <c r="H87" s="677" t="s">
        <v>53</v>
      </c>
      <c r="I87" s="662">
        <f>[84]Source!AV347</f>
        <v>1.0669999999999999</v>
      </c>
      <c r="J87" s="666">
        <f>ROUND(F74*G87*I87*(1.67-1), 2)</f>
        <v>0.94</v>
      </c>
      <c r="K87" s="662">
        <f>IF([84]Source!BS347&lt;&gt; 0, [84]Source!BS347, 1)</f>
        <v>24.53</v>
      </c>
      <c r="L87" s="666">
        <f>ROUND(ROUND(F74*G87*I87*(1.67-1), 2)*K87, 2)</f>
        <v>23.06</v>
      </c>
    </row>
    <row r="88" spans="1:22" ht="14.25" x14ac:dyDescent="0.2">
      <c r="A88" s="659"/>
      <c r="B88" s="659"/>
      <c r="C88" s="660"/>
      <c r="D88" s="660" t="s">
        <v>50</v>
      </c>
      <c r="E88" s="661" t="s">
        <v>48</v>
      </c>
      <c r="F88" s="662">
        <f>175</f>
        <v>175</v>
      </c>
      <c r="G88" s="663"/>
      <c r="H88" s="664"/>
      <c r="I88" s="662"/>
      <c r="J88" s="665">
        <f>ROUND(J87*(F88/100), 2)</f>
        <v>1.65</v>
      </c>
      <c r="K88" s="662">
        <f>157</f>
        <v>157</v>
      </c>
      <c r="L88" s="665">
        <f>ROUND(L87*(K88/100), 2)</f>
        <v>36.200000000000003</v>
      </c>
    </row>
    <row r="89" spans="1:22" ht="15" x14ac:dyDescent="0.25">
      <c r="A89" s="678"/>
      <c r="B89" s="678"/>
      <c r="C89" s="678"/>
      <c r="D89" s="679" t="s">
        <v>81</v>
      </c>
      <c r="E89" s="678"/>
      <c r="F89" s="678"/>
      <c r="G89" s="678"/>
      <c r="H89" s="678"/>
      <c r="I89" s="680">
        <f>J88+J87</f>
        <v>2.59</v>
      </c>
      <c r="J89" s="680"/>
      <c r="K89" s="680">
        <f>L88+L87</f>
        <v>59.26</v>
      </c>
      <c r="L89" s="680"/>
      <c r="O89" s="676">
        <f>I89</f>
        <v>2.59</v>
      </c>
      <c r="P89" s="676">
        <f>K89</f>
        <v>59.26</v>
      </c>
    </row>
    <row r="90" spans="1:22" hidden="1" x14ac:dyDescent="0.2"/>
    <row r="91" spans="1:22" s="688" customFormat="1" ht="54" hidden="1" x14ac:dyDescent="0.25">
      <c r="A91" s="681">
        <v>3</v>
      </c>
      <c r="B91" s="681">
        <v>42</v>
      </c>
      <c r="C91" s="682" t="str">
        <f>[84]Source!F348</f>
        <v>Прайс-лист</v>
      </c>
      <c r="D91" s="682" t="s">
        <v>99</v>
      </c>
      <c r="E91" s="683" t="str">
        <f>[84]Source!H348</f>
        <v>шт.</v>
      </c>
      <c r="F91" s="684">
        <f>[84]Source!I348</f>
        <v>0</v>
      </c>
      <c r="G91" s="685">
        <f>[84]Source!AL348</f>
        <v>137717.41</v>
      </c>
      <c r="H91" s="686" t="str">
        <f>[84]Source!DD348</f>
        <v/>
      </c>
      <c r="I91" s="684">
        <f>[84]Source!AW349</f>
        <v>1</v>
      </c>
      <c r="J91" s="687">
        <f>L91/K91</f>
        <v>0</v>
      </c>
      <c r="K91" s="684">
        <f>IF([84]Source!BC349&lt;&gt; 0, [84]Source!BC349, 1)</f>
        <v>4.5999999999999996</v>
      </c>
      <c r="L91" s="687"/>
      <c r="M91" s="140" t="s">
        <v>100</v>
      </c>
      <c r="Q91" s="688">
        <f>[84]Source!X348</f>
        <v>0</v>
      </c>
      <c r="R91" s="688">
        <f>[84]Source!X349</f>
        <v>0</v>
      </c>
      <c r="S91" s="688">
        <f>[84]Source!Y348</f>
        <v>0</v>
      </c>
      <c r="T91" s="688">
        <f>[84]Source!Y349</f>
        <v>0</v>
      </c>
      <c r="U91" s="688">
        <f>ROUND((175/100)*ROUND([84]Source!R348, 2), 2)</f>
        <v>0</v>
      </c>
      <c r="V91" s="688">
        <f>ROUND((157/100)*ROUND([84]Source!R349, 2), 2)</f>
        <v>0</v>
      </c>
    </row>
    <row r="92" spans="1:22" s="688" customFormat="1" ht="15" hidden="1" x14ac:dyDescent="0.25">
      <c r="A92" s="689"/>
      <c r="B92" s="689"/>
      <c r="C92" s="689"/>
      <c r="D92" s="690" t="s">
        <v>81</v>
      </c>
      <c r="E92" s="689"/>
      <c r="F92" s="689"/>
      <c r="G92" s="689"/>
      <c r="H92" s="689"/>
      <c r="I92" s="691">
        <f>J91</f>
        <v>0</v>
      </c>
      <c r="J92" s="691"/>
      <c r="K92" s="691">
        <f>L91</f>
        <v>0</v>
      </c>
      <c r="L92" s="691"/>
      <c r="O92" s="692">
        <f>J91</f>
        <v>0</v>
      </c>
      <c r="P92" s="692">
        <f>L91</f>
        <v>0</v>
      </c>
    </row>
    <row r="95" spans="1:22" ht="15" x14ac:dyDescent="0.25">
      <c r="A95" s="477" t="str">
        <f>CONCATENATE("Итого по подразделу: ",IF([84]Source!G381&lt;&gt;"Новый подраздел", [84]Source!G381, ""))</f>
        <v>Итого по подразделу: П2-16, П2-16р</v>
      </c>
      <c r="B95" s="477"/>
      <c r="C95" s="477"/>
      <c r="D95" s="477"/>
      <c r="E95" s="477"/>
      <c r="F95" s="477"/>
      <c r="G95" s="477"/>
      <c r="H95" s="477"/>
      <c r="I95" s="693">
        <f>SUM(O73:O94)</f>
        <v>2756.96</v>
      </c>
      <c r="J95" s="694"/>
      <c r="K95" s="693">
        <f>SUM(P73:P94)</f>
        <v>57033.08</v>
      </c>
      <c r="L95" s="694"/>
    </row>
    <row r="96" spans="1:22" hidden="1" x14ac:dyDescent="0.2">
      <c r="A96" s="645" t="s">
        <v>54</v>
      </c>
      <c r="J96" s="645">
        <f>SUM(W73:W95)</f>
        <v>0</v>
      </c>
      <c r="K96" s="645">
        <f>SUM(X73:X95)</f>
        <v>0</v>
      </c>
    </row>
    <row r="97" spans="1:22" hidden="1" x14ac:dyDescent="0.2">
      <c r="A97" s="645" t="s">
        <v>55</v>
      </c>
      <c r="J97" s="645">
        <f>SUM(Y73:Y96)</f>
        <v>0</v>
      </c>
      <c r="K97" s="645">
        <f>SUM(Z73:Z96)</f>
        <v>0</v>
      </c>
    </row>
    <row r="99" spans="1:22" hidden="1" x14ac:dyDescent="0.2">
      <c r="A99" s="645" t="s">
        <v>54</v>
      </c>
      <c r="J99" s="645" t="e">
        <f>SUM(#REF!)</f>
        <v>#REF!</v>
      </c>
      <c r="K99" s="645" t="e">
        <f>SUM(#REF!)</f>
        <v>#REF!</v>
      </c>
    </row>
    <row r="100" spans="1:22" hidden="1" x14ac:dyDescent="0.2">
      <c r="A100" s="645" t="s">
        <v>55</v>
      </c>
      <c r="J100" s="645">
        <f>SUM(Y99:Y99)</f>
        <v>0</v>
      </c>
      <c r="K100" s="645">
        <f>SUM(Z99:Z99)</f>
        <v>0</v>
      </c>
    </row>
    <row r="102" spans="1:22" ht="16.5" x14ac:dyDescent="0.25">
      <c r="A102" s="407" t="str">
        <f>CONCATENATE("Подраздел: ",IF([84]Source!G671&lt;&gt;"Новый подраздел", [84]Source!G671, ""))</f>
        <v>Подраздел: П2-25, П2-25р</v>
      </c>
      <c r="B102" s="407"/>
      <c r="C102" s="407"/>
      <c r="D102" s="407"/>
      <c r="E102" s="407"/>
      <c r="F102" s="407"/>
      <c r="G102" s="407"/>
      <c r="H102" s="407"/>
      <c r="I102" s="407"/>
      <c r="J102" s="407"/>
      <c r="K102" s="407"/>
      <c r="L102" s="407"/>
    </row>
    <row r="103" spans="1:22" ht="52.5" x14ac:dyDescent="0.2">
      <c r="A103" s="659">
        <v>4</v>
      </c>
      <c r="B103" s="659">
        <v>80</v>
      </c>
      <c r="C103" s="660" t="s">
        <v>96</v>
      </c>
      <c r="D103" s="660" t="s">
        <v>97</v>
      </c>
      <c r="E103" s="661" t="str">
        <f>[84]Source!H675</f>
        <v>1  ШТ.</v>
      </c>
      <c r="F103" s="662">
        <f>[84]Source!I675</f>
        <v>1</v>
      </c>
      <c r="G103" s="663"/>
      <c r="H103" s="664"/>
      <c r="I103" s="662"/>
      <c r="J103" s="665"/>
      <c r="K103" s="662"/>
      <c r="L103" s="665"/>
      <c r="Q103" s="645">
        <f>[84]Source!X675</f>
        <v>866.43</v>
      </c>
      <c r="R103" s="645">
        <f>[84]Source!X676</f>
        <v>18294.23</v>
      </c>
      <c r="S103" s="645">
        <f>[84]Source!Y675</f>
        <v>767.73</v>
      </c>
      <c r="T103" s="645">
        <f>[84]Source!Y676</f>
        <v>11568.41</v>
      </c>
      <c r="U103" s="645">
        <f>ROUND((175/100)*ROUND([84]Source!R675, 2), 2)</f>
        <v>4.08</v>
      </c>
      <c r="V103" s="645">
        <f>ROUND((157/100)*ROUND([84]Source!R676, 2), 2)</f>
        <v>89.73</v>
      </c>
    </row>
    <row r="104" spans="1:22" ht="14.25" x14ac:dyDescent="0.2">
      <c r="A104" s="659"/>
      <c r="B104" s="659"/>
      <c r="C104" s="660"/>
      <c r="D104" s="660" t="s">
        <v>43</v>
      </c>
      <c r="E104" s="661"/>
      <c r="F104" s="662"/>
      <c r="G104" s="663">
        <f>[84]Source!AO675</f>
        <v>615.5</v>
      </c>
      <c r="H104" s="664" t="str">
        <f>[84]Source!DG675</f>
        <v>)*1,67</v>
      </c>
      <c r="I104" s="662">
        <f>[84]Source!AV676</f>
        <v>1.0669999999999999</v>
      </c>
      <c r="J104" s="665">
        <f>[84]Source!S675</f>
        <v>1096.75</v>
      </c>
      <c r="K104" s="662">
        <f>IF([84]Source!BA676&lt;&gt; 0, [84]Source!BA676, 1)</f>
        <v>24.53</v>
      </c>
      <c r="L104" s="665">
        <f>[84]Source!S676</f>
        <v>26903.279999999999</v>
      </c>
    </row>
    <row r="105" spans="1:22" ht="14.25" x14ac:dyDescent="0.2">
      <c r="A105" s="659"/>
      <c r="B105" s="659"/>
      <c r="C105" s="660"/>
      <c r="D105" s="660" t="s">
        <v>44</v>
      </c>
      <c r="E105" s="661"/>
      <c r="F105" s="662"/>
      <c r="G105" s="663">
        <f>[84]Source!AM675</f>
        <v>15.8</v>
      </c>
      <c r="H105" s="664" t="str">
        <f>[84]Source!DE675</f>
        <v/>
      </c>
      <c r="I105" s="662">
        <f>[84]Source!AV676</f>
        <v>1.0669999999999999</v>
      </c>
      <c r="J105" s="665">
        <f>[84]Source!Q675-J115</f>
        <v>16.86</v>
      </c>
      <c r="K105" s="662">
        <f>IF([84]Source!BB676&lt;&gt; 0, [84]Source!BB676, 1)</f>
        <v>7.59</v>
      </c>
      <c r="L105" s="665">
        <f>[84]Source!Q676-L115</f>
        <v>127.97</v>
      </c>
    </row>
    <row r="106" spans="1:22" ht="14.25" x14ac:dyDescent="0.2">
      <c r="A106" s="659"/>
      <c r="B106" s="659"/>
      <c r="C106" s="660"/>
      <c r="D106" s="660" t="s">
        <v>45</v>
      </c>
      <c r="E106" s="661"/>
      <c r="F106" s="662"/>
      <c r="G106" s="663">
        <f>[84]Source!AN675</f>
        <v>1.31</v>
      </c>
      <c r="H106" s="664" t="str">
        <f>[84]Source!DE675</f>
        <v/>
      </c>
      <c r="I106" s="662">
        <f>[84]Source!AV676</f>
        <v>1.0669999999999999</v>
      </c>
      <c r="J106" s="666">
        <f>[84]Source!R675-J116</f>
        <v>1.39</v>
      </c>
      <c r="K106" s="662">
        <f>IF([84]Source!BS676&lt;&gt; 0, [84]Source!BS676, 1)</f>
        <v>24.53</v>
      </c>
      <c r="L106" s="666">
        <f>[84]Source!R676-L116</f>
        <v>34.090000000000003</v>
      </c>
    </row>
    <row r="107" spans="1:22" ht="14.25" x14ac:dyDescent="0.2">
      <c r="A107" s="659"/>
      <c r="B107" s="659"/>
      <c r="C107" s="660"/>
      <c r="D107" s="660" t="s">
        <v>46</v>
      </c>
      <c r="E107" s="661"/>
      <c r="F107" s="662"/>
      <c r="G107" s="663">
        <f>[84]Source!AL675</f>
        <v>4.0599999999999996</v>
      </c>
      <c r="H107" s="664" t="str">
        <f>[84]Source!DD675</f>
        <v/>
      </c>
      <c r="I107" s="662">
        <f>[84]Source!AW676</f>
        <v>1.028</v>
      </c>
      <c r="J107" s="665">
        <f>[84]Source!P675</f>
        <v>4.17</v>
      </c>
      <c r="K107" s="662">
        <f>IF([84]Source!BC676&lt;&gt; 0, [84]Source!BC676, 1)</f>
        <v>6.33</v>
      </c>
      <c r="L107" s="665">
        <f>[84]Source!P676</f>
        <v>26.4</v>
      </c>
    </row>
    <row r="108" spans="1:22" ht="14.25" x14ac:dyDescent="0.2">
      <c r="A108" s="659"/>
      <c r="B108" s="659"/>
      <c r="C108" s="660"/>
      <c r="D108" s="660" t="s">
        <v>47</v>
      </c>
      <c r="E108" s="661" t="s">
        <v>48</v>
      </c>
      <c r="F108" s="662">
        <f>[84]Source!DN676</f>
        <v>68</v>
      </c>
      <c r="G108" s="663"/>
      <c r="H108" s="664"/>
      <c r="I108" s="662"/>
      <c r="J108" s="665">
        <f>SUM(Q103:Q107)</f>
        <v>866.43</v>
      </c>
      <c r="K108" s="662">
        <f>[84]Source!BZ676</f>
        <v>68</v>
      </c>
      <c r="L108" s="665">
        <f>SUM(R103:R107)</f>
        <v>18294.23</v>
      </c>
    </row>
    <row r="109" spans="1:22" ht="14.25" x14ac:dyDescent="0.2">
      <c r="A109" s="659"/>
      <c r="B109" s="659"/>
      <c r="C109" s="660"/>
      <c r="D109" s="660" t="s">
        <v>49</v>
      </c>
      <c r="E109" s="661" t="s">
        <v>48</v>
      </c>
      <c r="F109" s="662">
        <f>[84]Source!DO676</f>
        <v>43</v>
      </c>
      <c r="G109" s="663"/>
      <c r="H109" s="664"/>
      <c r="I109" s="662"/>
      <c r="J109" s="665">
        <f>SUM(S103:S108)</f>
        <v>767.73</v>
      </c>
      <c r="K109" s="662">
        <f>[84]Source!CA676</f>
        <v>43</v>
      </c>
      <c r="L109" s="665">
        <f>SUM(T103:T108)</f>
        <v>11568.41</v>
      </c>
    </row>
    <row r="110" spans="1:22" ht="14.25" x14ac:dyDescent="0.2">
      <c r="A110" s="659"/>
      <c r="B110" s="659"/>
      <c r="C110" s="660"/>
      <c r="D110" s="660" t="s">
        <v>50</v>
      </c>
      <c r="E110" s="661" t="s">
        <v>48</v>
      </c>
      <c r="F110" s="662">
        <f>175</f>
        <v>175</v>
      </c>
      <c r="G110" s="663"/>
      <c r="H110" s="664"/>
      <c r="I110" s="662"/>
      <c r="J110" s="665">
        <f>SUM(U103:U109)-J117</f>
        <v>2.4300000000000002</v>
      </c>
      <c r="K110" s="662">
        <f>157</f>
        <v>157</v>
      </c>
      <c r="L110" s="665">
        <f>SUM(V103:V109)-L117</f>
        <v>53.53</v>
      </c>
    </row>
    <row r="111" spans="1:22" ht="14.25" x14ac:dyDescent="0.2">
      <c r="A111" s="667"/>
      <c r="B111" s="667"/>
      <c r="C111" s="668"/>
      <c r="D111" s="668" t="s">
        <v>51</v>
      </c>
      <c r="E111" s="669" t="s">
        <v>52</v>
      </c>
      <c r="F111" s="670">
        <f>[84]Source!AQ675</f>
        <v>51.58</v>
      </c>
      <c r="G111" s="671"/>
      <c r="H111" s="672" t="str">
        <f>[84]Source!DI675</f>
        <v/>
      </c>
      <c r="I111" s="670">
        <f>[84]Source!AV676</f>
        <v>1.0669999999999999</v>
      </c>
      <c r="J111" s="673">
        <f>[84]Source!U675</f>
        <v>55.04</v>
      </c>
      <c r="K111" s="670"/>
      <c r="L111" s="673"/>
    </row>
    <row r="112" spans="1:22" ht="15" x14ac:dyDescent="0.25">
      <c r="D112" s="674" t="s">
        <v>81</v>
      </c>
      <c r="I112" s="675">
        <f>J104+J105+J107+J108+J109+J110</f>
        <v>2754.37</v>
      </c>
      <c r="J112" s="675"/>
      <c r="K112" s="675">
        <f>L104+L105+L107+L108+L109+L110</f>
        <v>56973.82</v>
      </c>
      <c r="L112" s="675"/>
      <c r="O112" s="676">
        <f>J104+J105+J107+J108+J109+J110</f>
        <v>2754.37</v>
      </c>
      <c r="P112" s="676">
        <f>L104+L105+L107+L108+L109+L110</f>
        <v>56973.82</v>
      </c>
    </row>
    <row r="114" spans="1:22" ht="14.25" x14ac:dyDescent="0.2">
      <c r="A114" s="659">
        <v>5</v>
      </c>
      <c r="B114" s="659" t="s">
        <v>101</v>
      </c>
      <c r="C114" s="660"/>
      <c r="D114" s="660" t="s">
        <v>82</v>
      </c>
      <c r="E114" s="661" t="str">
        <f>[84]Source!H675</f>
        <v>1  ШТ.</v>
      </c>
      <c r="F114" s="662">
        <f>[84]Source!I675</f>
        <v>1</v>
      </c>
      <c r="G114" s="663"/>
      <c r="H114" s="664"/>
      <c r="I114" s="662"/>
      <c r="J114" s="665"/>
      <c r="K114" s="662"/>
      <c r="L114" s="665"/>
    </row>
    <row r="115" spans="1:22" ht="14.25" x14ac:dyDescent="0.2">
      <c r="A115" s="659"/>
      <c r="B115" s="659"/>
      <c r="C115" s="660"/>
      <c r="D115" s="660" t="s">
        <v>44</v>
      </c>
      <c r="E115" s="661"/>
      <c r="F115" s="662"/>
      <c r="G115" s="663">
        <f t="shared" ref="G115:L115" si="1">G116</f>
        <v>1.31</v>
      </c>
      <c r="H115" s="677" t="str">
        <f t="shared" si="1"/>
        <v>)*(1.67-1)</v>
      </c>
      <c r="I115" s="662">
        <f t="shared" si="1"/>
        <v>1.0669999999999999</v>
      </c>
      <c r="J115" s="665">
        <f t="shared" si="1"/>
        <v>0.94</v>
      </c>
      <c r="K115" s="662">
        <f t="shared" si="1"/>
        <v>24.53</v>
      </c>
      <c r="L115" s="665">
        <f t="shared" si="1"/>
        <v>23.06</v>
      </c>
    </row>
    <row r="116" spans="1:22" ht="14.25" x14ac:dyDescent="0.2">
      <c r="A116" s="659"/>
      <c r="B116" s="659"/>
      <c r="C116" s="660"/>
      <c r="D116" s="660" t="s">
        <v>45</v>
      </c>
      <c r="E116" s="661"/>
      <c r="F116" s="662"/>
      <c r="G116" s="663">
        <f>[84]Source!AN675</f>
        <v>1.31</v>
      </c>
      <c r="H116" s="677" t="s">
        <v>53</v>
      </c>
      <c r="I116" s="662">
        <f>[84]Source!AV676</f>
        <v>1.0669999999999999</v>
      </c>
      <c r="J116" s="666">
        <f>ROUND(F103*G116*I116*(1.67-1), 2)</f>
        <v>0.94</v>
      </c>
      <c r="K116" s="662">
        <f>IF([84]Source!BS676&lt;&gt; 0, [84]Source!BS676, 1)</f>
        <v>24.53</v>
      </c>
      <c r="L116" s="666">
        <f>ROUND(ROUND(F103*G116*I116*(1.67-1), 2)*K116, 2)</f>
        <v>23.06</v>
      </c>
    </row>
    <row r="117" spans="1:22" ht="14.25" x14ac:dyDescent="0.2">
      <c r="A117" s="659"/>
      <c r="B117" s="659"/>
      <c r="C117" s="660"/>
      <c r="D117" s="660" t="s">
        <v>50</v>
      </c>
      <c r="E117" s="661" t="s">
        <v>48</v>
      </c>
      <c r="F117" s="662">
        <f>175</f>
        <v>175</v>
      </c>
      <c r="G117" s="663"/>
      <c r="H117" s="664"/>
      <c r="I117" s="662"/>
      <c r="J117" s="665">
        <f>ROUND(J116*(F117/100), 2)</f>
        <v>1.65</v>
      </c>
      <c r="K117" s="662">
        <f>157</f>
        <v>157</v>
      </c>
      <c r="L117" s="665">
        <f>ROUND(L116*(K117/100), 2)</f>
        <v>36.200000000000003</v>
      </c>
    </row>
    <row r="118" spans="1:22" ht="15" x14ac:dyDescent="0.25">
      <c r="A118" s="678"/>
      <c r="B118" s="678"/>
      <c r="C118" s="678"/>
      <c r="D118" s="679" t="s">
        <v>81</v>
      </c>
      <c r="E118" s="678"/>
      <c r="F118" s="678"/>
      <c r="G118" s="678"/>
      <c r="H118" s="678"/>
      <c r="I118" s="680">
        <f>J117+J116</f>
        <v>2.59</v>
      </c>
      <c r="J118" s="680"/>
      <c r="K118" s="680">
        <f>L117+L116</f>
        <v>59.26</v>
      </c>
      <c r="L118" s="680"/>
      <c r="O118" s="676">
        <f>I118</f>
        <v>2.59</v>
      </c>
      <c r="P118" s="676">
        <f>K118</f>
        <v>59.26</v>
      </c>
    </row>
    <row r="119" spans="1:22" hidden="1" x14ac:dyDescent="0.2"/>
    <row r="120" spans="1:22" s="688" customFormat="1" ht="54" hidden="1" x14ac:dyDescent="0.25">
      <c r="A120" s="681">
        <v>6</v>
      </c>
      <c r="B120" s="681">
        <v>81</v>
      </c>
      <c r="C120" s="682" t="str">
        <f>[84]Source!F677</f>
        <v>Прайс-лист</v>
      </c>
      <c r="D120" s="682" t="s">
        <v>102</v>
      </c>
      <c r="E120" s="683" t="str">
        <f>[84]Source!H677</f>
        <v>шт.</v>
      </c>
      <c r="F120" s="684">
        <f>[84]Source!I677</f>
        <v>0</v>
      </c>
      <c r="G120" s="685">
        <f>[84]Source!AL677</f>
        <v>105230.91</v>
      </c>
      <c r="H120" s="686" t="str">
        <f>[84]Source!DD677</f>
        <v/>
      </c>
      <c r="I120" s="684">
        <f>[84]Source!AW678</f>
        <v>1</v>
      </c>
      <c r="J120" s="687">
        <f>L120/K120</f>
        <v>0</v>
      </c>
      <c r="K120" s="684">
        <f>IF([84]Source!BC678&lt;&gt; 0, [84]Source!BC678, 1)</f>
        <v>4.5999999999999996</v>
      </c>
      <c r="L120" s="687"/>
      <c r="M120" s="140" t="s">
        <v>100</v>
      </c>
      <c r="Q120" s="688">
        <f>[84]Source!X677</f>
        <v>0</v>
      </c>
      <c r="R120" s="688">
        <f>[84]Source!X678</f>
        <v>0</v>
      </c>
      <c r="S120" s="688">
        <f>[84]Source!Y677</f>
        <v>0</v>
      </c>
      <c r="T120" s="688">
        <f>[84]Source!Y678</f>
        <v>0</v>
      </c>
      <c r="U120" s="688">
        <f>ROUND((175/100)*ROUND([84]Source!R677, 2), 2)</f>
        <v>0</v>
      </c>
      <c r="V120" s="688">
        <f>ROUND((157/100)*ROUND([84]Source!R678, 2), 2)</f>
        <v>0</v>
      </c>
    </row>
    <row r="121" spans="1:22" s="688" customFormat="1" ht="15" hidden="1" x14ac:dyDescent="0.25">
      <c r="A121" s="689"/>
      <c r="B121" s="689"/>
      <c r="C121" s="689"/>
      <c r="D121" s="690" t="s">
        <v>81</v>
      </c>
      <c r="E121" s="689"/>
      <c r="F121" s="689"/>
      <c r="G121" s="689"/>
      <c r="H121" s="689"/>
      <c r="I121" s="691">
        <f>J120</f>
        <v>0</v>
      </c>
      <c r="J121" s="691"/>
      <c r="K121" s="691">
        <f>L120</f>
        <v>0</v>
      </c>
      <c r="L121" s="691"/>
      <c r="O121" s="692">
        <f>J120</f>
        <v>0</v>
      </c>
      <c r="P121" s="692">
        <f>L120</f>
        <v>0</v>
      </c>
    </row>
    <row r="124" spans="1:22" ht="15" x14ac:dyDescent="0.25">
      <c r="A124" s="477" t="str">
        <f>CONCATENATE("Итого по подразделу: ",IF([84]Source!G714&lt;&gt;"Новый подраздел", [84]Source!G714, ""))</f>
        <v>Итого по подразделу: П2-25, П2-25р</v>
      </c>
      <c r="B124" s="477"/>
      <c r="C124" s="477"/>
      <c r="D124" s="477"/>
      <c r="E124" s="477"/>
      <c r="F124" s="477"/>
      <c r="G124" s="477"/>
      <c r="H124" s="477"/>
      <c r="I124" s="693">
        <f>SUM(O102:O123)</f>
        <v>2756.96</v>
      </c>
      <c r="J124" s="694"/>
      <c r="K124" s="693">
        <f>SUM(P102:P123)</f>
        <v>57033.08</v>
      </c>
      <c r="L124" s="694"/>
    </row>
    <row r="125" spans="1:22" hidden="1" x14ac:dyDescent="0.2">
      <c r="A125" s="645" t="s">
        <v>54</v>
      </c>
      <c r="J125" s="645">
        <f>SUM(W102:W124)</f>
        <v>0</v>
      </c>
      <c r="K125" s="645">
        <f>SUM(X102:X124)</f>
        <v>0</v>
      </c>
    </row>
    <row r="126" spans="1:22" hidden="1" x14ac:dyDescent="0.2">
      <c r="A126" s="645" t="s">
        <v>55</v>
      </c>
      <c r="J126" s="645">
        <f>SUM(Y102:Y125)</f>
        <v>0</v>
      </c>
      <c r="K126" s="645">
        <f>SUM(Z102:Z125)</f>
        <v>0</v>
      </c>
    </row>
    <row r="128" spans="1:22" hidden="1" x14ac:dyDescent="0.2">
      <c r="A128" s="645" t="s">
        <v>54</v>
      </c>
      <c r="J128" s="645" t="e">
        <f>SUM(#REF!)</f>
        <v>#REF!</v>
      </c>
      <c r="K128" s="645" t="e">
        <f>SUM(#REF!)</f>
        <v>#REF!</v>
      </c>
    </row>
    <row r="129" spans="1:22" hidden="1" x14ac:dyDescent="0.2">
      <c r="A129" s="645" t="s">
        <v>55</v>
      </c>
      <c r="J129" s="645">
        <f>SUM(Y128:Y128)</f>
        <v>0</v>
      </c>
      <c r="K129" s="645">
        <f>SUM(Z128:Z128)</f>
        <v>0</v>
      </c>
    </row>
    <row r="131" spans="1:22" ht="16.5" x14ac:dyDescent="0.25">
      <c r="A131" s="407" t="str">
        <f>CONCATENATE("Подраздел: ",IF([84]Source!G1306&lt;&gt;"Новый подраздел", [84]Source!G1306, ""))</f>
        <v>Подраздел: В2-19</v>
      </c>
      <c r="B131" s="407"/>
      <c r="C131" s="407"/>
      <c r="D131" s="407"/>
      <c r="E131" s="407"/>
      <c r="F131" s="407"/>
      <c r="G131" s="407"/>
      <c r="H131" s="407"/>
      <c r="I131" s="407"/>
      <c r="J131" s="407"/>
      <c r="K131" s="407"/>
      <c r="L131" s="407"/>
    </row>
    <row r="132" spans="1:22" ht="52.5" x14ac:dyDescent="0.2">
      <c r="A132" s="659">
        <v>7</v>
      </c>
      <c r="B132" s="659">
        <v>162</v>
      </c>
      <c r="C132" s="660" t="s">
        <v>96</v>
      </c>
      <c r="D132" s="660" t="s">
        <v>97</v>
      </c>
      <c r="E132" s="661" t="str">
        <f>[84]Source!H1310</f>
        <v>1  ШТ.</v>
      </c>
      <c r="F132" s="662">
        <f>[84]Source!I1310</f>
        <v>1</v>
      </c>
      <c r="G132" s="663"/>
      <c r="H132" s="664"/>
      <c r="I132" s="662"/>
      <c r="J132" s="665"/>
      <c r="K132" s="662"/>
      <c r="L132" s="665"/>
      <c r="Q132" s="645">
        <f>[84]Source!X1310</f>
        <v>866.43</v>
      </c>
      <c r="R132" s="645">
        <f>[84]Source!X1311</f>
        <v>18294.23</v>
      </c>
      <c r="S132" s="645">
        <f>[84]Source!Y1310</f>
        <v>767.73</v>
      </c>
      <c r="T132" s="645">
        <f>[84]Source!Y1311</f>
        <v>11568.41</v>
      </c>
      <c r="U132" s="645">
        <f>ROUND((175/100)*ROUND([84]Source!R1310, 2), 2)</f>
        <v>4.08</v>
      </c>
      <c r="V132" s="645">
        <f>ROUND((157/100)*ROUND([84]Source!R1311, 2), 2)</f>
        <v>89.73</v>
      </c>
    </row>
    <row r="133" spans="1:22" ht="14.25" x14ac:dyDescent="0.2">
      <c r="A133" s="659"/>
      <c r="B133" s="659"/>
      <c r="C133" s="660"/>
      <c r="D133" s="660" t="s">
        <v>43</v>
      </c>
      <c r="E133" s="661"/>
      <c r="F133" s="662"/>
      <c r="G133" s="663">
        <f>[84]Source!AO1310</f>
        <v>615.5</v>
      </c>
      <c r="H133" s="664" t="str">
        <f>[84]Source!DG1310</f>
        <v>)*1,67</v>
      </c>
      <c r="I133" s="662">
        <f>[84]Source!AV1311</f>
        <v>1.0669999999999999</v>
      </c>
      <c r="J133" s="665">
        <f>[84]Source!S1310</f>
        <v>1096.75</v>
      </c>
      <c r="K133" s="662">
        <f>IF([84]Source!BA1311&lt;&gt; 0, [84]Source!BA1311, 1)</f>
        <v>24.53</v>
      </c>
      <c r="L133" s="665">
        <f>[84]Source!S1311</f>
        <v>26903.279999999999</v>
      </c>
    </row>
    <row r="134" spans="1:22" ht="14.25" x14ac:dyDescent="0.2">
      <c r="A134" s="659"/>
      <c r="B134" s="659"/>
      <c r="C134" s="660"/>
      <c r="D134" s="660" t="s">
        <v>44</v>
      </c>
      <c r="E134" s="661"/>
      <c r="F134" s="662"/>
      <c r="G134" s="663">
        <f>[84]Source!AM1310</f>
        <v>15.8</v>
      </c>
      <c r="H134" s="664" t="str">
        <f>[84]Source!DE1310</f>
        <v/>
      </c>
      <c r="I134" s="662">
        <f>[84]Source!AV1311</f>
        <v>1.0669999999999999</v>
      </c>
      <c r="J134" s="665">
        <f>[84]Source!Q1310-J144</f>
        <v>16.86</v>
      </c>
      <c r="K134" s="662">
        <f>IF([84]Source!BB1311&lt;&gt; 0, [84]Source!BB1311, 1)</f>
        <v>7.59</v>
      </c>
      <c r="L134" s="665">
        <f>[84]Source!Q1311-L144</f>
        <v>127.97</v>
      </c>
    </row>
    <row r="135" spans="1:22" ht="14.25" x14ac:dyDescent="0.2">
      <c r="A135" s="659"/>
      <c r="B135" s="659"/>
      <c r="C135" s="660"/>
      <c r="D135" s="660" t="s">
        <v>45</v>
      </c>
      <c r="E135" s="661"/>
      <c r="F135" s="662"/>
      <c r="G135" s="663">
        <f>[84]Source!AN1310</f>
        <v>1.31</v>
      </c>
      <c r="H135" s="664" t="str">
        <f>[84]Source!DE1310</f>
        <v/>
      </c>
      <c r="I135" s="662">
        <f>[84]Source!AV1311</f>
        <v>1.0669999999999999</v>
      </c>
      <c r="J135" s="666">
        <f>[84]Source!R1310-J145</f>
        <v>1.39</v>
      </c>
      <c r="K135" s="662">
        <f>IF([84]Source!BS1311&lt;&gt; 0, [84]Source!BS1311, 1)</f>
        <v>24.53</v>
      </c>
      <c r="L135" s="666">
        <f>[84]Source!R1311-L145</f>
        <v>34.090000000000003</v>
      </c>
    </row>
    <row r="136" spans="1:22" ht="14.25" x14ac:dyDescent="0.2">
      <c r="A136" s="659"/>
      <c r="B136" s="659"/>
      <c r="C136" s="660"/>
      <c r="D136" s="660" t="s">
        <v>46</v>
      </c>
      <c r="E136" s="661"/>
      <c r="F136" s="662"/>
      <c r="G136" s="663">
        <f>[84]Source!AL1310</f>
        <v>4.0599999999999996</v>
      </c>
      <c r="H136" s="664" t="str">
        <f>[84]Source!DD1310</f>
        <v/>
      </c>
      <c r="I136" s="662">
        <f>[84]Source!AW1311</f>
        <v>1.028</v>
      </c>
      <c r="J136" s="665">
        <f>[84]Source!P1310</f>
        <v>4.17</v>
      </c>
      <c r="K136" s="662">
        <f>IF([84]Source!BC1311&lt;&gt; 0, [84]Source!BC1311, 1)</f>
        <v>6.33</v>
      </c>
      <c r="L136" s="665">
        <f>[84]Source!P1311</f>
        <v>26.4</v>
      </c>
    </row>
    <row r="137" spans="1:22" ht="14.25" x14ac:dyDescent="0.2">
      <c r="A137" s="659"/>
      <c r="B137" s="659"/>
      <c r="C137" s="660"/>
      <c r="D137" s="660" t="s">
        <v>47</v>
      </c>
      <c r="E137" s="661" t="s">
        <v>48</v>
      </c>
      <c r="F137" s="662">
        <f>[84]Source!DN1311</f>
        <v>68</v>
      </c>
      <c r="G137" s="663"/>
      <c r="H137" s="664"/>
      <c r="I137" s="662"/>
      <c r="J137" s="665">
        <f>SUM(Q132:Q136)</f>
        <v>866.43</v>
      </c>
      <c r="K137" s="662">
        <f>[84]Source!BZ1311</f>
        <v>68</v>
      </c>
      <c r="L137" s="665">
        <f>SUM(R132:R136)</f>
        <v>18294.23</v>
      </c>
    </row>
    <row r="138" spans="1:22" ht="14.25" x14ac:dyDescent="0.2">
      <c r="A138" s="659"/>
      <c r="B138" s="659"/>
      <c r="C138" s="660"/>
      <c r="D138" s="660" t="s">
        <v>49</v>
      </c>
      <c r="E138" s="661" t="s">
        <v>48</v>
      </c>
      <c r="F138" s="662">
        <f>[84]Source!DO1311</f>
        <v>43</v>
      </c>
      <c r="G138" s="663"/>
      <c r="H138" s="664"/>
      <c r="I138" s="662"/>
      <c r="J138" s="665">
        <f>SUM(S132:S137)</f>
        <v>767.73</v>
      </c>
      <c r="K138" s="662">
        <f>[84]Source!CA1311</f>
        <v>43</v>
      </c>
      <c r="L138" s="665">
        <f>SUM(T132:T137)</f>
        <v>11568.41</v>
      </c>
    </row>
    <row r="139" spans="1:22" ht="14.25" x14ac:dyDescent="0.2">
      <c r="A139" s="659"/>
      <c r="B139" s="659"/>
      <c r="C139" s="660"/>
      <c r="D139" s="660" t="s">
        <v>50</v>
      </c>
      <c r="E139" s="661" t="s">
        <v>48</v>
      </c>
      <c r="F139" s="662">
        <f>175</f>
        <v>175</v>
      </c>
      <c r="G139" s="663"/>
      <c r="H139" s="664"/>
      <c r="I139" s="662"/>
      <c r="J139" s="665">
        <f>SUM(U132:U138)-J146</f>
        <v>2.4300000000000002</v>
      </c>
      <c r="K139" s="662">
        <f>157</f>
        <v>157</v>
      </c>
      <c r="L139" s="665">
        <f>SUM(V132:V138)-L146</f>
        <v>53.53</v>
      </c>
    </row>
    <row r="140" spans="1:22" ht="14.25" x14ac:dyDescent="0.2">
      <c r="A140" s="667"/>
      <c r="B140" s="667"/>
      <c r="C140" s="668"/>
      <c r="D140" s="668" t="s">
        <v>51</v>
      </c>
      <c r="E140" s="669" t="s">
        <v>52</v>
      </c>
      <c r="F140" s="670">
        <f>[84]Source!AQ1310</f>
        <v>51.58</v>
      </c>
      <c r="G140" s="671"/>
      <c r="H140" s="672" t="str">
        <f>[84]Source!DI1310</f>
        <v/>
      </c>
      <c r="I140" s="670">
        <f>[84]Source!AV1311</f>
        <v>1.0669999999999999</v>
      </c>
      <c r="J140" s="673">
        <f>[84]Source!U1310</f>
        <v>55.04</v>
      </c>
      <c r="K140" s="670"/>
      <c r="L140" s="673"/>
    </row>
    <row r="141" spans="1:22" ht="15" x14ac:dyDescent="0.25">
      <c r="D141" s="674" t="s">
        <v>81</v>
      </c>
      <c r="I141" s="675">
        <f>J133+J134+J136+J137+J138+J139</f>
        <v>2754.37</v>
      </c>
      <c r="J141" s="675"/>
      <c r="K141" s="675">
        <f>L133+L134+L136+L137+L138+L139</f>
        <v>56973.82</v>
      </c>
      <c r="L141" s="675"/>
      <c r="O141" s="676">
        <f>J133+J134+J136+J137+J138+J139</f>
        <v>2754.37</v>
      </c>
      <c r="P141" s="676">
        <f>L133+L134+L136+L137+L138+L139</f>
        <v>56973.82</v>
      </c>
    </row>
    <row r="143" spans="1:22" ht="14.25" x14ac:dyDescent="0.2">
      <c r="A143" s="659">
        <v>8</v>
      </c>
      <c r="B143" s="659" t="s">
        <v>103</v>
      </c>
      <c r="C143" s="660"/>
      <c r="D143" s="660" t="s">
        <v>82</v>
      </c>
      <c r="E143" s="661" t="str">
        <f>[84]Source!H1310</f>
        <v>1  ШТ.</v>
      </c>
      <c r="F143" s="662">
        <f>[84]Source!I1310</f>
        <v>1</v>
      </c>
      <c r="G143" s="663"/>
      <c r="H143" s="664"/>
      <c r="I143" s="662"/>
      <c r="J143" s="665"/>
      <c r="K143" s="662"/>
      <c r="L143" s="665"/>
    </row>
    <row r="144" spans="1:22" ht="14.25" x14ac:dyDescent="0.2">
      <c r="A144" s="659"/>
      <c r="B144" s="659"/>
      <c r="C144" s="660"/>
      <c r="D144" s="660" t="s">
        <v>44</v>
      </c>
      <c r="E144" s="661"/>
      <c r="F144" s="662"/>
      <c r="G144" s="663">
        <f t="shared" ref="G144:L144" si="2">G145</f>
        <v>1.31</v>
      </c>
      <c r="H144" s="677" t="str">
        <f t="shared" si="2"/>
        <v>)*(1.67-1)</v>
      </c>
      <c r="I144" s="662">
        <f t="shared" si="2"/>
        <v>1.0669999999999999</v>
      </c>
      <c r="J144" s="665">
        <f t="shared" si="2"/>
        <v>0.94</v>
      </c>
      <c r="K144" s="662">
        <f t="shared" si="2"/>
        <v>24.53</v>
      </c>
      <c r="L144" s="665">
        <f t="shared" si="2"/>
        <v>23.06</v>
      </c>
    </row>
    <row r="145" spans="1:22" ht="14.25" x14ac:dyDescent="0.2">
      <c r="A145" s="659"/>
      <c r="B145" s="659"/>
      <c r="C145" s="660"/>
      <c r="D145" s="660" t="s">
        <v>45</v>
      </c>
      <c r="E145" s="661"/>
      <c r="F145" s="662"/>
      <c r="G145" s="663">
        <f>[84]Source!AN1310</f>
        <v>1.31</v>
      </c>
      <c r="H145" s="677" t="s">
        <v>53</v>
      </c>
      <c r="I145" s="662">
        <f>[84]Source!AV1311</f>
        <v>1.0669999999999999</v>
      </c>
      <c r="J145" s="666">
        <f>ROUND(F132*G145*I145*(1.67-1), 2)</f>
        <v>0.94</v>
      </c>
      <c r="K145" s="662">
        <f>IF([84]Source!BS1311&lt;&gt; 0, [84]Source!BS1311, 1)</f>
        <v>24.53</v>
      </c>
      <c r="L145" s="666">
        <f>ROUND(ROUND(F132*G145*I145*(1.67-1), 2)*K145, 2)</f>
        <v>23.06</v>
      </c>
    </row>
    <row r="146" spans="1:22" ht="14.25" x14ac:dyDescent="0.2">
      <c r="A146" s="659"/>
      <c r="B146" s="659"/>
      <c r="C146" s="660"/>
      <c r="D146" s="660" t="s">
        <v>50</v>
      </c>
      <c r="E146" s="661" t="s">
        <v>48</v>
      </c>
      <c r="F146" s="662">
        <f>175</f>
        <v>175</v>
      </c>
      <c r="G146" s="663"/>
      <c r="H146" s="664"/>
      <c r="I146" s="662"/>
      <c r="J146" s="665">
        <f>ROUND(J145*(F146/100), 2)</f>
        <v>1.65</v>
      </c>
      <c r="K146" s="662">
        <f>157</f>
        <v>157</v>
      </c>
      <c r="L146" s="665">
        <f>ROUND(L145*(K146/100), 2)</f>
        <v>36.200000000000003</v>
      </c>
    </row>
    <row r="147" spans="1:22" ht="15" x14ac:dyDescent="0.25">
      <c r="A147" s="678"/>
      <c r="B147" s="678"/>
      <c r="C147" s="678"/>
      <c r="D147" s="679" t="s">
        <v>81</v>
      </c>
      <c r="E147" s="678"/>
      <c r="F147" s="678"/>
      <c r="G147" s="678"/>
      <c r="H147" s="678"/>
      <c r="I147" s="680">
        <f>J146+J145</f>
        <v>2.59</v>
      </c>
      <c r="J147" s="680"/>
      <c r="K147" s="680">
        <f>L146+L145</f>
        <v>59.26</v>
      </c>
      <c r="L147" s="680"/>
      <c r="O147" s="676">
        <f>I147</f>
        <v>2.59</v>
      </c>
      <c r="P147" s="676">
        <f>K147</f>
        <v>59.26</v>
      </c>
    </row>
    <row r="148" spans="1:22" hidden="1" x14ac:dyDescent="0.2"/>
    <row r="149" spans="1:22" s="688" customFormat="1" ht="54" hidden="1" x14ac:dyDescent="0.25">
      <c r="A149" s="681">
        <v>9</v>
      </c>
      <c r="B149" s="681">
        <v>163</v>
      </c>
      <c r="C149" s="682" t="str">
        <f>[84]Source!F1312</f>
        <v>Прайс-лист</v>
      </c>
      <c r="D149" s="682" t="s">
        <v>104</v>
      </c>
      <c r="E149" s="683" t="str">
        <f>[84]Source!H1312</f>
        <v>шт.</v>
      </c>
      <c r="F149" s="684">
        <f>[84]Source!I1312</f>
        <v>0</v>
      </c>
      <c r="G149" s="685">
        <f>[84]Source!AL1312</f>
        <v>66150.67</v>
      </c>
      <c r="H149" s="686" t="str">
        <f>[84]Source!DD1312</f>
        <v/>
      </c>
      <c r="I149" s="684">
        <f>[84]Source!AW1313</f>
        <v>1</v>
      </c>
      <c r="J149" s="687">
        <f>L149/K149</f>
        <v>0</v>
      </c>
      <c r="K149" s="684">
        <f>IF([84]Source!BC1313&lt;&gt; 0, [84]Source!BC1313, 1)</f>
        <v>4.5999999999999996</v>
      </c>
      <c r="L149" s="687"/>
      <c r="M149" s="140" t="s">
        <v>100</v>
      </c>
      <c r="Q149" s="688">
        <f>[84]Source!X1312</f>
        <v>0</v>
      </c>
      <c r="R149" s="688">
        <f>[84]Source!X1313</f>
        <v>0</v>
      </c>
      <c r="S149" s="688">
        <f>[84]Source!Y1312</f>
        <v>0</v>
      </c>
      <c r="T149" s="688">
        <f>[84]Source!Y1313</f>
        <v>0</v>
      </c>
      <c r="U149" s="688">
        <f>ROUND((175/100)*ROUND([84]Source!R1312, 2), 2)</f>
        <v>0</v>
      </c>
      <c r="V149" s="688">
        <f>ROUND((157/100)*ROUND([84]Source!R1313, 2), 2)</f>
        <v>0</v>
      </c>
    </row>
    <row r="150" spans="1:22" s="688" customFormat="1" ht="15" hidden="1" x14ac:dyDescent="0.25">
      <c r="A150" s="689"/>
      <c r="B150" s="689"/>
      <c r="C150" s="689"/>
      <c r="D150" s="690" t="s">
        <v>81</v>
      </c>
      <c r="E150" s="689"/>
      <c r="F150" s="689"/>
      <c r="G150" s="689"/>
      <c r="H150" s="689"/>
      <c r="I150" s="691">
        <f>J149</f>
        <v>0</v>
      </c>
      <c r="J150" s="691"/>
      <c r="K150" s="691">
        <f>L149</f>
        <v>0</v>
      </c>
      <c r="L150" s="691"/>
      <c r="O150" s="692">
        <f>J149</f>
        <v>0</v>
      </c>
      <c r="P150" s="692">
        <f>L149</f>
        <v>0</v>
      </c>
    </row>
    <row r="153" spans="1:22" ht="15" x14ac:dyDescent="0.25">
      <c r="A153" s="477" t="str">
        <f>CONCATENATE("Итого по подразделу: ",IF([84]Source!G1315&lt;&gt;"Новый подраздел", [84]Source!G1315, ""))</f>
        <v>Итого по подразделу: В2-19</v>
      </c>
      <c r="B153" s="477"/>
      <c r="C153" s="477"/>
      <c r="D153" s="477"/>
      <c r="E153" s="477"/>
      <c r="F153" s="477"/>
      <c r="G153" s="477"/>
      <c r="H153" s="477"/>
      <c r="I153" s="693">
        <f>SUM(O131:O152)</f>
        <v>2756.96</v>
      </c>
      <c r="J153" s="694"/>
      <c r="K153" s="693">
        <f>SUM(P131:P152)</f>
        <v>57033.08</v>
      </c>
      <c r="L153" s="694"/>
    </row>
    <row r="154" spans="1:22" hidden="1" x14ac:dyDescent="0.2">
      <c r="A154" s="645" t="s">
        <v>54</v>
      </c>
      <c r="J154" s="645">
        <f>SUM(W131:W153)</f>
        <v>0</v>
      </c>
      <c r="K154" s="645">
        <f>SUM(X131:X153)</f>
        <v>0</v>
      </c>
    </row>
    <row r="155" spans="1:22" hidden="1" x14ac:dyDescent="0.2">
      <c r="A155" s="645" t="s">
        <v>55</v>
      </c>
      <c r="J155" s="645">
        <f>SUM(Y131:Y154)</f>
        <v>0</v>
      </c>
      <c r="K155" s="645">
        <f>SUM(Z131:Z154)</f>
        <v>0</v>
      </c>
    </row>
    <row r="157" spans="1:22" hidden="1" x14ac:dyDescent="0.2">
      <c r="A157" s="645" t="s">
        <v>54</v>
      </c>
      <c r="J157" s="645" t="e">
        <f>SUM(#REF!)</f>
        <v>#REF!</v>
      </c>
      <c r="K157" s="645" t="e">
        <f>SUM(#REF!)</f>
        <v>#REF!</v>
      </c>
    </row>
    <row r="158" spans="1:22" hidden="1" x14ac:dyDescent="0.2">
      <c r="A158" s="645" t="s">
        <v>55</v>
      </c>
      <c r="J158" s="645">
        <f>SUM(Y157:Y157)</f>
        <v>0</v>
      </c>
      <c r="K158" s="645">
        <f>SUM(Z157:Z157)</f>
        <v>0</v>
      </c>
    </row>
    <row r="160" spans="1:22" ht="16.5" x14ac:dyDescent="0.25">
      <c r="A160" s="407" t="str">
        <f>CONCATENATE("Подраздел: ",IF([84]Source!G2366&lt;&gt;"Новый подраздел", [84]Source!G2366, ""))</f>
        <v>Подраздел: В2-52</v>
      </c>
      <c r="B160" s="407"/>
      <c r="C160" s="407"/>
      <c r="D160" s="407"/>
      <c r="E160" s="407"/>
      <c r="F160" s="407"/>
      <c r="G160" s="407"/>
      <c r="H160" s="407"/>
      <c r="I160" s="407"/>
      <c r="J160" s="407"/>
      <c r="K160" s="407"/>
      <c r="L160" s="407"/>
    </row>
    <row r="161" spans="1:22" ht="52.5" x14ac:dyDescent="0.2">
      <c r="A161" s="659">
        <v>10</v>
      </c>
      <c r="B161" s="659">
        <v>307</v>
      </c>
      <c r="C161" s="660" t="s">
        <v>105</v>
      </c>
      <c r="D161" s="660" t="s">
        <v>97</v>
      </c>
      <c r="E161" s="661" t="str">
        <f>[84]Source!H2370</f>
        <v>1  ШТ.</v>
      </c>
      <c r="F161" s="662">
        <f>[84]Source!I2370</f>
        <v>1</v>
      </c>
      <c r="G161" s="663"/>
      <c r="H161" s="664"/>
      <c r="I161" s="662"/>
      <c r="J161" s="665"/>
      <c r="K161" s="662"/>
      <c r="L161" s="665"/>
      <c r="Q161" s="645">
        <f>[84]Source!X2370</f>
        <v>866.43</v>
      </c>
      <c r="R161" s="645">
        <f>[84]Source!X2371</f>
        <v>18294.23</v>
      </c>
      <c r="S161" s="645">
        <f>[84]Source!Y2370</f>
        <v>767.73</v>
      </c>
      <c r="T161" s="645">
        <f>[84]Source!Y2371</f>
        <v>11568.41</v>
      </c>
      <c r="U161" s="645">
        <f>ROUND((175/100)*ROUND([84]Source!R2370, 2), 2)</f>
        <v>4.08</v>
      </c>
      <c r="V161" s="645">
        <f>ROUND((157/100)*ROUND([84]Source!R2371, 2), 2)</f>
        <v>89.73</v>
      </c>
    </row>
    <row r="162" spans="1:22" ht="14.25" x14ac:dyDescent="0.2">
      <c r="A162" s="659"/>
      <c r="B162" s="659"/>
      <c r="C162" s="660"/>
      <c r="D162" s="660" t="s">
        <v>43</v>
      </c>
      <c r="E162" s="661"/>
      <c r="F162" s="662"/>
      <c r="G162" s="663">
        <f>[84]Source!AO2370</f>
        <v>615.5</v>
      </c>
      <c r="H162" s="664" t="str">
        <f>[84]Source!DG2370</f>
        <v>)*1,67</v>
      </c>
      <c r="I162" s="662">
        <f>[84]Source!AV2371</f>
        <v>1.0669999999999999</v>
      </c>
      <c r="J162" s="665">
        <f>[84]Source!S2370</f>
        <v>1096.75</v>
      </c>
      <c r="K162" s="662">
        <f>IF([84]Source!BA2371&lt;&gt; 0, [84]Source!BA2371, 1)</f>
        <v>24.53</v>
      </c>
      <c r="L162" s="665">
        <f>[84]Source!S2371</f>
        <v>26903.279999999999</v>
      </c>
    </row>
    <row r="163" spans="1:22" ht="14.25" x14ac:dyDescent="0.2">
      <c r="A163" s="659"/>
      <c r="B163" s="659"/>
      <c r="C163" s="660"/>
      <c r="D163" s="660" t="s">
        <v>44</v>
      </c>
      <c r="E163" s="661"/>
      <c r="F163" s="662"/>
      <c r="G163" s="663">
        <f>[84]Source!AM2370</f>
        <v>15.8</v>
      </c>
      <c r="H163" s="664" t="str">
        <f>[84]Source!DE2370</f>
        <v/>
      </c>
      <c r="I163" s="662">
        <f>[84]Source!AV2371</f>
        <v>1.0669999999999999</v>
      </c>
      <c r="J163" s="665">
        <f>[84]Source!Q2370-J173</f>
        <v>16.86</v>
      </c>
      <c r="K163" s="662">
        <f>IF([84]Source!BB2371&lt;&gt; 0, [84]Source!BB2371, 1)</f>
        <v>7.59</v>
      </c>
      <c r="L163" s="665">
        <f>[84]Source!Q2371-L173</f>
        <v>127.97</v>
      </c>
    </row>
    <row r="164" spans="1:22" ht="14.25" x14ac:dyDescent="0.2">
      <c r="A164" s="659"/>
      <c r="B164" s="659"/>
      <c r="C164" s="660"/>
      <c r="D164" s="660" t="s">
        <v>45</v>
      </c>
      <c r="E164" s="661"/>
      <c r="F164" s="662"/>
      <c r="G164" s="663">
        <f>[84]Source!AN2370</f>
        <v>1.31</v>
      </c>
      <c r="H164" s="664" t="str">
        <f>[84]Source!DE2370</f>
        <v/>
      </c>
      <c r="I164" s="662">
        <f>[84]Source!AV2371</f>
        <v>1.0669999999999999</v>
      </c>
      <c r="J164" s="666">
        <f>[84]Source!R2370-J174</f>
        <v>1.39</v>
      </c>
      <c r="K164" s="662">
        <f>IF([84]Source!BS2371&lt;&gt; 0, [84]Source!BS2371, 1)</f>
        <v>24.53</v>
      </c>
      <c r="L164" s="666">
        <f>[84]Source!R2371-L174</f>
        <v>34.090000000000003</v>
      </c>
    </row>
    <row r="165" spans="1:22" ht="14.25" x14ac:dyDescent="0.2">
      <c r="A165" s="659"/>
      <c r="B165" s="659"/>
      <c r="C165" s="660"/>
      <c r="D165" s="660" t="s">
        <v>46</v>
      </c>
      <c r="E165" s="661"/>
      <c r="F165" s="662"/>
      <c r="G165" s="663">
        <f>[84]Source!AL2370</f>
        <v>4.0599999999999996</v>
      </c>
      <c r="H165" s="664" t="str">
        <f>[84]Source!DD2370</f>
        <v/>
      </c>
      <c r="I165" s="662">
        <f>[84]Source!AW2371</f>
        <v>1.028</v>
      </c>
      <c r="J165" s="665">
        <f>[84]Source!P2370</f>
        <v>4.17</v>
      </c>
      <c r="K165" s="662">
        <f>IF([84]Source!BC2371&lt;&gt; 0, [84]Source!BC2371, 1)</f>
        <v>6.33</v>
      </c>
      <c r="L165" s="665">
        <f>[84]Source!P2371</f>
        <v>26.4</v>
      </c>
    </row>
    <row r="166" spans="1:22" ht="14.25" x14ac:dyDescent="0.2">
      <c r="A166" s="659"/>
      <c r="B166" s="659"/>
      <c r="C166" s="660"/>
      <c r="D166" s="660" t="s">
        <v>47</v>
      </c>
      <c r="E166" s="661" t="s">
        <v>48</v>
      </c>
      <c r="F166" s="662">
        <f>[84]Source!DN2371</f>
        <v>68</v>
      </c>
      <c r="G166" s="663"/>
      <c r="H166" s="664"/>
      <c r="I166" s="662"/>
      <c r="J166" s="665">
        <f>SUM(Q161:Q165)</f>
        <v>866.43</v>
      </c>
      <c r="K166" s="662">
        <f>[84]Source!BZ2371</f>
        <v>68</v>
      </c>
      <c r="L166" s="665">
        <f>SUM(R161:R165)</f>
        <v>18294.23</v>
      </c>
    </row>
    <row r="167" spans="1:22" ht="14.25" x14ac:dyDescent="0.2">
      <c r="A167" s="659"/>
      <c r="B167" s="659"/>
      <c r="C167" s="660"/>
      <c r="D167" s="660" t="s">
        <v>49</v>
      </c>
      <c r="E167" s="661" t="s">
        <v>48</v>
      </c>
      <c r="F167" s="662">
        <f>[84]Source!DO2371</f>
        <v>43</v>
      </c>
      <c r="G167" s="663"/>
      <c r="H167" s="664"/>
      <c r="I167" s="662"/>
      <c r="J167" s="665">
        <f>SUM(S161:S166)</f>
        <v>767.73</v>
      </c>
      <c r="K167" s="662">
        <f>[84]Source!CA2371</f>
        <v>43</v>
      </c>
      <c r="L167" s="665">
        <f>SUM(T161:T166)</f>
        <v>11568.41</v>
      </c>
    </row>
    <row r="168" spans="1:22" ht="14.25" x14ac:dyDescent="0.2">
      <c r="A168" s="659"/>
      <c r="B168" s="659"/>
      <c r="C168" s="660"/>
      <c r="D168" s="660" t="s">
        <v>50</v>
      </c>
      <c r="E168" s="661" t="s">
        <v>48</v>
      </c>
      <c r="F168" s="662">
        <f>175</f>
        <v>175</v>
      </c>
      <c r="G168" s="663"/>
      <c r="H168" s="664"/>
      <c r="I168" s="662"/>
      <c r="J168" s="665">
        <f>SUM(U161:U167)-J175</f>
        <v>2.4300000000000002</v>
      </c>
      <c r="K168" s="662">
        <f>157</f>
        <v>157</v>
      </c>
      <c r="L168" s="665">
        <f>SUM(V161:V167)-L175</f>
        <v>53.53</v>
      </c>
    </row>
    <row r="169" spans="1:22" ht="14.25" x14ac:dyDescent="0.2">
      <c r="A169" s="667"/>
      <c r="B169" s="667"/>
      <c r="C169" s="668"/>
      <c r="D169" s="668" t="s">
        <v>51</v>
      </c>
      <c r="E169" s="669" t="s">
        <v>52</v>
      </c>
      <c r="F169" s="670">
        <f>[84]Source!AQ2370</f>
        <v>51.58</v>
      </c>
      <c r="G169" s="671"/>
      <c r="H169" s="672" t="str">
        <f>[84]Source!DI2370</f>
        <v/>
      </c>
      <c r="I169" s="670">
        <f>[84]Source!AV2371</f>
        <v>1.0669999999999999</v>
      </c>
      <c r="J169" s="673">
        <f>[84]Source!U2370</f>
        <v>55.04</v>
      </c>
      <c r="K169" s="670"/>
      <c r="L169" s="673"/>
    </row>
    <row r="170" spans="1:22" ht="15" x14ac:dyDescent="0.25">
      <c r="D170" s="674" t="s">
        <v>81</v>
      </c>
      <c r="I170" s="675">
        <f>J162+J163+J165+J166+J167+J168</f>
        <v>2754.37</v>
      </c>
      <c r="J170" s="675"/>
      <c r="K170" s="675">
        <f>L162+L163+L165+L166+L167+L168</f>
        <v>56973.82</v>
      </c>
      <c r="L170" s="675"/>
      <c r="O170" s="676">
        <f>J162+J163+J165+J166+J167+J168</f>
        <v>2754.37</v>
      </c>
      <c r="P170" s="676">
        <f>L162+L163+L165+L166+L167+L168</f>
        <v>56973.82</v>
      </c>
    </row>
    <row r="172" spans="1:22" ht="14.25" x14ac:dyDescent="0.2">
      <c r="A172" s="659">
        <v>11</v>
      </c>
      <c r="B172" s="659" t="s">
        <v>106</v>
      </c>
      <c r="C172" s="660"/>
      <c r="D172" s="660" t="s">
        <v>82</v>
      </c>
      <c r="E172" s="661" t="str">
        <f>[84]Source!H2370</f>
        <v>1  ШТ.</v>
      </c>
      <c r="F172" s="662">
        <f>[84]Source!I2370</f>
        <v>1</v>
      </c>
      <c r="G172" s="663"/>
      <c r="H172" s="664"/>
      <c r="I172" s="662"/>
      <c r="J172" s="665"/>
      <c r="K172" s="662"/>
      <c r="L172" s="665"/>
    </row>
    <row r="173" spans="1:22" ht="14.25" x14ac:dyDescent="0.2">
      <c r="A173" s="659"/>
      <c r="B173" s="659"/>
      <c r="C173" s="660"/>
      <c r="D173" s="660" t="s">
        <v>44</v>
      </c>
      <c r="E173" s="661"/>
      <c r="F173" s="662"/>
      <c r="G173" s="663">
        <f t="shared" ref="G173:L173" si="3">G174</f>
        <v>1.31</v>
      </c>
      <c r="H173" s="677" t="str">
        <f t="shared" si="3"/>
        <v>)*(1.67-1)</v>
      </c>
      <c r="I173" s="662">
        <f t="shared" si="3"/>
        <v>1.0669999999999999</v>
      </c>
      <c r="J173" s="665">
        <f t="shared" si="3"/>
        <v>0.94</v>
      </c>
      <c r="K173" s="662">
        <f t="shared" si="3"/>
        <v>24.53</v>
      </c>
      <c r="L173" s="665">
        <f t="shared" si="3"/>
        <v>23.06</v>
      </c>
    </row>
    <row r="174" spans="1:22" ht="14.25" x14ac:dyDescent="0.2">
      <c r="A174" s="659"/>
      <c r="B174" s="659"/>
      <c r="C174" s="660"/>
      <c r="D174" s="660" t="s">
        <v>45</v>
      </c>
      <c r="E174" s="661"/>
      <c r="F174" s="662"/>
      <c r="G174" s="663">
        <f>[84]Source!AN2370</f>
        <v>1.31</v>
      </c>
      <c r="H174" s="677" t="s">
        <v>53</v>
      </c>
      <c r="I174" s="662">
        <f>[84]Source!AV2371</f>
        <v>1.0669999999999999</v>
      </c>
      <c r="J174" s="666">
        <f>ROUND(F161*G174*I174*(1.67-1), 2)</f>
        <v>0.94</v>
      </c>
      <c r="K174" s="662">
        <f>IF([84]Source!BS2371&lt;&gt; 0, [84]Source!BS2371, 1)</f>
        <v>24.53</v>
      </c>
      <c r="L174" s="666">
        <f>ROUND(ROUND(F161*G174*I174*(1.67-1), 2)*K174, 2)</f>
        <v>23.06</v>
      </c>
    </row>
    <row r="175" spans="1:22" ht="14.25" x14ac:dyDescent="0.2">
      <c r="A175" s="659"/>
      <c r="B175" s="659"/>
      <c r="C175" s="660"/>
      <c r="D175" s="660" t="s">
        <v>50</v>
      </c>
      <c r="E175" s="661" t="s">
        <v>48</v>
      </c>
      <c r="F175" s="662">
        <f>175</f>
        <v>175</v>
      </c>
      <c r="G175" s="663"/>
      <c r="H175" s="664"/>
      <c r="I175" s="662"/>
      <c r="J175" s="665">
        <f>ROUND(J174*(F175/100), 2)</f>
        <v>1.65</v>
      </c>
      <c r="K175" s="662">
        <f>157</f>
        <v>157</v>
      </c>
      <c r="L175" s="665">
        <f>ROUND(L174*(K175/100), 2)</f>
        <v>36.200000000000003</v>
      </c>
    </row>
    <row r="176" spans="1:22" ht="15" x14ac:dyDescent="0.25">
      <c r="A176" s="678"/>
      <c r="B176" s="678"/>
      <c r="C176" s="678"/>
      <c r="D176" s="679" t="s">
        <v>81</v>
      </c>
      <c r="E176" s="678"/>
      <c r="F176" s="678"/>
      <c r="G176" s="678"/>
      <c r="H176" s="678"/>
      <c r="I176" s="680">
        <f>J175+J174</f>
        <v>2.59</v>
      </c>
      <c r="J176" s="680"/>
      <c r="K176" s="680">
        <f>L175+L174</f>
        <v>59.26</v>
      </c>
      <c r="L176" s="680"/>
      <c r="O176" s="676">
        <f>I176</f>
        <v>2.59</v>
      </c>
      <c r="P176" s="676">
        <f>K176</f>
        <v>59.26</v>
      </c>
    </row>
    <row r="177" spans="1:22" hidden="1" x14ac:dyDescent="0.2"/>
    <row r="178" spans="1:22" s="688" customFormat="1" ht="54" hidden="1" x14ac:dyDescent="0.25">
      <c r="A178" s="681">
        <v>12</v>
      </c>
      <c r="B178" s="681">
        <v>308</v>
      </c>
      <c r="C178" s="682" t="str">
        <f>[84]Source!F2372</f>
        <v>Прайс-лист</v>
      </c>
      <c r="D178" s="682" t="s">
        <v>107</v>
      </c>
      <c r="E178" s="683" t="str">
        <f>[84]Source!H2372</f>
        <v>шт.</v>
      </c>
      <c r="F178" s="684">
        <f>[84]Source!I2372</f>
        <v>0</v>
      </c>
      <c r="G178" s="685">
        <f>[84]Source!AL2372</f>
        <v>55745.61</v>
      </c>
      <c r="H178" s="686" t="str">
        <f>[84]Source!DD2372</f>
        <v/>
      </c>
      <c r="I178" s="684">
        <f>[84]Source!AW2373</f>
        <v>1</v>
      </c>
      <c r="J178" s="687">
        <f>L178/K178</f>
        <v>0</v>
      </c>
      <c r="K178" s="684">
        <f>IF([84]Source!BC2373&lt;&gt; 0, [84]Source!BC2373, 1)</f>
        <v>4.5999999999999996</v>
      </c>
      <c r="L178" s="687"/>
      <c r="M178" s="140" t="s">
        <v>100</v>
      </c>
      <c r="Q178" s="688">
        <f>[84]Source!X2372</f>
        <v>0</v>
      </c>
      <c r="R178" s="688">
        <f>[84]Source!X2373</f>
        <v>0</v>
      </c>
      <c r="S178" s="688">
        <f>[84]Source!Y2372</f>
        <v>0</v>
      </c>
      <c r="T178" s="688">
        <f>[84]Source!Y2373</f>
        <v>0</v>
      </c>
      <c r="U178" s="688">
        <f>ROUND((175/100)*ROUND([84]Source!R2372, 2), 2)</f>
        <v>0</v>
      </c>
      <c r="V178" s="688">
        <f>ROUND((157/100)*ROUND([84]Source!R2373, 2), 2)</f>
        <v>0</v>
      </c>
    </row>
    <row r="179" spans="1:22" s="688" customFormat="1" ht="15" hidden="1" x14ac:dyDescent="0.25">
      <c r="A179" s="689"/>
      <c r="B179" s="689"/>
      <c r="C179" s="689"/>
      <c r="D179" s="690" t="s">
        <v>81</v>
      </c>
      <c r="E179" s="689"/>
      <c r="F179" s="689"/>
      <c r="G179" s="689"/>
      <c r="H179" s="689"/>
      <c r="I179" s="691">
        <f>J178</f>
        <v>0</v>
      </c>
      <c r="J179" s="691"/>
      <c r="K179" s="691">
        <f>L178</f>
        <v>0</v>
      </c>
      <c r="L179" s="691"/>
      <c r="O179" s="692">
        <f>J178</f>
        <v>0</v>
      </c>
      <c r="P179" s="692">
        <f>L178</f>
        <v>0</v>
      </c>
    </row>
    <row r="182" spans="1:22" ht="15" x14ac:dyDescent="0.25">
      <c r="A182" s="477" t="str">
        <f>CONCATENATE("Итого по подразделу: ",IF([84]Source!G2375&lt;&gt;"Новый подраздел", [84]Source!G2375, ""))</f>
        <v>Итого по подразделу: В2-52</v>
      </c>
      <c r="B182" s="477"/>
      <c r="C182" s="477"/>
      <c r="D182" s="477"/>
      <c r="E182" s="477"/>
      <c r="F182" s="477"/>
      <c r="G182" s="477"/>
      <c r="H182" s="477"/>
      <c r="I182" s="693">
        <f>SUM(O160:O181)</f>
        <v>2756.96</v>
      </c>
      <c r="J182" s="694"/>
      <c r="K182" s="693">
        <f>SUM(P160:P181)</f>
        <v>57033.08</v>
      </c>
      <c r="L182" s="694"/>
    </row>
    <row r="183" spans="1:22" hidden="1" x14ac:dyDescent="0.2">
      <c r="A183" s="645" t="s">
        <v>54</v>
      </c>
      <c r="J183" s="645">
        <f>SUM(W160:W182)</f>
        <v>0</v>
      </c>
      <c r="K183" s="645">
        <f>SUM(X160:X182)</f>
        <v>0</v>
      </c>
    </row>
    <row r="184" spans="1:22" hidden="1" x14ac:dyDescent="0.2">
      <c r="A184" s="645" t="s">
        <v>55</v>
      </c>
      <c r="J184" s="645">
        <f>SUM(Y160:Y183)</f>
        <v>0</v>
      </c>
      <c r="K184" s="645">
        <f>SUM(Z160:Z183)</f>
        <v>0</v>
      </c>
    </row>
    <row r="186" spans="1:22" hidden="1" x14ac:dyDescent="0.2">
      <c r="A186" s="645" t="s">
        <v>54</v>
      </c>
      <c r="J186" s="645" t="e">
        <f>SUM(#REF!)</f>
        <v>#REF!</v>
      </c>
      <c r="K186" s="645" t="e">
        <f>SUM(#REF!)</f>
        <v>#REF!</v>
      </c>
    </row>
    <row r="187" spans="1:22" hidden="1" x14ac:dyDescent="0.2">
      <c r="A187" s="645" t="s">
        <v>55</v>
      </c>
      <c r="J187" s="645">
        <f>SUM(Y186:Y186)</f>
        <v>0</v>
      </c>
      <c r="K187" s="645">
        <f>SUM(Z186:Z186)</f>
        <v>0</v>
      </c>
    </row>
    <row r="188" spans="1:22" hidden="1" x14ac:dyDescent="0.2"/>
    <row r="189" spans="1:22" ht="15" x14ac:dyDescent="0.25">
      <c r="A189" s="477" t="str">
        <f>CONCATENATE("Итого по разделу: ",IF([84]Source!G2921&lt;&gt;"Новый раздел", [84]Source!G2921, ""))</f>
        <v>Итого по разделу: Вентиляция</v>
      </c>
      <c r="B189" s="477"/>
      <c r="C189" s="477"/>
      <c r="D189" s="477"/>
      <c r="E189" s="477"/>
      <c r="F189" s="477"/>
      <c r="G189" s="477"/>
      <c r="H189" s="477"/>
      <c r="I189" s="693">
        <f>SUM(O71:O188)</f>
        <v>11027.84</v>
      </c>
      <c r="J189" s="694"/>
      <c r="K189" s="693">
        <f>SUM(P71:P188)</f>
        <v>228132.32</v>
      </c>
      <c r="L189" s="694"/>
    </row>
    <row r="190" spans="1:22" hidden="1" x14ac:dyDescent="0.2">
      <c r="A190" s="645" t="s">
        <v>54</v>
      </c>
      <c r="J190" s="645">
        <f>SUM(W71:W189)</f>
        <v>0</v>
      </c>
      <c r="K190" s="645">
        <f>SUM(X71:X189)</f>
        <v>0</v>
      </c>
    </row>
    <row r="191" spans="1:22" hidden="1" x14ac:dyDescent="0.2">
      <c r="A191" s="645" t="s">
        <v>55</v>
      </c>
      <c r="J191" s="645">
        <f>SUM(Y71:Y190)</f>
        <v>0</v>
      </c>
      <c r="K191" s="645">
        <f>SUM(Z71:Z190)</f>
        <v>0</v>
      </c>
    </row>
    <row r="192" spans="1:22" hidden="1" x14ac:dyDescent="0.2"/>
    <row r="194" spans="1:32" ht="15" customHeight="1" x14ac:dyDescent="0.25">
      <c r="A194" s="477" t="s">
        <v>74</v>
      </c>
      <c r="B194" s="477"/>
      <c r="C194" s="477"/>
      <c r="D194" s="477"/>
      <c r="E194" s="477"/>
      <c r="F194" s="477"/>
      <c r="G194" s="477"/>
      <c r="H194" s="477"/>
      <c r="I194" s="693">
        <f>SUM(O1:O193)</f>
        <v>11027.84</v>
      </c>
      <c r="J194" s="694"/>
      <c r="K194" s="693">
        <f>SUM(P1:P193)</f>
        <v>228132.32</v>
      </c>
      <c r="L194" s="694"/>
      <c r="AF194" s="389" t="str">
        <f>CONCATENATE("Итого по акту: ",IF([84]Source!G2981&lt;&gt;"Новый объект", [84]Source!G2981, ""))</f>
        <v>Итого по акту: 48837-ТПК_5-0699-Р-ССР2  12-4017-Л-Р-11.4.3.1-ОВ1.1-СМ1К</v>
      </c>
    </row>
    <row r="195" spans="1:32" hidden="1" x14ac:dyDescent="0.2">
      <c r="A195" s="645" t="s">
        <v>54</v>
      </c>
      <c r="J195" s="645">
        <f>SUM(W1:W194)</f>
        <v>0</v>
      </c>
      <c r="K195" s="645">
        <f>SUM(X1:X194)</f>
        <v>0</v>
      </c>
    </row>
    <row r="196" spans="1:32" hidden="1" x14ac:dyDescent="0.2">
      <c r="A196" s="645" t="s">
        <v>55</v>
      </c>
      <c r="J196" s="645">
        <f>SUM(Y1:Y195)</f>
        <v>0</v>
      </c>
      <c r="K196" s="645">
        <f>SUM(Z1:Z195)</f>
        <v>0</v>
      </c>
    </row>
    <row r="197" spans="1:32" ht="14.25" x14ac:dyDescent="0.2">
      <c r="D197" s="479" t="str">
        <f>[84]Source!H2987</f>
        <v>Стоимость материалов (всего)</v>
      </c>
      <c r="E197" s="479"/>
      <c r="F197" s="479"/>
      <c r="G197" s="479"/>
      <c r="H197" s="479"/>
      <c r="I197" s="695">
        <f>[84]Source!F2987</f>
        <v>16.68</v>
      </c>
      <c r="J197" s="695"/>
      <c r="K197" s="695">
        <f>[84]Source!P2987</f>
        <v>105.6</v>
      </c>
      <c r="L197" s="695"/>
    </row>
    <row r="198" spans="1:32" ht="14.25" x14ac:dyDescent="0.2">
      <c r="D198" s="479" t="str">
        <f>[84]Source!H2995</f>
        <v>ЗП машинистов</v>
      </c>
      <c r="E198" s="479"/>
      <c r="F198" s="479"/>
      <c r="G198" s="479"/>
      <c r="H198" s="479"/>
      <c r="I198" s="695">
        <f>[84]Source!F2995</f>
        <v>9.32</v>
      </c>
      <c r="J198" s="695"/>
      <c r="K198" s="695">
        <f>[84]Source!P2995</f>
        <v>228.6</v>
      </c>
      <c r="L198" s="695"/>
    </row>
    <row r="199" spans="1:32" ht="14.25" x14ac:dyDescent="0.2">
      <c r="D199" s="479" t="str">
        <f>[84]Source!H2996</f>
        <v>Основная ЗП рабочих</v>
      </c>
      <c r="E199" s="479"/>
      <c r="F199" s="479"/>
      <c r="G199" s="479"/>
      <c r="H199" s="479"/>
      <c r="I199" s="695">
        <f>[84]Source!F2996</f>
        <v>4387</v>
      </c>
      <c r="J199" s="695"/>
      <c r="K199" s="695">
        <f>[84]Source!P2996</f>
        <v>107613.12</v>
      </c>
      <c r="L199" s="695"/>
    </row>
    <row r="200" spans="1:32" ht="14.25" x14ac:dyDescent="0.2">
      <c r="D200" s="479" t="str">
        <f>[84]Source!H2990</f>
        <v>Стоимость оборудования (всего)</v>
      </c>
      <c r="E200" s="479"/>
      <c r="F200" s="479"/>
      <c r="G200" s="479"/>
      <c r="H200" s="479"/>
      <c r="I200" s="696">
        <f>J91+J120+J149+J178</f>
        <v>0</v>
      </c>
      <c r="J200" s="696"/>
      <c r="K200" s="696">
        <f>L91+L120+L149+L178</f>
        <v>0</v>
      </c>
      <c r="L200" s="696"/>
      <c r="M200" s="697">
        <f>L91+L120+L149+L178</f>
        <v>0</v>
      </c>
    </row>
    <row r="201" spans="1:32" ht="14.25" x14ac:dyDescent="0.2">
      <c r="D201" s="202"/>
      <c r="E201" s="202"/>
      <c r="F201" s="202"/>
      <c r="G201" s="202"/>
      <c r="H201" s="202"/>
      <c r="I201" s="698"/>
      <c r="J201" s="698"/>
      <c r="K201" s="698"/>
      <c r="L201" s="698"/>
    </row>
    <row r="202" spans="1:32" s="141" customFormat="1" ht="15" x14ac:dyDescent="0.25">
      <c r="D202" s="352" t="s">
        <v>369</v>
      </c>
      <c r="E202" s="352"/>
      <c r="F202" s="352"/>
      <c r="G202" s="352"/>
      <c r="H202" s="352"/>
      <c r="I202" s="353"/>
      <c r="J202" s="354">
        <f>I167</f>
        <v>0</v>
      </c>
      <c r="K202" s="353"/>
      <c r="L202" s="354">
        <v>0</v>
      </c>
    </row>
    <row r="203" spans="1:32" s="141" customFormat="1" ht="15" x14ac:dyDescent="0.25">
      <c r="D203" s="352" t="s">
        <v>370</v>
      </c>
      <c r="E203" s="352"/>
      <c r="F203" s="352"/>
      <c r="G203" s="352"/>
      <c r="H203" s="352"/>
      <c r="I203" s="353"/>
      <c r="J203" s="354">
        <v>0</v>
      </c>
      <c r="K203" s="353"/>
      <c r="L203" s="354">
        <v>0</v>
      </c>
    </row>
    <row r="204" spans="1:32" s="141" customFormat="1" ht="14.25" x14ac:dyDescent="0.2">
      <c r="D204" s="384"/>
      <c r="E204" s="384"/>
      <c r="F204" s="384"/>
      <c r="G204" s="384"/>
      <c r="H204" s="384"/>
      <c r="I204" s="355"/>
      <c r="J204" s="355"/>
      <c r="K204" s="355"/>
      <c r="L204" s="355"/>
    </row>
    <row r="205" spans="1:32" s="141" customFormat="1" ht="14.25" x14ac:dyDescent="0.2">
      <c r="D205" s="384" t="s">
        <v>57</v>
      </c>
      <c r="J205" s="356">
        <f>I194-J203</f>
        <v>11027.84</v>
      </c>
      <c r="K205" s="356"/>
      <c r="L205" s="356">
        <f>K194-L203</f>
        <v>228132.32</v>
      </c>
    </row>
    <row r="206" spans="1:32" s="141" customFormat="1" ht="14.25" x14ac:dyDescent="0.2">
      <c r="D206" s="384" t="s">
        <v>3</v>
      </c>
      <c r="J206" s="356">
        <f>J205</f>
        <v>11027.84</v>
      </c>
      <c r="K206" s="356"/>
      <c r="L206" s="356">
        <f>L205</f>
        <v>228132.32</v>
      </c>
    </row>
    <row r="207" spans="1:32" s="141" customFormat="1" ht="14.25" x14ac:dyDescent="0.2">
      <c r="D207" s="384" t="s">
        <v>58</v>
      </c>
      <c r="J207" s="356">
        <f>I199+I198</f>
        <v>4396.32</v>
      </c>
      <c r="K207" s="356"/>
      <c r="L207" s="356">
        <f>K199+K198</f>
        <v>107841.72</v>
      </c>
    </row>
    <row r="208" spans="1:32" s="141" customFormat="1" ht="14.25" x14ac:dyDescent="0.2">
      <c r="D208" s="384" t="s">
        <v>59</v>
      </c>
      <c r="J208" s="356">
        <f>I198</f>
        <v>9.32</v>
      </c>
      <c r="K208" s="356"/>
      <c r="L208" s="356">
        <f>K197</f>
        <v>105.6</v>
      </c>
    </row>
    <row r="209" spans="1:13" s="141" customFormat="1" ht="14.25" customHeight="1" x14ac:dyDescent="0.2">
      <c r="D209" s="384" t="s">
        <v>60</v>
      </c>
      <c r="J209" s="357">
        <v>0</v>
      </c>
      <c r="K209" s="357"/>
      <c r="L209" s="357">
        <v>0</v>
      </c>
    </row>
    <row r="210" spans="1:13" s="141" customFormat="1" ht="14.25" customHeight="1" x14ac:dyDescent="0.2">
      <c r="A210" s="358"/>
      <c r="B210" s="358"/>
      <c r="C210" s="358"/>
      <c r="D210" s="479" t="s">
        <v>371</v>
      </c>
      <c r="E210" s="479"/>
      <c r="F210" s="479"/>
      <c r="G210" s="479"/>
      <c r="H210" s="479"/>
      <c r="I210" s="479"/>
      <c r="J210" s="359">
        <f>J207*0.15</f>
        <v>659.45</v>
      </c>
      <c r="L210" s="359">
        <f>L207*0.15</f>
        <v>16176.26</v>
      </c>
    </row>
    <row r="211" spans="1:13" s="141" customFormat="1" ht="15" x14ac:dyDescent="0.25">
      <c r="A211" s="360"/>
      <c r="B211" s="360"/>
      <c r="C211" s="360"/>
      <c r="D211" s="477" t="s">
        <v>372</v>
      </c>
      <c r="E211" s="477"/>
      <c r="F211" s="477"/>
      <c r="G211" s="477"/>
      <c r="H211" s="477"/>
      <c r="J211" s="361">
        <f>J205+J210</f>
        <v>11687.29</v>
      </c>
      <c r="L211" s="361">
        <f>L205+L210</f>
        <v>244308.58</v>
      </c>
    </row>
    <row r="212" spans="1:13" s="141" customFormat="1" ht="14.25" x14ac:dyDescent="0.2">
      <c r="A212" s="358"/>
      <c r="B212" s="358"/>
      <c r="C212" s="358"/>
      <c r="D212" s="479"/>
      <c r="E212" s="479"/>
      <c r="F212" s="479"/>
      <c r="G212" s="479"/>
      <c r="H212" s="479"/>
      <c r="I212" s="515"/>
      <c r="J212" s="515"/>
      <c r="K212" s="515"/>
      <c r="L212" s="515"/>
    </row>
    <row r="213" spans="1:13" s="141" customFormat="1" ht="15" customHeight="1" x14ac:dyDescent="0.25">
      <c r="A213" s="360"/>
      <c r="B213" s="360"/>
      <c r="C213" s="360"/>
      <c r="D213" s="477" t="s">
        <v>373</v>
      </c>
      <c r="E213" s="477"/>
      <c r="F213" s="477"/>
      <c r="G213" s="477"/>
      <c r="H213" s="477"/>
      <c r="I213" s="360"/>
      <c r="J213" s="360"/>
      <c r="K213" s="360"/>
      <c r="L213" s="362">
        <f>L205*0.925</f>
        <v>211022.4</v>
      </c>
    </row>
    <row r="214" spans="1:13" s="141" customFormat="1" ht="14.25" x14ac:dyDescent="0.2">
      <c r="D214" s="384" t="s">
        <v>3</v>
      </c>
      <c r="J214" s="356"/>
      <c r="K214" s="356"/>
      <c r="L214" s="356">
        <f>L206*0.925</f>
        <v>211022.4</v>
      </c>
    </row>
    <row r="215" spans="1:13" s="141" customFormat="1" ht="14.25" x14ac:dyDescent="0.2">
      <c r="D215" s="384" t="s">
        <v>58</v>
      </c>
      <c r="J215" s="356"/>
      <c r="K215" s="356"/>
      <c r="L215" s="356">
        <f>L208*0.925</f>
        <v>97.68</v>
      </c>
    </row>
    <row r="216" spans="1:13" s="141" customFormat="1" ht="14.25" x14ac:dyDescent="0.2">
      <c r="D216" s="384" t="s">
        <v>59</v>
      </c>
      <c r="J216" s="356"/>
      <c r="K216" s="356"/>
      <c r="L216" s="356">
        <f>L208*0.925</f>
        <v>97.68</v>
      </c>
    </row>
    <row r="217" spans="1:13" s="141" customFormat="1" ht="14.25" x14ac:dyDescent="0.2">
      <c r="D217" s="384" t="s">
        <v>60</v>
      </c>
      <c r="J217" s="357"/>
      <c r="K217" s="357"/>
      <c r="L217" s="357">
        <f>L209*0.925</f>
        <v>0</v>
      </c>
    </row>
    <row r="218" spans="1:13" s="141" customFormat="1" ht="14.25" customHeight="1" x14ac:dyDescent="0.2">
      <c r="A218" s="358"/>
      <c r="B218" s="358"/>
      <c r="C218" s="358"/>
      <c r="D218" s="479" t="s">
        <v>371</v>
      </c>
      <c r="E218" s="479"/>
      <c r="F218" s="479"/>
      <c r="G218" s="479"/>
      <c r="H218" s="479"/>
      <c r="I218" s="479"/>
      <c r="J218" s="359"/>
      <c r="L218" s="359">
        <f t="shared" ref="L218" si="4">L210*0.925</f>
        <v>14963.04</v>
      </c>
    </row>
    <row r="219" spans="1:13" s="141" customFormat="1" ht="14.25" customHeight="1" x14ac:dyDescent="0.25">
      <c r="A219" s="360"/>
      <c r="B219" s="360"/>
      <c r="C219" s="360"/>
      <c r="D219" s="477" t="s">
        <v>372</v>
      </c>
      <c r="E219" s="477"/>
      <c r="F219" s="477"/>
      <c r="G219" s="477"/>
      <c r="H219" s="477"/>
      <c r="J219" s="363"/>
      <c r="L219" s="361">
        <f>L214+L218</f>
        <v>225985.44</v>
      </c>
    </row>
    <row r="220" spans="1:13" s="336" customFormat="1" ht="14.25" customHeight="1" x14ac:dyDescent="0.2">
      <c r="A220" s="333"/>
      <c r="B220" s="333"/>
      <c r="C220" s="333"/>
      <c r="D220" s="334" t="s">
        <v>363</v>
      </c>
      <c r="E220" s="337"/>
      <c r="F220" s="337"/>
      <c r="G220" s="337"/>
      <c r="H220" s="337"/>
      <c r="I220" s="337"/>
      <c r="J220" s="335"/>
      <c r="K220" s="337"/>
      <c r="L220" s="335">
        <f>L218+L214</f>
        <v>225985.44</v>
      </c>
    </row>
    <row r="221" spans="1:13" s="336" customFormat="1" ht="12.75" x14ac:dyDescent="0.2">
      <c r="A221" s="338"/>
      <c r="B221" s="338"/>
      <c r="C221" s="338"/>
      <c r="D221" s="338"/>
      <c r="E221" s="338"/>
      <c r="F221" s="338"/>
      <c r="G221" s="338"/>
      <c r="H221" s="338"/>
      <c r="I221" s="338"/>
      <c r="J221" s="338"/>
      <c r="K221" s="338"/>
      <c r="L221" s="338"/>
    </row>
    <row r="222" spans="1:13" s="336" customFormat="1" ht="14.25" customHeight="1" x14ac:dyDescent="0.2">
      <c r="A222" s="338"/>
      <c r="B222" s="338"/>
      <c r="C222" s="338"/>
      <c r="D222" s="338"/>
      <c r="E222" s="338"/>
      <c r="F222" s="338"/>
      <c r="G222" s="338"/>
      <c r="H222" s="338"/>
      <c r="I222" s="338"/>
      <c r="J222" s="338"/>
      <c r="K222" s="338"/>
      <c r="L222" s="338"/>
    </row>
    <row r="223" spans="1:13" s="328" customFormat="1" ht="14.25" x14ac:dyDescent="0.2">
      <c r="A223" s="338"/>
      <c r="B223" s="338"/>
      <c r="C223" s="338"/>
      <c r="D223" s="339" t="s">
        <v>364</v>
      </c>
      <c r="E223" s="340"/>
      <c r="F223" s="340"/>
      <c r="G223" s="340"/>
      <c r="H223" s="340"/>
      <c r="I223" s="341"/>
      <c r="J223" s="342"/>
      <c r="K223" s="343"/>
      <c r="L223" s="342">
        <f>L220</f>
        <v>225985.44</v>
      </c>
      <c r="M223" s="344"/>
    </row>
    <row r="224" spans="1:13" s="328" customFormat="1" ht="15" x14ac:dyDescent="0.25">
      <c r="A224" s="338"/>
      <c r="B224" s="338"/>
      <c r="C224" s="338"/>
      <c r="D224" s="345" t="s">
        <v>365</v>
      </c>
      <c r="E224" s="346"/>
      <c r="F224" s="346"/>
      <c r="G224" s="346"/>
      <c r="H224" s="346"/>
      <c r="I224" s="347"/>
      <c r="J224" s="348"/>
      <c r="K224" s="349"/>
      <c r="L224" s="348">
        <f>L215</f>
        <v>97.68</v>
      </c>
      <c r="M224" s="344"/>
    </row>
    <row r="225" spans="1:13" s="328" customFormat="1" ht="15" x14ac:dyDescent="0.25">
      <c r="A225" s="338"/>
      <c r="B225" s="338"/>
      <c r="C225" s="338"/>
      <c r="D225" s="345" t="s">
        <v>366</v>
      </c>
      <c r="E225" s="346"/>
      <c r="F225" s="346"/>
      <c r="G225" s="346"/>
      <c r="H225" s="346"/>
      <c r="I225" s="347"/>
      <c r="J225" s="348"/>
      <c r="K225" s="350"/>
      <c r="L225" s="348">
        <f>L219</f>
        <v>225985.44</v>
      </c>
      <c r="M225" s="344"/>
    </row>
    <row r="226" spans="1:13" s="328" customFormat="1" ht="15" x14ac:dyDescent="0.25">
      <c r="A226" s="338"/>
      <c r="B226" s="338"/>
      <c r="C226" s="338"/>
      <c r="D226" s="345" t="s">
        <v>367</v>
      </c>
      <c r="E226" s="346"/>
      <c r="F226" s="346"/>
      <c r="G226" s="346"/>
      <c r="H226" s="346"/>
      <c r="I226" s="347"/>
      <c r="J226" s="348"/>
      <c r="K226" s="348"/>
      <c r="L226" s="348">
        <v>0</v>
      </c>
      <c r="M226" s="344"/>
    </row>
    <row r="227" spans="1:13" s="328" customFormat="1" ht="15" x14ac:dyDescent="0.25">
      <c r="A227" s="338"/>
      <c r="B227" s="338"/>
      <c r="C227" s="338"/>
      <c r="D227" s="345" t="s">
        <v>368</v>
      </c>
      <c r="E227" s="346"/>
      <c r="F227" s="346"/>
      <c r="G227" s="346"/>
      <c r="H227" s="346"/>
      <c r="I227" s="347"/>
      <c r="J227" s="351"/>
      <c r="K227" s="351"/>
      <c r="L227" s="348">
        <v>0</v>
      </c>
      <c r="M227" s="344"/>
    </row>
    <row r="228" spans="1:13" s="141" customFormat="1" x14ac:dyDescent="0.2">
      <c r="B228" s="699"/>
    </row>
  </sheetData>
  <mergeCells count="121">
    <mergeCell ref="D197:H197"/>
    <mergeCell ref="I197:J197"/>
    <mergeCell ref="K197:L197"/>
    <mergeCell ref="D200:H200"/>
    <mergeCell ref="I200:J200"/>
    <mergeCell ref="K200:L200"/>
    <mergeCell ref="I147:J147"/>
    <mergeCell ref="K147:L147"/>
    <mergeCell ref="I150:J150"/>
    <mergeCell ref="K150:L150"/>
    <mergeCell ref="A153:H153"/>
    <mergeCell ref="I153:J153"/>
    <mergeCell ref="K153:L153"/>
    <mergeCell ref="A194:H194"/>
    <mergeCell ref="I194:J194"/>
    <mergeCell ref="K194:L194"/>
    <mergeCell ref="A102:L102"/>
    <mergeCell ref="I112:J112"/>
    <mergeCell ref="K112:L112"/>
    <mergeCell ref="A124:H124"/>
    <mergeCell ref="I124:J124"/>
    <mergeCell ref="K124:L124"/>
    <mergeCell ref="A131:L131"/>
    <mergeCell ref="I141:J141"/>
    <mergeCell ref="K141:L141"/>
    <mergeCell ref="I58:I65"/>
    <mergeCell ref="J58:J65"/>
    <mergeCell ref="K58:K65"/>
    <mergeCell ref="L58:L65"/>
    <mergeCell ref="A60:A65"/>
    <mergeCell ref="B60:B65"/>
    <mergeCell ref="I118:J118"/>
    <mergeCell ref="K118:L118"/>
    <mergeCell ref="I121:J121"/>
    <mergeCell ref="K121:L121"/>
    <mergeCell ref="A68:L68"/>
    <mergeCell ref="A71:L71"/>
    <mergeCell ref="A73:L73"/>
    <mergeCell ref="I83:J83"/>
    <mergeCell ref="K83:L83"/>
    <mergeCell ref="I89:J89"/>
    <mergeCell ref="K89:L89"/>
    <mergeCell ref="I92:J92"/>
    <mergeCell ref="K92:L92"/>
    <mergeCell ref="A69:L69"/>
    <mergeCell ref="A70:L70"/>
    <mergeCell ref="A95:H95"/>
    <mergeCell ref="I95:J95"/>
    <mergeCell ref="K95:L95"/>
    <mergeCell ref="I26:L26"/>
    <mergeCell ref="I27:L27"/>
    <mergeCell ref="I28:L28"/>
    <mergeCell ref="J29:L29"/>
    <mergeCell ref="J30:L30"/>
    <mergeCell ref="I212:J212"/>
    <mergeCell ref="K212:L212"/>
    <mergeCell ref="D218:I218"/>
    <mergeCell ref="I179:J179"/>
    <mergeCell ref="K179:L179"/>
    <mergeCell ref="A182:H182"/>
    <mergeCell ref="I182:J182"/>
    <mergeCell ref="K182:L182"/>
    <mergeCell ref="A160:L160"/>
    <mergeCell ref="I170:J170"/>
    <mergeCell ref="K170:L170"/>
    <mergeCell ref="I176:J176"/>
    <mergeCell ref="K176:L176"/>
    <mergeCell ref="I189:J189"/>
    <mergeCell ref="K189:L189"/>
    <mergeCell ref="D199:H199"/>
    <mergeCell ref="I199:J199"/>
    <mergeCell ref="K199:L199"/>
    <mergeCell ref="D198:H198"/>
    <mergeCell ref="C35:H35"/>
    <mergeCell ref="J35:L36"/>
    <mergeCell ref="C36:H36"/>
    <mergeCell ref="C37:H37"/>
    <mergeCell ref="J37:L38"/>
    <mergeCell ref="C38:H38"/>
    <mergeCell ref="J31:L32"/>
    <mergeCell ref="A32:B32"/>
    <mergeCell ref="C32:H32"/>
    <mergeCell ref="C33:H33"/>
    <mergeCell ref="J33:L34"/>
    <mergeCell ref="A34:B34"/>
    <mergeCell ref="C34:H34"/>
    <mergeCell ref="C43:H43"/>
    <mergeCell ref="G44:I44"/>
    <mergeCell ref="J44:L44"/>
    <mergeCell ref="G45:H45"/>
    <mergeCell ref="J45:L45"/>
    <mergeCell ref="C39:H39"/>
    <mergeCell ref="J39:L40"/>
    <mergeCell ref="C40:H40"/>
    <mergeCell ref="C41:H41"/>
    <mergeCell ref="J41:L42"/>
    <mergeCell ref="C42:H42"/>
    <mergeCell ref="D219:H219"/>
    <mergeCell ref="A52:L52"/>
    <mergeCell ref="A53:L53"/>
    <mergeCell ref="D210:I210"/>
    <mergeCell ref="D211:H211"/>
    <mergeCell ref="D212:H212"/>
    <mergeCell ref="D213:H213"/>
    <mergeCell ref="J46:L46"/>
    <mergeCell ref="J47:L47"/>
    <mergeCell ref="I49:I50"/>
    <mergeCell ref="J49:J50"/>
    <mergeCell ref="K49:L49"/>
    <mergeCell ref="I198:J198"/>
    <mergeCell ref="K198:L198"/>
    <mergeCell ref="A189:H189"/>
    <mergeCell ref="A54:L54"/>
    <mergeCell ref="A57:L57"/>
    <mergeCell ref="A58:B59"/>
    <mergeCell ref="C58:C65"/>
    <mergeCell ref="D58:D65"/>
    <mergeCell ref="E58:E65"/>
    <mergeCell ref="F58:F65"/>
    <mergeCell ref="G58:G65"/>
    <mergeCell ref="H58:H65"/>
  </mergeCells>
  <pageMargins left="0.39370078740157483" right="0.19685039370078741" top="0.19685039370078741" bottom="0.39370078740157483" header="0.31496062992125984" footer="0.31496062992125984"/>
  <pageSetup paperSize="9" scale="52" fitToHeight="0" orientation="portrait" blackAndWhite="1" r:id="rId1"/>
  <headerFooter>
    <oddFooter>&amp;R&amp;P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fitToPage="1"/>
  </sheetPr>
  <dimension ref="A1:AO423"/>
  <sheetViews>
    <sheetView tabSelected="1" view="pageBreakPreview" topLeftCell="A26" zoomScale="70" zoomScaleNormal="80" zoomScaleSheetLayoutView="70" workbookViewId="0">
      <selection activeCell="A357" sqref="A1:XFD1048576"/>
    </sheetView>
  </sheetViews>
  <sheetFormatPr defaultColWidth="9.33203125" defaultRowHeight="11.25" x14ac:dyDescent="0.2"/>
  <cols>
    <col min="1" max="2" width="11" style="645" customWidth="1"/>
    <col min="3" max="3" width="18.1640625" style="645" customWidth="1"/>
    <col min="4" max="4" width="67.5" style="645" customWidth="1"/>
    <col min="5" max="5" width="19.33203125" style="645" customWidth="1"/>
    <col min="6" max="6" width="31.5" style="645" customWidth="1"/>
    <col min="7" max="7" width="14" style="645" customWidth="1"/>
    <col min="8" max="8" width="15" style="645" customWidth="1"/>
    <col min="9" max="9" width="15.33203125" style="645" customWidth="1"/>
    <col min="10" max="10" width="17.5" style="645" customWidth="1"/>
    <col min="11" max="11" width="10.6640625" style="645" bestFit="1" customWidth="1"/>
    <col min="12" max="12" width="19.5" style="645" customWidth="1"/>
    <col min="13" max="13" width="19" style="700" customWidth="1"/>
    <col min="14" max="14" width="25" style="645" bestFit="1" customWidth="1"/>
    <col min="15" max="15" width="9.6640625" style="645" bestFit="1" customWidth="1"/>
    <col min="16" max="16" width="10.6640625" style="645" bestFit="1" customWidth="1"/>
    <col min="17" max="22" width="2.5" style="645" bestFit="1" customWidth="1"/>
    <col min="23" max="29" width="0" style="645" hidden="1" customWidth="1"/>
    <col min="30" max="30" width="106.1640625" style="645" hidden="1" customWidth="1"/>
    <col min="31" max="31" width="222.5" style="645" bestFit="1" customWidth="1"/>
    <col min="32" max="32" width="255.6640625" style="645" bestFit="1" customWidth="1"/>
    <col min="33" max="34" width="0" style="645" hidden="1" customWidth="1"/>
    <col min="35" max="35" width="1.1640625" style="645" customWidth="1"/>
    <col min="36" max="36" width="1.6640625" style="645" customWidth="1"/>
    <col min="37" max="16384" width="9.33203125" style="645"/>
  </cols>
  <sheetData>
    <row r="1" hidden="1" x14ac:dyDescent="0.2"/>
    <row r="2" hidden="1" x14ac:dyDescent="0.2"/>
    <row r="3" hidden="1" x14ac:dyDescent="0.2"/>
    <row r="4" hidden="1" x14ac:dyDescent="0.2"/>
    <row r="5" hidden="1" x14ac:dyDescent="0.2"/>
    <row r="6" ht="25.5" hidden="1" customHeight="1" x14ac:dyDescent="0.2"/>
    <row r="7" hidden="1" x14ac:dyDescent="0.2"/>
    <row r="8" ht="26.25" hidden="1" customHeight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1" ht="14.25" hidden="1" customHeight="1" x14ac:dyDescent="0.2"/>
    <row r="18" spans="1:31" hidden="1" x14ac:dyDescent="0.2"/>
    <row r="19" spans="1:31" ht="14.25" hidden="1" customHeight="1" x14ac:dyDescent="0.2"/>
    <row r="20" spans="1:31" ht="18" hidden="1" x14ac:dyDescent="0.25">
      <c r="M20" s="140"/>
    </row>
    <row r="21" spans="1:31" ht="14.25" hidden="1" customHeight="1" x14ac:dyDescent="0.25">
      <c r="M21" s="140"/>
    </row>
    <row r="22" spans="1:31" hidden="1" x14ac:dyDescent="0.2"/>
    <row r="23" spans="1:31" ht="14.25" hidden="1" customHeight="1" x14ac:dyDescent="0.2"/>
    <row r="24" spans="1:31" hidden="1" x14ac:dyDescent="0.2"/>
    <row r="25" spans="1:31" hidden="1" x14ac:dyDescent="0.2"/>
    <row r="26" spans="1:31" ht="18" x14ac:dyDescent="0.25">
      <c r="A26" s="478" t="s">
        <v>362</v>
      </c>
      <c r="B26" s="478"/>
      <c r="C26" s="478"/>
      <c r="D26" s="478"/>
      <c r="E26" s="478"/>
      <c r="F26" s="478"/>
      <c r="G26" s="478"/>
      <c r="H26" s="478"/>
      <c r="I26" s="478"/>
      <c r="J26" s="478"/>
      <c r="K26" s="478"/>
      <c r="L26" s="478"/>
    </row>
    <row r="27" spans="1:31" ht="14.25" x14ac:dyDescent="0.2">
      <c r="A27" s="204"/>
      <c r="B27" s="204"/>
      <c r="C27" s="204"/>
      <c r="D27" s="204"/>
      <c r="E27" s="204"/>
      <c r="F27" s="204"/>
      <c r="G27" s="204"/>
      <c r="H27" s="204"/>
      <c r="I27" s="204"/>
      <c r="J27" s="204"/>
      <c r="K27" s="204"/>
      <c r="L27" s="204"/>
    </row>
    <row r="28" spans="1:31" ht="15" hidden="1" x14ac:dyDescent="0.25">
      <c r="A28" s="204" t="s">
        <v>66</v>
      </c>
      <c r="B28" s="204"/>
      <c r="C28" s="204"/>
      <c r="D28" s="204"/>
      <c r="E28" s="204"/>
      <c r="F28" s="204"/>
      <c r="G28" s="204"/>
      <c r="H28" s="701">
        <f>([85]Source!P3361/1000)</f>
        <v>1126.54</v>
      </c>
      <c r="I28" s="701"/>
      <c r="J28" s="204" t="s">
        <v>67</v>
      </c>
      <c r="K28" s="204"/>
      <c r="L28" s="204"/>
    </row>
    <row r="29" spans="1:31" ht="15" hidden="1" x14ac:dyDescent="0.25">
      <c r="A29" s="204" t="s">
        <v>168</v>
      </c>
      <c r="B29" s="204"/>
      <c r="C29" s="204"/>
      <c r="D29" s="204"/>
      <c r="E29" s="204"/>
      <c r="F29" s="204"/>
      <c r="G29" s="204"/>
      <c r="H29" s="646"/>
      <c r="I29" s="646"/>
      <c r="J29" s="204"/>
      <c r="K29" s="204"/>
      <c r="L29" s="204"/>
    </row>
    <row r="30" spans="1:31" ht="14.25" x14ac:dyDescent="0.2">
      <c r="A30" s="647" t="s">
        <v>175</v>
      </c>
      <c r="B30" s="647"/>
      <c r="C30" s="647"/>
      <c r="D30" s="647"/>
      <c r="E30" s="647"/>
      <c r="F30" s="647"/>
      <c r="G30" s="647"/>
      <c r="H30" s="647"/>
      <c r="I30" s="647"/>
      <c r="J30" s="647"/>
      <c r="K30" s="647"/>
      <c r="L30" s="647"/>
      <c r="AE30" s="648" t="s">
        <v>175</v>
      </c>
    </row>
    <row r="31" spans="1:31" x14ac:dyDescent="0.2">
      <c r="A31" s="649" t="s">
        <v>38</v>
      </c>
      <c r="B31" s="650"/>
      <c r="C31" s="651" t="s">
        <v>39</v>
      </c>
      <c r="D31" s="651" t="s">
        <v>40</v>
      </c>
      <c r="E31" s="651" t="s">
        <v>75</v>
      </c>
      <c r="F31" s="651" t="s">
        <v>68</v>
      </c>
      <c r="G31" s="651" t="s">
        <v>69</v>
      </c>
      <c r="H31" s="651" t="s">
        <v>76</v>
      </c>
      <c r="I31" s="651" t="s">
        <v>77</v>
      </c>
      <c r="J31" s="651" t="s">
        <v>78</v>
      </c>
      <c r="K31" s="651" t="s">
        <v>79</v>
      </c>
      <c r="L31" s="651" t="s">
        <v>80</v>
      </c>
    </row>
    <row r="32" spans="1:31" x14ac:dyDescent="0.2">
      <c r="A32" s="652"/>
      <c r="B32" s="653"/>
      <c r="C32" s="654"/>
      <c r="D32" s="654"/>
      <c r="E32" s="654"/>
      <c r="F32" s="654"/>
      <c r="G32" s="654"/>
      <c r="H32" s="654"/>
      <c r="I32" s="654"/>
      <c r="J32" s="654"/>
      <c r="K32" s="654"/>
      <c r="L32" s="654"/>
    </row>
    <row r="33" spans="1:31" x14ac:dyDescent="0.2">
      <c r="A33" s="655" t="s">
        <v>41</v>
      </c>
      <c r="B33" s="655" t="s">
        <v>42</v>
      </c>
      <c r="C33" s="654"/>
      <c r="D33" s="654"/>
      <c r="E33" s="654"/>
      <c r="F33" s="654"/>
      <c r="G33" s="654"/>
      <c r="H33" s="654"/>
      <c r="I33" s="654"/>
      <c r="J33" s="654"/>
      <c r="K33" s="654"/>
      <c r="L33" s="654"/>
    </row>
    <row r="34" spans="1:31" x14ac:dyDescent="0.2">
      <c r="A34" s="655"/>
      <c r="B34" s="655"/>
      <c r="C34" s="654"/>
      <c r="D34" s="654"/>
      <c r="E34" s="654"/>
      <c r="F34" s="654"/>
      <c r="G34" s="654"/>
      <c r="H34" s="654"/>
      <c r="I34" s="654"/>
      <c r="J34" s="654"/>
      <c r="K34" s="654"/>
      <c r="L34" s="654"/>
    </row>
    <row r="35" spans="1:31" x14ac:dyDescent="0.2">
      <c r="A35" s="655"/>
      <c r="B35" s="655"/>
      <c r="C35" s="654"/>
      <c r="D35" s="654"/>
      <c r="E35" s="654"/>
      <c r="F35" s="654"/>
      <c r="G35" s="654"/>
      <c r="H35" s="654"/>
      <c r="I35" s="654"/>
      <c r="J35" s="654"/>
      <c r="K35" s="654"/>
      <c r="L35" s="654"/>
    </row>
    <row r="36" spans="1:31" x14ac:dyDescent="0.2">
      <c r="A36" s="655"/>
      <c r="B36" s="655"/>
      <c r="C36" s="654"/>
      <c r="D36" s="654"/>
      <c r="E36" s="654"/>
      <c r="F36" s="654"/>
      <c r="G36" s="654"/>
      <c r="H36" s="654"/>
      <c r="I36" s="654"/>
      <c r="J36" s="654"/>
      <c r="K36" s="654"/>
      <c r="L36" s="654"/>
    </row>
    <row r="37" spans="1:31" x14ac:dyDescent="0.2">
      <c r="A37" s="655"/>
      <c r="B37" s="655"/>
      <c r="C37" s="654"/>
      <c r="D37" s="654"/>
      <c r="E37" s="654"/>
      <c r="F37" s="654"/>
      <c r="G37" s="654"/>
      <c r="H37" s="654"/>
      <c r="I37" s="654"/>
      <c r="J37" s="654"/>
      <c r="K37" s="654"/>
      <c r="L37" s="654"/>
    </row>
    <row r="38" spans="1:31" x14ac:dyDescent="0.2">
      <c r="A38" s="655"/>
      <c r="B38" s="655"/>
      <c r="C38" s="656"/>
      <c r="D38" s="656"/>
      <c r="E38" s="656"/>
      <c r="F38" s="656"/>
      <c r="G38" s="656"/>
      <c r="H38" s="656"/>
      <c r="I38" s="656"/>
      <c r="J38" s="656"/>
      <c r="K38" s="656"/>
      <c r="L38" s="656"/>
    </row>
    <row r="39" spans="1:31" ht="14.25" x14ac:dyDescent="0.2">
      <c r="A39" s="657">
        <v>1</v>
      </c>
      <c r="B39" s="657">
        <v>2</v>
      </c>
      <c r="C39" s="657">
        <v>3</v>
      </c>
      <c r="D39" s="657">
        <v>4</v>
      </c>
      <c r="E39" s="657">
        <v>5</v>
      </c>
      <c r="F39" s="657">
        <v>6</v>
      </c>
      <c r="G39" s="657">
        <v>7</v>
      </c>
      <c r="H39" s="657">
        <v>8</v>
      </c>
      <c r="I39" s="657">
        <v>9</v>
      </c>
      <c r="J39" s="657">
        <v>10</v>
      </c>
      <c r="K39" s="657">
        <v>11</v>
      </c>
      <c r="L39" s="657">
        <v>12</v>
      </c>
    </row>
    <row r="41" spans="1:31" ht="16.5" x14ac:dyDescent="0.2">
      <c r="A41" s="658" t="s">
        <v>176</v>
      </c>
      <c r="B41" s="658"/>
      <c r="C41" s="658"/>
      <c r="D41" s="658"/>
      <c r="E41" s="658"/>
      <c r="F41" s="658"/>
      <c r="G41" s="658"/>
      <c r="H41" s="658"/>
      <c r="I41" s="658"/>
      <c r="J41" s="658"/>
      <c r="K41" s="658"/>
      <c r="L41" s="658"/>
    </row>
    <row r="42" spans="1:31" ht="33" customHeight="1" x14ac:dyDescent="0.25">
      <c r="A42" s="407" t="s">
        <v>172</v>
      </c>
      <c r="B42" s="407"/>
      <c r="C42" s="407"/>
      <c r="D42" s="407"/>
      <c r="E42" s="407"/>
      <c r="F42" s="407"/>
      <c r="G42" s="407"/>
      <c r="H42" s="407"/>
      <c r="I42" s="407"/>
      <c r="J42" s="407"/>
      <c r="K42" s="407"/>
      <c r="L42" s="407"/>
    </row>
    <row r="43" spans="1:31" hidden="1" x14ac:dyDescent="0.2"/>
    <row r="44" spans="1:31" ht="33" hidden="1" x14ac:dyDescent="0.25">
      <c r="A44" s="407" t="str">
        <f>CONCATENATE("Локальная смета: ",IF([85]Source!G20&lt;&gt;"Новая локальная смета", [85]Source!G20, ""))</f>
        <v>Локальная смета: Станционный комплекс "Аминьевское шоссе". Вестибюль №2, камера съездов, ТПП. Внутренние инженерные системы. Отопление, вентиляция, кондиционирование, дымоудаление. Вентиляция.</v>
      </c>
      <c r="B44" s="407"/>
      <c r="C44" s="407"/>
      <c r="D44" s="407"/>
      <c r="E44" s="407"/>
      <c r="F44" s="407"/>
      <c r="G44" s="407"/>
      <c r="H44" s="407"/>
      <c r="I44" s="407"/>
      <c r="J44" s="407"/>
      <c r="K44" s="407"/>
      <c r="L44" s="407"/>
      <c r="AE44" s="381" t="str">
        <f>CONCATENATE("Локальная смета: ",IF([85]Source!G20&lt;&gt;"Новая локальная смета", [85]Source!G20, ""))</f>
        <v>Локальная смета: Станционный комплекс "Аминьевское шоссе". Вестибюль №2, камера съездов, ТПП. Внутренние инженерные системы. Отопление, вентиляция, кондиционирование, дымоудаление. Вентиляция.</v>
      </c>
    </row>
    <row r="45" spans="1:31" hidden="1" x14ac:dyDescent="0.2"/>
    <row r="46" spans="1:31" ht="16.5" hidden="1" x14ac:dyDescent="0.25">
      <c r="A46" s="407" t="str">
        <f>CONCATENATE("Подраздел: ",IF([85]Source!G110&lt;&gt;"Новый подраздел", [85]Source!G110, ""))</f>
        <v>Подраздел: П2-11, П2-11р</v>
      </c>
      <c r="B46" s="407"/>
      <c r="C46" s="407"/>
      <c r="D46" s="407"/>
      <c r="E46" s="407"/>
      <c r="F46" s="407"/>
      <c r="G46" s="407"/>
      <c r="H46" s="407"/>
      <c r="I46" s="407"/>
      <c r="J46" s="407"/>
      <c r="K46" s="407"/>
      <c r="L46" s="407"/>
    </row>
    <row r="47" spans="1:31" hidden="1" x14ac:dyDescent="0.2"/>
    <row r="48" spans="1:31" ht="15" hidden="1" x14ac:dyDescent="0.25">
      <c r="A48" s="477" t="str">
        <f>CONCATENATE("Итого по подразделу: ",IF([85]Source!G167&lt;&gt;"Новый подраздел", [85]Source!G167, ""))</f>
        <v>Итого по подразделу: П2-11, П2-11р</v>
      </c>
      <c r="B48" s="477"/>
      <c r="C48" s="477"/>
      <c r="D48" s="477"/>
      <c r="E48" s="477"/>
      <c r="F48" s="477"/>
      <c r="G48" s="477"/>
      <c r="H48" s="477"/>
      <c r="I48" s="693">
        <f>SUM(O46:O47)</f>
        <v>0</v>
      </c>
      <c r="J48" s="694"/>
      <c r="K48" s="693">
        <f>SUM(P46:P47)</f>
        <v>0</v>
      </c>
      <c r="L48" s="694"/>
    </row>
    <row r="49" spans="1:12" hidden="1" x14ac:dyDescent="0.2">
      <c r="A49" s="645" t="s">
        <v>54</v>
      </c>
      <c r="J49" s="645">
        <f>SUM(W46:W48)</f>
        <v>0</v>
      </c>
      <c r="K49" s="645">
        <f>SUM(X46:X48)</f>
        <v>0</v>
      </c>
    </row>
    <row r="50" spans="1:12" hidden="1" x14ac:dyDescent="0.2">
      <c r="A50" s="645" t="s">
        <v>55</v>
      </c>
      <c r="J50" s="645">
        <f>SUM(Y46:Y49)</f>
        <v>0</v>
      </c>
      <c r="K50" s="645">
        <f>SUM(Z46:Z49)</f>
        <v>0</v>
      </c>
    </row>
    <row r="51" spans="1:12" hidden="1" x14ac:dyDescent="0.2"/>
    <row r="52" spans="1:12" ht="16.5" hidden="1" x14ac:dyDescent="0.25">
      <c r="A52" s="407" t="str">
        <f>CONCATENATE("Подраздел: ",IF([85]Source!G197&lt;&gt;"Новый подраздел", [85]Source!G197, ""))</f>
        <v>Подраздел: П2-13</v>
      </c>
      <c r="B52" s="407"/>
      <c r="C52" s="407"/>
      <c r="D52" s="407"/>
      <c r="E52" s="407"/>
      <c r="F52" s="407"/>
      <c r="G52" s="407"/>
      <c r="H52" s="407"/>
      <c r="I52" s="407"/>
      <c r="J52" s="407"/>
      <c r="K52" s="407"/>
      <c r="L52" s="407"/>
    </row>
    <row r="53" spans="1:12" hidden="1" x14ac:dyDescent="0.2"/>
    <row r="54" spans="1:12" ht="15" hidden="1" x14ac:dyDescent="0.25">
      <c r="A54" s="477" t="str">
        <f>CONCATENATE("Итого по подразделу: ",IF([85]Source!G210&lt;&gt;"Новый подраздел", [85]Source!G210, ""))</f>
        <v>Итого по подразделу: П2-13</v>
      </c>
      <c r="B54" s="477"/>
      <c r="C54" s="477"/>
      <c r="D54" s="477"/>
      <c r="E54" s="477"/>
      <c r="F54" s="477"/>
      <c r="G54" s="477"/>
      <c r="H54" s="477"/>
      <c r="I54" s="693">
        <f>SUM(O52:O53)</f>
        <v>0</v>
      </c>
      <c r="J54" s="694"/>
      <c r="K54" s="693">
        <f>SUM(P52:P53)</f>
        <v>0</v>
      </c>
      <c r="L54" s="694"/>
    </row>
    <row r="55" spans="1:12" hidden="1" x14ac:dyDescent="0.2">
      <c r="A55" s="645" t="s">
        <v>54</v>
      </c>
      <c r="J55" s="645">
        <f>SUM(W52:W54)</f>
        <v>0</v>
      </c>
      <c r="K55" s="645">
        <f>SUM(X52:X54)</f>
        <v>0</v>
      </c>
    </row>
    <row r="56" spans="1:12" hidden="1" x14ac:dyDescent="0.2">
      <c r="A56" s="645" t="s">
        <v>55</v>
      </c>
      <c r="J56" s="645">
        <f>SUM(Y52:Y55)</f>
        <v>0</v>
      </c>
      <c r="K56" s="645">
        <f>SUM(Z52:Z55)</f>
        <v>0</v>
      </c>
    </row>
    <row r="57" spans="1:12" hidden="1" x14ac:dyDescent="0.2"/>
    <row r="58" spans="1:12" ht="16.5" hidden="1" x14ac:dyDescent="0.25">
      <c r="A58" s="407" t="str">
        <f>CONCATENATE("Подраздел: ",IF([85]Source!G240&lt;&gt;"Новый подраздел", [85]Source!G240, ""))</f>
        <v>Подраздел: П2-14, П2-14р</v>
      </c>
      <c r="B58" s="407"/>
      <c r="C58" s="407"/>
      <c r="D58" s="407"/>
      <c r="E58" s="407"/>
      <c r="F58" s="407"/>
      <c r="G58" s="407"/>
      <c r="H58" s="407"/>
      <c r="I58" s="407"/>
      <c r="J58" s="407"/>
      <c r="K58" s="407"/>
      <c r="L58" s="407"/>
    </row>
    <row r="59" spans="1:12" hidden="1" x14ac:dyDescent="0.2"/>
    <row r="60" spans="1:12" ht="15" hidden="1" x14ac:dyDescent="0.25">
      <c r="A60" s="477" t="str">
        <f>CONCATENATE("Итого по подразделу: ",IF([85]Source!G279&lt;&gt;"Новый подраздел", [85]Source!G279, ""))</f>
        <v>Итого по подразделу: П2-14, П2-14р</v>
      </c>
      <c r="B60" s="477"/>
      <c r="C60" s="477"/>
      <c r="D60" s="477"/>
      <c r="E60" s="477"/>
      <c r="F60" s="477"/>
      <c r="G60" s="477"/>
      <c r="H60" s="477"/>
      <c r="I60" s="693">
        <f>SUM(O58:O59)</f>
        <v>0</v>
      </c>
      <c r="J60" s="694"/>
      <c r="K60" s="693">
        <f>SUM(P58:P59)</f>
        <v>0</v>
      </c>
      <c r="L60" s="694"/>
    </row>
    <row r="61" spans="1:12" hidden="1" x14ac:dyDescent="0.2">
      <c r="A61" s="645" t="s">
        <v>54</v>
      </c>
      <c r="J61" s="645">
        <f>SUM(W58:W60)</f>
        <v>0</v>
      </c>
      <c r="K61" s="645">
        <f>SUM(X58:X60)</f>
        <v>0</v>
      </c>
    </row>
    <row r="62" spans="1:12" hidden="1" x14ac:dyDescent="0.2">
      <c r="A62" s="645" t="s">
        <v>55</v>
      </c>
      <c r="J62" s="645">
        <f>SUM(Y58:Y61)</f>
        <v>0</v>
      </c>
      <c r="K62" s="645">
        <f>SUM(Z58:Z61)</f>
        <v>0</v>
      </c>
    </row>
    <row r="63" spans="1:12" hidden="1" x14ac:dyDescent="0.2"/>
    <row r="64" spans="1:12" ht="16.5" hidden="1" x14ac:dyDescent="0.25">
      <c r="A64" s="407" t="str">
        <f>CONCATENATE("Подраздел: ",IF([85]Source!G309&lt;&gt;"Новый подраздел", [85]Source!G309, ""))</f>
        <v>Подраздел: П2-15</v>
      </c>
      <c r="B64" s="407"/>
      <c r="C64" s="407"/>
      <c r="D64" s="407"/>
      <c r="E64" s="407"/>
      <c r="F64" s="407"/>
      <c r="G64" s="407"/>
      <c r="H64" s="407"/>
      <c r="I64" s="407"/>
      <c r="J64" s="407"/>
      <c r="K64" s="407"/>
      <c r="L64" s="407"/>
    </row>
    <row r="65" spans="1:12" hidden="1" x14ac:dyDescent="0.2"/>
    <row r="66" spans="1:12" ht="15" hidden="1" x14ac:dyDescent="0.25">
      <c r="A66" s="477" t="str">
        <f>CONCATENATE("Итого по подразделу: ",IF([85]Source!G318&lt;&gt;"Новый подраздел", [85]Source!G318, ""))</f>
        <v>Итого по подразделу: П2-15</v>
      </c>
      <c r="B66" s="477"/>
      <c r="C66" s="477"/>
      <c r="D66" s="477"/>
      <c r="E66" s="477"/>
      <c r="F66" s="477"/>
      <c r="G66" s="477"/>
      <c r="H66" s="477"/>
      <c r="I66" s="693">
        <f>SUM(O64:O65)</f>
        <v>0</v>
      </c>
      <c r="J66" s="694"/>
      <c r="K66" s="693">
        <f>SUM(P64:P65)</f>
        <v>0</v>
      </c>
      <c r="L66" s="694"/>
    </row>
    <row r="67" spans="1:12" hidden="1" x14ac:dyDescent="0.2">
      <c r="A67" s="645" t="s">
        <v>54</v>
      </c>
      <c r="J67" s="645">
        <f>SUM(W64:W66)</f>
        <v>0</v>
      </c>
      <c r="K67" s="645">
        <f>SUM(X64:X66)</f>
        <v>0</v>
      </c>
    </row>
    <row r="68" spans="1:12" hidden="1" x14ac:dyDescent="0.2">
      <c r="A68" s="645" t="s">
        <v>55</v>
      </c>
      <c r="J68" s="645">
        <f>SUM(Y64:Y67)</f>
        <v>0</v>
      </c>
      <c r="K68" s="645">
        <f>SUM(Z64:Z67)</f>
        <v>0</v>
      </c>
    </row>
    <row r="69" spans="1:12" hidden="1" x14ac:dyDescent="0.2"/>
    <row r="70" spans="1:12" ht="16.5" hidden="1" x14ac:dyDescent="0.25">
      <c r="A70" s="407" t="str">
        <f>CONCATENATE("Подраздел: ",IF([85]Source!G348&lt;&gt;"Новый подраздел", [85]Source!G348, ""))</f>
        <v>Подраздел: П2-16, П2-16р</v>
      </c>
      <c r="B70" s="407"/>
      <c r="C70" s="407"/>
      <c r="D70" s="407"/>
      <c r="E70" s="407"/>
      <c r="F70" s="407"/>
      <c r="G70" s="407"/>
      <c r="H70" s="407"/>
      <c r="I70" s="407"/>
      <c r="J70" s="407"/>
      <c r="K70" s="407"/>
      <c r="L70" s="407"/>
    </row>
    <row r="71" spans="1:12" hidden="1" x14ac:dyDescent="0.2"/>
    <row r="72" spans="1:12" ht="15" hidden="1" x14ac:dyDescent="0.25">
      <c r="A72" s="477" t="str">
        <f>CONCATENATE("Итого по подразделу: ",IF([85]Source!G387&lt;&gt;"Новый подраздел", [85]Source!G387, ""))</f>
        <v>Итого по подразделу: П2-16, П2-16р</v>
      </c>
      <c r="B72" s="477"/>
      <c r="C72" s="477"/>
      <c r="D72" s="477"/>
      <c r="E72" s="477"/>
      <c r="F72" s="477"/>
      <c r="G72" s="477"/>
      <c r="H72" s="477"/>
      <c r="I72" s="693">
        <f>SUM(O70:O71)</f>
        <v>0</v>
      </c>
      <c r="J72" s="694"/>
      <c r="K72" s="693">
        <f>SUM(P70:P71)</f>
        <v>0</v>
      </c>
      <c r="L72" s="694"/>
    </row>
    <row r="73" spans="1:12" hidden="1" x14ac:dyDescent="0.2">
      <c r="A73" s="645" t="s">
        <v>54</v>
      </c>
      <c r="J73" s="645">
        <f>SUM(W70:W72)</f>
        <v>0</v>
      </c>
      <c r="K73" s="645">
        <f>SUM(X70:X72)</f>
        <v>0</v>
      </c>
    </row>
    <row r="74" spans="1:12" hidden="1" x14ac:dyDescent="0.2">
      <c r="A74" s="645" t="s">
        <v>55</v>
      </c>
      <c r="J74" s="645">
        <f>SUM(Y70:Y73)</f>
        <v>0</v>
      </c>
      <c r="K74" s="645">
        <f>SUM(Z70:Z73)</f>
        <v>0</v>
      </c>
    </row>
    <row r="75" spans="1:12" hidden="1" x14ac:dyDescent="0.2"/>
    <row r="76" spans="1:12" ht="16.5" hidden="1" x14ac:dyDescent="0.25">
      <c r="A76" s="407" t="str">
        <f>CONCATENATE("Подраздел: ",IF([85]Source!G417&lt;&gt;"Новый подраздел", [85]Source!G417, ""))</f>
        <v>Подраздел: П2-17</v>
      </c>
      <c r="B76" s="407"/>
      <c r="C76" s="407"/>
      <c r="D76" s="407"/>
      <c r="E76" s="407"/>
      <c r="F76" s="407"/>
      <c r="G76" s="407"/>
      <c r="H76" s="407"/>
      <c r="I76" s="407"/>
      <c r="J76" s="407"/>
      <c r="K76" s="407"/>
      <c r="L76" s="407"/>
    </row>
    <row r="77" spans="1:12" hidden="1" x14ac:dyDescent="0.2"/>
    <row r="78" spans="1:12" ht="15" hidden="1" x14ac:dyDescent="0.25">
      <c r="A78" s="477" t="str">
        <f>CONCATENATE("Итого по подразделу: ",IF([85]Source!G426&lt;&gt;"Новый подраздел", [85]Source!G426, ""))</f>
        <v>Итого по подразделу: П2-17</v>
      </c>
      <c r="B78" s="477"/>
      <c r="C78" s="477"/>
      <c r="D78" s="477"/>
      <c r="E78" s="477"/>
      <c r="F78" s="477"/>
      <c r="G78" s="477"/>
      <c r="H78" s="477"/>
      <c r="I78" s="693">
        <f>SUM(O76:O77)</f>
        <v>0</v>
      </c>
      <c r="J78" s="694"/>
      <c r="K78" s="693">
        <f>SUM(P76:P77)</f>
        <v>0</v>
      </c>
      <c r="L78" s="694"/>
    </row>
    <row r="79" spans="1:12" hidden="1" x14ac:dyDescent="0.2">
      <c r="A79" s="645" t="s">
        <v>54</v>
      </c>
      <c r="J79" s="645">
        <f>SUM(W76:W78)</f>
        <v>0</v>
      </c>
      <c r="K79" s="645">
        <f>SUM(X76:X78)</f>
        <v>0</v>
      </c>
    </row>
    <row r="80" spans="1:12" hidden="1" x14ac:dyDescent="0.2">
      <c r="A80" s="645" t="s">
        <v>55</v>
      </c>
      <c r="J80" s="645">
        <f>SUM(Y76:Y79)</f>
        <v>0</v>
      </c>
      <c r="K80" s="645">
        <f>SUM(Z76:Z79)</f>
        <v>0</v>
      </c>
    </row>
    <row r="81" spans="1:12" hidden="1" x14ac:dyDescent="0.2"/>
    <row r="82" spans="1:12" ht="16.5" hidden="1" x14ac:dyDescent="0.25">
      <c r="A82" s="407" t="str">
        <f>CONCATENATE("Подраздел: ",IF([85]Source!G456&lt;&gt;"Новый подраздел", [85]Source!G456, ""))</f>
        <v>Подраздел: П2-18</v>
      </c>
      <c r="B82" s="407"/>
      <c r="C82" s="407"/>
      <c r="D82" s="407"/>
      <c r="E82" s="407"/>
      <c r="F82" s="407"/>
      <c r="G82" s="407"/>
      <c r="H82" s="407"/>
      <c r="I82" s="407"/>
      <c r="J82" s="407"/>
      <c r="K82" s="407"/>
      <c r="L82" s="407"/>
    </row>
    <row r="83" spans="1:12" hidden="1" x14ac:dyDescent="0.2"/>
    <row r="84" spans="1:12" ht="15" hidden="1" x14ac:dyDescent="0.25">
      <c r="A84" s="477" t="str">
        <f>CONCATENATE("Итого по подразделу: ",IF([85]Source!G465&lt;&gt;"Новый подраздел", [85]Source!G465, ""))</f>
        <v>Итого по подразделу: П2-18</v>
      </c>
      <c r="B84" s="477"/>
      <c r="C84" s="477"/>
      <c r="D84" s="477"/>
      <c r="E84" s="477"/>
      <c r="F84" s="477"/>
      <c r="G84" s="477"/>
      <c r="H84" s="477"/>
      <c r="I84" s="693">
        <f>SUM(O82:O83)</f>
        <v>0</v>
      </c>
      <c r="J84" s="694"/>
      <c r="K84" s="693">
        <f>SUM(P82:P83)</f>
        <v>0</v>
      </c>
      <c r="L84" s="694"/>
    </row>
    <row r="85" spans="1:12" hidden="1" x14ac:dyDescent="0.2">
      <c r="A85" s="645" t="s">
        <v>54</v>
      </c>
      <c r="J85" s="645">
        <f>SUM(W82:W84)</f>
        <v>0</v>
      </c>
      <c r="K85" s="645">
        <f>SUM(X82:X84)</f>
        <v>0</v>
      </c>
    </row>
    <row r="86" spans="1:12" hidden="1" x14ac:dyDescent="0.2">
      <c r="A86" s="645" t="s">
        <v>55</v>
      </c>
      <c r="J86" s="645">
        <f>SUM(Y82:Y85)</f>
        <v>0</v>
      </c>
      <c r="K86" s="645">
        <f>SUM(Z82:Z85)</f>
        <v>0</v>
      </c>
    </row>
    <row r="87" spans="1:12" hidden="1" x14ac:dyDescent="0.2"/>
    <row r="88" spans="1:12" ht="16.5" hidden="1" x14ac:dyDescent="0.25">
      <c r="A88" s="407" t="str">
        <f>CONCATENATE("Подраздел: ",IF([85]Source!G495&lt;&gt;"Новый подраздел", [85]Source!G495, ""))</f>
        <v>Подраздел: П2-19</v>
      </c>
      <c r="B88" s="407"/>
      <c r="C88" s="407"/>
      <c r="D88" s="407"/>
      <c r="E88" s="407"/>
      <c r="F88" s="407"/>
      <c r="G88" s="407"/>
      <c r="H88" s="407"/>
      <c r="I88" s="407"/>
      <c r="J88" s="407"/>
      <c r="K88" s="407"/>
      <c r="L88" s="407"/>
    </row>
    <row r="89" spans="1:12" hidden="1" x14ac:dyDescent="0.2"/>
    <row r="90" spans="1:12" ht="15" hidden="1" x14ac:dyDescent="0.25">
      <c r="A90" s="477" t="str">
        <f>CONCATENATE("Итого по подразделу: ",IF([85]Source!G510&lt;&gt;"Новый подраздел", [85]Source!G510, ""))</f>
        <v>Итого по подразделу: П2-19</v>
      </c>
      <c r="B90" s="477"/>
      <c r="C90" s="477"/>
      <c r="D90" s="477"/>
      <c r="E90" s="477"/>
      <c r="F90" s="477"/>
      <c r="G90" s="477"/>
      <c r="H90" s="477"/>
      <c r="I90" s="693">
        <f>SUM(O88:O89)</f>
        <v>0</v>
      </c>
      <c r="J90" s="694"/>
      <c r="K90" s="693">
        <f>SUM(P88:P89)</f>
        <v>0</v>
      </c>
      <c r="L90" s="694"/>
    </row>
    <row r="91" spans="1:12" hidden="1" x14ac:dyDescent="0.2">
      <c r="A91" s="645" t="s">
        <v>54</v>
      </c>
      <c r="J91" s="645">
        <f>SUM(W88:W90)</f>
        <v>0</v>
      </c>
      <c r="K91" s="645">
        <f>SUM(X88:X90)</f>
        <v>0</v>
      </c>
    </row>
    <row r="92" spans="1:12" hidden="1" x14ac:dyDescent="0.2">
      <c r="A92" s="645" t="s">
        <v>55</v>
      </c>
      <c r="J92" s="645">
        <f>SUM(Y88:Y91)</f>
        <v>0</v>
      </c>
      <c r="K92" s="645">
        <f>SUM(Z88:Z91)</f>
        <v>0</v>
      </c>
    </row>
    <row r="93" spans="1:12" hidden="1" x14ac:dyDescent="0.2"/>
    <row r="94" spans="1:12" ht="16.5" hidden="1" x14ac:dyDescent="0.25">
      <c r="A94" s="407" t="str">
        <f>CONCATENATE("Подраздел: ",IF([85]Source!G540&lt;&gt;"Новый подраздел", [85]Source!G540, ""))</f>
        <v>Подраздел: П2-20</v>
      </c>
      <c r="B94" s="407"/>
      <c r="C94" s="407"/>
      <c r="D94" s="407"/>
      <c r="E94" s="407"/>
      <c r="F94" s="407"/>
      <c r="G94" s="407"/>
      <c r="H94" s="407"/>
      <c r="I94" s="407"/>
      <c r="J94" s="407"/>
      <c r="K94" s="407"/>
      <c r="L94" s="407"/>
    </row>
    <row r="95" spans="1:12" hidden="1" x14ac:dyDescent="0.2"/>
    <row r="96" spans="1:12" ht="15" hidden="1" x14ac:dyDescent="0.25">
      <c r="A96" s="477" t="str">
        <f>CONCATENATE("Итого по подразделу: ",IF([85]Source!G569&lt;&gt;"Новый подраздел", [85]Source!G569, ""))</f>
        <v>Итого по подразделу: П2-20</v>
      </c>
      <c r="B96" s="477"/>
      <c r="C96" s="477"/>
      <c r="D96" s="477"/>
      <c r="E96" s="477"/>
      <c r="F96" s="477"/>
      <c r="G96" s="477"/>
      <c r="H96" s="477"/>
      <c r="I96" s="693">
        <f>SUM(O94:O95)</f>
        <v>0</v>
      </c>
      <c r="J96" s="694"/>
      <c r="K96" s="693">
        <f>SUM(P94:P95)</f>
        <v>0</v>
      </c>
      <c r="L96" s="694"/>
    </row>
    <row r="97" spans="1:12" hidden="1" x14ac:dyDescent="0.2">
      <c r="A97" s="645" t="s">
        <v>54</v>
      </c>
      <c r="J97" s="645">
        <f>SUM(W94:W96)</f>
        <v>0</v>
      </c>
      <c r="K97" s="645">
        <f>SUM(X94:X96)</f>
        <v>0</v>
      </c>
    </row>
    <row r="98" spans="1:12" hidden="1" x14ac:dyDescent="0.2">
      <c r="A98" s="645" t="s">
        <v>55</v>
      </c>
      <c r="J98" s="645">
        <f>SUM(Y94:Y97)</f>
        <v>0</v>
      </c>
      <c r="K98" s="645">
        <f>SUM(Z94:Z97)</f>
        <v>0</v>
      </c>
    </row>
    <row r="99" spans="1:12" hidden="1" x14ac:dyDescent="0.2"/>
    <row r="100" spans="1:12" ht="16.5" hidden="1" x14ac:dyDescent="0.25">
      <c r="A100" s="407" t="str">
        <f>CONCATENATE("Подраздел: ",IF([85]Source!G599&lt;&gt;"Новый подраздел", [85]Source!G599, ""))</f>
        <v>Подраздел: П2-21</v>
      </c>
      <c r="B100" s="407"/>
      <c r="C100" s="407"/>
      <c r="D100" s="407"/>
      <c r="E100" s="407"/>
      <c r="F100" s="407"/>
      <c r="G100" s="407"/>
      <c r="H100" s="407"/>
      <c r="I100" s="407"/>
      <c r="J100" s="407"/>
      <c r="K100" s="407"/>
      <c r="L100" s="407"/>
    </row>
    <row r="101" spans="1:12" hidden="1" x14ac:dyDescent="0.2"/>
    <row r="102" spans="1:12" ht="15" hidden="1" x14ac:dyDescent="0.25">
      <c r="A102" s="477" t="str">
        <f>CONCATENATE("Итого по подразделу: ",IF([85]Source!G614&lt;&gt;"Новый подраздел", [85]Source!G614, ""))</f>
        <v>Итого по подразделу: П2-21</v>
      </c>
      <c r="B102" s="477"/>
      <c r="C102" s="477"/>
      <c r="D102" s="477"/>
      <c r="E102" s="477"/>
      <c r="F102" s="477"/>
      <c r="G102" s="477"/>
      <c r="H102" s="477"/>
      <c r="I102" s="693">
        <f>SUM(O100:O101)</f>
        <v>0</v>
      </c>
      <c r="J102" s="694"/>
      <c r="K102" s="693">
        <f>SUM(P100:P101)</f>
        <v>0</v>
      </c>
      <c r="L102" s="694"/>
    </row>
    <row r="103" spans="1:12" hidden="1" x14ac:dyDescent="0.2">
      <c r="A103" s="645" t="s">
        <v>54</v>
      </c>
      <c r="J103" s="645">
        <f>SUM(W100:W102)</f>
        <v>0</v>
      </c>
      <c r="K103" s="645">
        <f>SUM(X100:X102)</f>
        <v>0</v>
      </c>
    </row>
    <row r="104" spans="1:12" hidden="1" x14ac:dyDescent="0.2">
      <c r="A104" s="645" t="s">
        <v>55</v>
      </c>
      <c r="J104" s="645">
        <f>SUM(Y100:Y103)</f>
        <v>0</v>
      </c>
      <c r="K104" s="645">
        <f>SUM(Z100:Z103)</f>
        <v>0</v>
      </c>
    </row>
    <row r="105" spans="1:12" hidden="1" x14ac:dyDescent="0.2"/>
    <row r="106" spans="1:12" ht="16.5" hidden="1" x14ac:dyDescent="0.25">
      <c r="A106" s="407" t="str">
        <f>CONCATENATE("Подраздел: ",IF([85]Source!G644&lt;&gt;"Новый подраздел", [85]Source!G644, ""))</f>
        <v>Подраздел: П2-23</v>
      </c>
      <c r="B106" s="407"/>
      <c r="C106" s="407"/>
      <c r="D106" s="407"/>
      <c r="E106" s="407"/>
      <c r="F106" s="407"/>
      <c r="G106" s="407"/>
      <c r="H106" s="407"/>
      <c r="I106" s="407"/>
      <c r="J106" s="407"/>
      <c r="K106" s="407"/>
      <c r="L106" s="407"/>
    </row>
    <row r="107" spans="1:12" hidden="1" x14ac:dyDescent="0.2"/>
    <row r="108" spans="1:12" ht="15" hidden="1" x14ac:dyDescent="0.25">
      <c r="A108" s="477" t="str">
        <f>CONCATENATE("Итого по подразделу: ",IF([85]Source!G659&lt;&gt;"Новый подраздел", [85]Source!G659, ""))</f>
        <v>Итого по подразделу: П2-23</v>
      </c>
      <c r="B108" s="477"/>
      <c r="C108" s="477"/>
      <c r="D108" s="477"/>
      <c r="E108" s="477"/>
      <c r="F108" s="477"/>
      <c r="G108" s="477"/>
      <c r="H108" s="477"/>
      <c r="I108" s="693">
        <f>SUM(O106:O107)</f>
        <v>0</v>
      </c>
      <c r="J108" s="694"/>
      <c r="K108" s="693">
        <f>SUM(P106:P107)</f>
        <v>0</v>
      </c>
      <c r="L108" s="694"/>
    </row>
    <row r="109" spans="1:12" hidden="1" x14ac:dyDescent="0.2">
      <c r="A109" s="645" t="s">
        <v>54</v>
      </c>
      <c r="J109" s="645">
        <f>SUM(W106:W108)</f>
        <v>0</v>
      </c>
      <c r="K109" s="645">
        <f>SUM(X106:X108)</f>
        <v>0</v>
      </c>
    </row>
    <row r="110" spans="1:12" hidden="1" x14ac:dyDescent="0.2">
      <c r="A110" s="645" t="s">
        <v>55</v>
      </c>
      <c r="J110" s="645">
        <f>SUM(Y106:Y109)</f>
        <v>0</v>
      </c>
      <c r="K110" s="645">
        <f>SUM(Z106:Z109)</f>
        <v>0</v>
      </c>
    </row>
    <row r="111" spans="1:12" hidden="1" x14ac:dyDescent="0.2"/>
    <row r="112" spans="1:12" ht="16.5" hidden="1" x14ac:dyDescent="0.25">
      <c r="A112" s="407" t="str">
        <f>CONCATENATE("Подраздел: ",IF([85]Source!G689&lt;&gt;"Новый подраздел", [85]Source!G689, ""))</f>
        <v>Подраздел: П2-25, П2-25р</v>
      </c>
      <c r="B112" s="407"/>
      <c r="C112" s="407"/>
      <c r="D112" s="407"/>
      <c r="E112" s="407"/>
      <c r="F112" s="407"/>
      <c r="G112" s="407"/>
      <c r="H112" s="407"/>
      <c r="I112" s="407"/>
      <c r="J112" s="407"/>
      <c r="K112" s="407"/>
      <c r="L112" s="407"/>
    </row>
    <row r="113" spans="1:12" hidden="1" x14ac:dyDescent="0.2"/>
    <row r="114" spans="1:12" ht="15" hidden="1" x14ac:dyDescent="0.25">
      <c r="A114" s="477" t="str">
        <f>CONCATENATE("Итого по подразделу: ",IF([85]Source!G732&lt;&gt;"Новый подраздел", [85]Source!G732, ""))</f>
        <v>Итого по подразделу: П2-25, П2-25р</v>
      </c>
      <c r="B114" s="477"/>
      <c r="C114" s="477"/>
      <c r="D114" s="477"/>
      <c r="E114" s="477"/>
      <c r="F114" s="477"/>
      <c r="G114" s="477"/>
      <c r="H114" s="477"/>
      <c r="I114" s="693">
        <f>SUM(O112:O113)</f>
        <v>0</v>
      </c>
      <c r="J114" s="694"/>
      <c r="K114" s="693">
        <f>SUM(P112:P113)</f>
        <v>0</v>
      </c>
      <c r="L114" s="694"/>
    </row>
    <row r="115" spans="1:12" hidden="1" x14ac:dyDescent="0.2">
      <c r="A115" s="645" t="s">
        <v>54</v>
      </c>
      <c r="J115" s="645">
        <f>SUM(W112:W114)</f>
        <v>0</v>
      </c>
      <c r="K115" s="645">
        <f>SUM(X112:X114)</f>
        <v>0</v>
      </c>
    </row>
    <row r="116" spans="1:12" hidden="1" x14ac:dyDescent="0.2">
      <c r="A116" s="645" t="s">
        <v>55</v>
      </c>
      <c r="J116" s="645">
        <f>SUM(Y112:Y115)</f>
        <v>0</v>
      </c>
      <c r="K116" s="645">
        <f>SUM(Z112:Z115)</f>
        <v>0</v>
      </c>
    </row>
    <row r="117" spans="1:12" hidden="1" x14ac:dyDescent="0.2"/>
    <row r="118" spans="1:12" ht="16.5" hidden="1" x14ac:dyDescent="0.25">
      <c r="A118" s="407" t="str">
        <f>CONCATENATE("Подраздел: ",IF([85]Source!G762&lt;&gt;"Новый подраздел", [85]Source!G762, ""))</f>
        <v>Подраздел: П2-28</v>
      </c>
      <c r="B118" s="407"/>
      <c r="C118" s="407"/>
      <c r="D118" s="407"/>
      <c r="E118" s="407"/>
      <c r="F118" s="407"/>
      <c r="G118" s="407"/>
      <c r="H118" s="407"/>
      <c r="I118" s="407"/>
      <c r="J118" s="407"/>
      <c r="K118" s="407"/>
      <c r="L118" s="407"/>
    </row>
    <row r="119" spans="1:12" hidden="1" x14ac:dyDescent="0.2"/>
    <row r="120" spans="1:12" ht="15" hidden="1" x14ac:dyDescent="0.25">
      <c r="A120" s="477" t="str">
        <f>CONCATENATE("Итого по подразделу: ",IF([85]Source!G777&lt;&gt;"Новый подраздел", [85]Source!G777, ""))</f>
        <v>Итого по подразделу: П2-28</v>
      </c>
      <c r="B120" s="477"/>
      <c r="C120" s="477"/>
      <c r="D120" s="477"/>
      <c r="E120" s="477"/>
      <c r="F120" s="477"/>
      <c r="G120" s="477"/>
      <c r="H120" s="477"/>
      <c r="I120" s="693">
        <f>SUM(O118:O119)</f>
        <v>0</v>
      </c>
      <c r="J120" s="694"/>
      <c r="K120" s="693">
        <f>SUM(P118:P119)</f>
        <v>0</v>
      </c>
      <c r="L120" s="694"/>
    </row>
    <row r="121" spans="1:12" hidden="1" x14ac:dyDescent="0.2">
      <c r="A121" s="645" t="s">
        <v>54</v>
      </c>
      <c r="J121" s="645">
        <f>SUM(W118:W120)</f>
        <v>0</v>
      </c>
      <c r="K121" s="645">
        <f>SUM(X118:X120)</f>
        <v>0</v>
      </c>
    </row>
    <row r="122" spans="1:12" hidden="1" x14ac:dyDescent="0.2">
      <c r="A122" s="645" t="s">
        <v>55</v>
      </c>
      <c r="J122" s="645">
        <f>SUM(Y118:Y121)</f>
        <v>0</v>
      </c>
      <c r="K122" s="645">
        <f>SUM(Z118:Z121)</f>
        <v>0</v>
      </c>
    </row>
    <row r="123" spans="1:12" hidden="1" x14ac:dyDescent="0.2"/>
    <row r="124" spans="1:12" ht="16.5" hidden="1" x14ac:dyDescent="0.25">
      <c r="A124" s="407" t="str">
        <f>CONCATENATE("Подраздел: ",IF([85]Source!G807&lt;&gt;"Новый подраздел", [85]Source!G807, ""))</f>
        <v>Подраздел: П2-29</v>
      </c>
      <c r="B124" s="407"/>
      <c r="C124" s="407"/>
      <c r="D124" s="407"/>
      <c r="E124" s="407"/>
      <c r="F124" s="407"/>
      <c r="G124" s="407"/>
      <c r="H124" s="407"/>
      <c r="I124" s="407"/>
      <c r="J124" s="407"/>
      <c r="K124" s="407"/>
      <c r="L124" s="407"/>
    </row>
    <row r="125" spans="1:12" hidden="1" x14ac:dyDescent="0.2"/>
    <row r="126" spans="1:12" ht="15" hidden="1" x14ac:dyDescent="0.25">
      <c r="A126" s="477" t="str">
        <f>CONCATENATE("Итого по подразделу: ",IF([85]Source!G836&lt;&gt;"Новый подраздел", [85]Source!G836, ""))</f>
        <v>Итого по подразделу: П2-29</v>
      </c>
      <c r="B126" s="477"/>
      <c r="C126" s="477"/>
      <c r="D126" s="477"/>
      <c r="E126" s="477"/>
      <c r="F126" s="477"/>
      <c r="G126" s="477"/>
      <c r="H126" s="477"/>
      <c r="I126" s="693">
        <f>SUM(O124:O125)</f>
        <v>0</v>
      </c>
      <c r="J126" s="694"/>
      <c r="K126" s="693">
        <f>SUM(P124:P125)</f>
        <v>0</v>
      </c>
      <c r="L126" s="694"/>
    </row>
    <row r="127" spans="1:12" hidden="1" x14ac:dyDescent="0.2">
      <c r="A127" s="645" t="s">
        <v>54</v>
      </c>
      <c r="J127" s="645">
        <f>SUM(W124:W126)</f>
        <v>0</v>
      </c>
      <c r="K127" s="645">
        <f>SUM(X124:X126)</f>
        <v>0</v>
      </c>
    </row>
    <row r="128" spans="1:12" hidden="1" x14ac:dyDescent="0.2">
      <c r="A128" s="645" t="s">
        <v>55</v>
      </c>
      <c r="J128" s="645">
        <f>SUM(Y124:Y127)</f>
        <v>0</v>
      </c>
      <c r="K128" s="645">
        <f>SUM(Z124:Z127)</f>
        <v>0</v>
      </c>
    </row>
    <row r="129" spans="1:12" hidden="1" x14ac:dyDescent="0.2"/>
    <row r="130" spans="1:12" ht="16.5" hidden="1" x14ac:dyDescent="0.25">
      <c r="A130" s="407" t="str">
        <f>CONCATENATE("Подраздел: ",IF([85]Source!G866&lt;&gt;"Новый подраздел", [85]Source!G866, ""))</f>
        <v>Подраздел: У2-1</v>
      </c>
      <c r="B130" s="407"/>
      <c r="C130" s="407"/>
      <c r="D130" s="407"/>
      <c r="E130" s="407"/>
      <c r="F130" s="407"/>
      <c r="G130" s="407"/>
      <c r="H130" s="407"/>
      <c r="I130" s="407"/>
      <c r="J130" s="407"/>
      <c r="K130" s="407"/>
      <c r="L130" s="407"/>
    </row>
    <row r="131" spans="1:12" hidden="1" x14ac:dyDescent="0.2"/>
    <row r="132" spans="1:12" ht="15" hidden="1" x14ac:dyDescent="0.25">
      <c r="A132" s="477" t="str">
        <f>CONCATENATE("Итого по подразделу: ",IF([85]Source!G875&lt;&gt;"Новый подраздел", [85]Source!G875, ""))</f>
        <v>Итого по подразделу: У2-1</v>
      </c>
      <c r="B132" s="477"/>
      <c r="C132" s="477"/>
      <c r="D132" s="477"/>
      <c r="E132" s="477"/>
      <c r="F132" s="477"/>
      <c r="G132" s="477"/>
      <c r="H132" s="477"/>
      <c r="I132" s="693">
        <f>SUM(O130:O131)</f>
        <v>0</v>
      </c>
      <c r="J132" s="694"/>
      <c r="K132" s="693">
        <f>SUM(P130:P131)</f>
        <v>0</v>
      </c>
      <c r="L132" s="694"/>
    </row>
    <row r="133" spans="1:12" hidden="1" x14ac:dyDescent="0.2">
      <c r="A133" s="645" t="s">
        <v>54</v>
      </c>
      <c r="J133" s="645">
        <f>SUM(W130:W132)</f>
        <v>0</v>
      </c>
      <c r="K133" s="645">
        <f>SUM(X130:X132)</f>
        <v>0</v>
      </c>
    </row>
    <row r="134" spans="1:12" hidden="1" x14ac:dyDescent="0.2">
      <c r="A134" s="645" t="s">
        <v>55</v>
      </c>
      <c r="J134" s="645">
        <f>SUM(Y130:Y133)</f>
        <v>0</v>
      </c>
      <c r="K134" s="645">
        <f>SUM(Z130:Z133)</f>
        <v>0</v>
      </c>
    </row>
    <row r="135" spans="1:12" hidden="1" x14ac:dyDescent="0.2"/>
    <row r="136" spans="1:12" ht="16.5" hidden="1" x14ac:dyDescent="0.25">
      <c r="A136" s="407" t="str">
        <f>CONCATENATE("Подраздел: ",IF([85]Source!G905&lt;&gt;"Новый подраздел", [85]Source!G905, ""))</f>
        <v>Подраздел: У2-2</v>
      </c>
      <c r="B136" s="407"/>
      <c r="C136" s="407"/>
      <c r="D136" s="407"/>
      <c r="E136" s="407"/>
      <c r="F136" s="407"/>
      <c r="G136" s="407"/>
      <c r="H136" s="407"/>
      <c r="I136" s="407"/>
      <c r="J136" s="407"/>
      <c r="K136" s="407"/>
      <c r="L136" s="407"/>
    </row>
    <row r="137" spans="1:12" hidden="1" x14ac:dyDescent="0.2"/>
    <row r="138" spans="1:12" ht="15" hidden="1" x14ac:dyDescent="0.25">
      <c r="A138" s="477" t="str">
        <f>CONCATENATE("Итого по подразделу: ",IF([85]Source!G914&lt;&gt;"Новый подраздел", [85]Source!G914, ""))</f>
        <v>Итого по подразделу: У2-2</v>
      </c>
      <c r="B138" s="477"/>
      <c r="C138" s="477"/>
      <c r="D138" s="477"/>
      <c r="E138" s="477"/>
      <c r="F138" s="477"/>
      <c r="G138" s="477"/>
      <c r="H138" s="477"/>
      <c r="I138" s="693">
        <f>SUM(O136:O137)</f>
        <v>0</v>
      </c>
      <c r="J138" s="694"/>
      <c r="K138" s="693">
        <f>SUM(P136:P137)</f>
        <v>0</v>
      </c>
      <c r="L138" s="694"/>
    </row>
    <row r="139" spans="1:12" hidden="1" x14ac:dyDescent="0.2">
      <c r="A139" s="645" t="s">
        <v>54</v>
      </c>
      <c r="J139" s="645">
        <f>SUM(W136:W138)</f>
        <v>0</v>
      </c>
      <c r="K139" s="645">
        <f>SUM(X136:X138)</f>
        <v>0</v>
      </c>
    </row>
    <row r="140" spans="1:12" hidden="1" x14ac:dyDescent="0.2">
      <c r="A140" s="645" t="s">
        <v>55</v>
      </c>
      <c r="J140" s="645">
        <f>SUM(Y136:Y139)</f>
        <v>0</v>
      </c>
      <c r="K140" s="645">
        <f>SUM(Z136:Z139)</f>
        <v>0</v>
      </c>
    </row>
    <row r="141" spans="1:12" hidden="1" x14ac:dyDescent="0.2"/>
    <row r="142" spans="1:12" ht="16.5" hidden="1" x14ac:dyDescent="0.25">
      <c r="A142" s="407" t="str">
        <f>CONCATENATE("Подраздел: ",IF([85]Source!G944&lt;&gt;"Новый подраздел", [85]Source!G944, ""))</f>
        <v>Подраздел: В2-11</v>
      </c>
      <c r="B142" s="407"/>
      <c r="C142" s="407"/>
      <c r="D142" s="407"/>
      <c r="E142" s="407"/>
      <c r="F142" s="407"/>
      <c r="G142" s="407"/>
      <c r="H142" s="407"/>
      <c r="I142" s="407"/>
      <c r="J142" s="407"/>
      <c r="K142" s="407"/>
      <c r="L142" s="407"/>
    </row>
    <row r="143" spans="1:12" hidden="1" x14ac:dyDescent="0.2"/>
    <row r="144" spans="1:12" ht="15" hidden="1" x14ac:dyDescent="0.25">
      <c r="A144" s="477" t="str">
        <f>CONCATENATE("Итого по подразделу: ",IF([85]Source!G953&lt;&gt;"Новый подраздел", [85]Source!G953, ""))</f>
        <v>Итого по подразделу: В2-11</v>
      </c>
      <c r="B144" s="477"/>
      <c r="C144" s="477"/>
      <c r="D144" s="477"/>
      <c r="E144" s="477"/>
      <c r="F144" s="477"/>
      <c r="G144" s="477"/>
      <c r="H144" s="477"/>
      <c r="I144" s="693">
        <f>SUM(O142:O143)</f>
        <v>0</v>
      </c>
      <c r="J144" s="694"/>
      <c r="K144" s="693">
        <f>SUM(P142:P143)</f>
        <v>0</v>
      </c>
      <c r="L144" s="694"/>
    </row>
    <row r="145" spans="1:12" hidden="1" x14ac:dyDescent="0.2">
      <c r="A145" s="645" t="s">
        <v>54</v>
      </c>
      <c r="J145" s="645">
        <f>SUM(W142:W144)</f>
        <v>0</v>
      </c>
      <c r="K145" s="645">
        <f>SUM(X142:X144)</f>
        <v>0</v>
      </c>
    </row>
    <row r="146" spans="1:12" hidden="1" x14ac:dyDescent="0.2">
      <c r="A146" s="645" t="s">
        <v>55</v>
      </c>
      <c r="J146" s="645">
        <f>SUM(Y142:Y145)</f>
        <v>0</v>
      </c>
      <c r="K146" s="645">
        <f>SUM(Z142:Z145)</f>
        <v>0</v>
      </c>
    </row>
    <row r="147" spans="1:12" hidden="1" x14ac:dyDescent="0.2"/>
    <row r="148" spans="1:12" ht="16.5" hidden="1" x14ac:dyDescent="0.25">
      <c r="A148" s="407" t="str">
        <f>CONCATENATE("Подраздел: ",IF([85]Source!G983&lt;&gt;"Новый подраздел", [85]Source!G983, ""))</f>
        <v>Подраздел: В2-12</v>
      </c>
      <c r="B148" s="407"/>
      <c r="C148" s="407"/>
      <c r="D148" s="407"/>
      <c r="E148" s="407"/>
      <c r="F148" s="407"/>
      <c r="G148" s="407"/>
      <c r="H148" s="407"/>
      <c r="I148" s="407"/>
      <c r="J148" s="407"/>
      <c r="K148" s="407"/>
      <c r="L148" s="407"/>
    </row>
    <row r="149" spans="1:12" hidden="1" x14ac:dyDescent="0.2"/>
    <row r="150" spans="1:12" ht="15" hidden="1" x14ac:dyDescent="0.25">
      <c r="A150" s="477" t="str">
        <f>CONCATENATE("Итого по подразделу: ",IF([85]Source!G1010&lt;&gt;"Новый подраздел", [85]Source!G1010, ""))</f>
        <v>Итого по подразделу: В2-12</v>
      </c>
      <c r="B150" s="477"/>
      <c r="C150" s="477"/>
      <c r="D150" s="477"/>
      <c r="E150" s="477"/>
      <c r="F150" s="477"/>
      <c r="G150" s="477"/>
      <c r="H150" s="477"/>
      <c r="I150" s="693">
        <f>SUM(O148:O149)</f>
        <v>0</v>
      </c>
      <c r="J150" s="694"/>
      <c r="K150" s="693">
        <f>SUM(P148:P149)</f>
        <v>0</v>
      </c>
      <c r="L150" s="694"/>
    </row>
    <row r="151" spans="1:12" hidden="1" x14ac:dyDescent="0.2">
      <c r="A151" s="645" t="s">
        <v>54</v>
      </c>
      <c r="J151" s="645">
        <f>SUM(W148:W150)</f>
        <v>0</v>
      </c>
      <c r="K151" s="645">
        <f>SUM(X148:X150)</f>
        <v>0</v>
      </c>
    </row>
    <row r="152" spans="1:12" hidden="1" x14ac:dyDescent="0.2">
      <c r="A152" s="645" t="s">
        <v>55</v>
      </c>
      <c r="J152" s="645">
        <f>SUM(Y148:Y151)</f>
        <v>0</v>
      </c>
      <c r="K152" s="645">
        <f>SUM(Z148:Z151)</f>
        <v>0</v>
      </c>
    </row>
    <row r="153" spans="1:12" hidden="1" x14ac:dyDescent="0.2"/>
    <row r="154" spans="1:12" ht="16.5" hidden="1" x14ac:dyDescent="0.25">
      <c r="A154" s="407" t="str">
        <f>CONCATENATE("Подраздел: ",IF([85]Source!G1040&lt;&gt;"Новый подраздел", [85]Source!G1040, ""))</f>
        <v>Подраздел: В2-13</v>
      </c>
      <c r="B154" s="407"/>
      <c r="C154" s="407"/>
      <c r="D154" s="407"/>
      <c r="E154" s="407"/>
      <c r="F154" s="407"/>
      <c r="G154" s="407"/>
      <c r="H154" s="407"/>
      <c r="I154" s="407"/>
      <c r="J154" s="407"/>
      <c r="K154" s="407"/>
      <c r="L154" s="407"/>
    </row>
    <row r="155" spans="1:12" hidden="1" x14ac:dyDescent="0.2"/>
    <row r="156" spans="1:12" ht="15" hidden="1" x14ac:dyDescent="0.25">
      <c r="A156" s="477" t="str">
        <f>CONCATENATE("Итого по подразделу: ",IF([85]Source!G1073&lt;&gt;"Новый подраздел", [85]Source!G1073, ""))</f>
        <v>Итого по подразделу: В2-13</v>
      </c>
      <c r="B156" s="477"/>
      <c r="C156" s="477"/>
      <c r="D156" s="477"/>
      <c r="E156" s="477"/>
      <c r="F156" s="477"/>
      <c r="G156" s="477"/>
      <c r="H156" s="477"/>
      <c r="I156" s="693">
        <f>SUM(O154:O155)</f>
        <v>0</v>
      </c>
      <c r="J156" s="694"/>
      <c r="K156" s="693">
        <f>SUM(P154:P155)</f>
        <v>0</v>
      </c>
      <c r="L156" s="694"/>
    </row>
    <row r="157" spans="1:12" hidden="1" x14ac:dyDescent="0.2">
      <c r="A157" s="645" t="s">
        <v>54</v>
      </c>
      <c r="J157" s="645">
        <f>SUM(W154:W156)</f>
        <v>0</v>
      </c>
      <c r="K157" s="645">
        <f>SUM(X154:X156)</f>
        <v>0</v>
      </c>
    </row>
    <row r="158" spans="1:12" hidden="1" x14ac:dyDescent="0.2">
      <c r="A158" s="645" t="s">
        <v>55</v>
      </c>
      <c r="J158" s="645">
        <f>SUM(Y154:Y157)</f>
        <v>0</v>
      </c>
      <c r="K158" s="645">
        <f>SUM(Z154:Z157)</f>
        <v>0</v>
      </c>
    </row>
    <row r="159" spans="1:12" hidden="1" x14ac:dyDescent="0.2"/>
    <row r="160" spans="1:12" ht="16.5" hidden="1" x14ac:dyDescent="0.25">
      <c r="A160" s="407" t="str">
        <f>CONCATENATE("Подраздел: ",IF([85]Source!G1103&lt;&gt;"Новый подраздел", [85]Source!G1103, ""))</f>
        <v>Подраздел: В2-14, В2-14р</v>
      </c>
      <c r="B160" s="407"/>
      <c r="C160" s="407"/>
      <c r="D160" s="407"/>
      <c r="E160" s="407"/>
      <c r="F160" s="407"/>
      <c r="G160" s="407"/>
      <c r="H160" s="407"/>
      <c r="I160" s="407"/>
      <c r="J160" s="407"/>
      <c r="K160" s="407"/>
      <c r="L160" s="407"/>
    </row>
    <row r="161" spans="1:12" hidden="1" x14ac:dyDescent="0.2"/>
    <row r="162" spans="1:12" ht="15" hidden="1" x14ac:dyDescent="0.25">
      <c r="A162" s="477" t="str">
        <f>CONCATENATE("Итого по подразделу: ",IF([85]Source!G1134&lt;&gt;"Новый подраздел", [85]Source!G1134, ""))</f>
        <v>Итого по подразделу: В2-14, В2-14р</v>
      </c>
      <c r="B162" s="477"/>
      <c r="C162" s="477"/>
      <c r="D162" s="477"/>
      <c r="E162" s="477"/>
      <c r="F162" s="477"/>
      <c r="G162" s="477"/>
      <c r="H162" s="477"/>
      <c r="I162" s="693">
        <f>SUM(O160:O161)</f>
        <v>0</v>
      </c>
      <c r="J162" s="694"/>
      <c r="K162" s="693">
        <f>SUM(P160:P161)</f>
        <v>0</v>
      </c>
      <c r="L162" s="694"/>
    </row>
    <row r="163" spans="1:12" hidden="1" x14ac:dyDescent="0.2">
      <c r="A163" s="645" t="s">
        <v>54</v>
      </c>
      <c r="J163" s="645">
        <f>SUM(W160:W162)</f>
        <v>0</v>
      </c>
      <c r="K163" s="645">
        <f>SUM(X160:X162)</f>
        <v>0</v>
      </c>
    </row>
    <row r="164" spans="1:12" hidden="1" x14ac:dyDescent="0.2">
      <c r="A164" s="645" t="s">
        <v>55</v>
      </c>
      <c r="J164" s="645">
        <f>SUM(Y160:Y163)</f>
        <v>0</v>
      </c>
      <c r="K164" s="645">
        <f>SUM(Z160:Z163)</f>
        <v>0</v>
      </c>
    </row>
    <row r="165" spans="1:12" hidden="1" x14ac:dyDescent="0.2"/>
    <row r="166" spans="1:12" ht="16.5" hidden="1" x14ac:dyDescent="0.25">
      <c r="A166" s="407" t="str">
        <f>CONCATENATE("Подраздел: ",IF([85]Source!G1164&lt;&gt;"Новый подраздел", [85]Source!G1164, ""))</f>
        <v>Подраздел: В2-15</v>
      </c>
      <c r="B166" s="407"/>
      <c r="C166" s="407"/>
      <c r="D166" s="407"/>
      <c r="E166" s="407"/>
      <c r="F166" s="407"/>
      <c r="G166" s="407"/>
      <c r="H166" s="407"/>
      <c r="I166" s="407"/>
      <c r="J166" s="407"/>
      <c r="K166" s="407"/>
      <c r="L166" s="407"/>
    </row>
    <row r="167" spans="1:12" hidden="1" x14ac:dyDescent="0.2"/>
    <row r="168" spans="1:12" ht="15" hidden="1" x14ac:dyDescent="0.25">
      <c r="A168" s="477" t="str">
        <f>CONCATENATE("Итого по подразделу: ",IF([85]Source!G1189&lt;&gt;"Новый подраздел", [85]Source!G1189, ""))</f>
        <v>Итого по подразделу: В2-15</v>
      </c>
      <c r="B168" s="477"/>
      <c r="C168" s="477"/>
      <c r="D168" s="477"/>
      <c r="E168" s="477"/>
      <c r="F168" s="477"/>
      <c r="G168" s="477"/>
      <c r="H168" s="477"/>
      <c r="I168" s="693">
        <f>SUM(O166:O167)</f>
        <v>0</v>
      </c>
      <c r="J168" s="694"/>
      <c r="K168" s="693">
        <f>SUM(P166:P167)</f>
        <v>0</v>
      </c>
      <c r="L168" s="694"/>
    </row>
    <row r="169" spans="1:12" hidden="1" x14ac:dyDescent="0.2">
      <c r="A169" s="645" t="s">
        <v>54</v>
      </c>
      <c r="J169" s="645">
        <f>SUM(W166:W168)</f>
        <v>0</v>
      </c>
      <c r="K169" s="645">
        <f>SUM(X166:X168)</f>
        <v>0</v>
      </c>
    </row>
    <row r="170" spans="1:12" hidden="1" x14ac:dyDescent="0.2">
      <c r="A170" s="645" t="s">
        <v>55</v>
      </c>
      <c r="J170" s="645">
        <f>SUM(Y166:Y169)</f>
        <v>0</v>
      </c>
      <c r="K170" s="645">
        <f>SUM(Z166:Z169)</f>
        <v>0</v>
      </c>
    </row>
    <row r="171" spans="1:12" hidden="1" x14ac:dyDescent="0.2"/>
    <row r="172" spans="1:12" ht="16.5" hidden="1" x14ac:dyDescent="0.25">
      <c r="A172" s="407" t="str">
        <f>CONCATENATE("Подраздел: ",IF([85]Source!G1219&lt;&gt;"Новый подраздел", [85]Source!G1219, ""))</f>
        <v>Подраздел: В2-16, В2-16р</v>
      </c>
      <c r="B172" s="407"/>
      <c r="C172" s="407"/>
      <c r="D172" s="407"/>
      <c r="E172" s="407"/>
      <c r="F172" s="407"/>
      <c r="G172" s="407"/>
      <c r="H172" s="407"/>
      <c r="I172" s="407"/>
      <c r="J172" s="407"/>
      <c r="K172" s="407"/>
      <c r="L172" s="407"/>
    </row>
    <row r="173" spans="1:12" hidden="1" x14ac:dyDescent="0.2"/>
    <row r="174" spans="1:12" ht="15" hidden="1" x14ac:dyDescent="0.25">
      <c r="A174" s="477" t="str">
        <f>CONCATENATE("Итого по подразделу: ",IF([85]Source!G1228&lt;&gt;"Новый подраздел", [85]Source!G1228, ""))</f>
        <v>Итого по подразделу: В2-16, В2-16р</v>
      </c>
      <c r="B174" s="477"/>
      <c r="C174" s="477"/>
      <c r="D174" s="477"/>
      <c r="E174" s="477"/>
      <c r="F174" s="477"/>
      <c r="G174" s="477"/>
      <c r="H174" s="477"/>
      <c r="I174" s="693">
        <f>SUM(O172:O173)</f>
        <v>0</v>
      </c>
      <c r="J174" s="694"/>
      <c r="K174" s="693">
        <f>SUM(P172:P173)</f>
        <v>0</v>
      </c>
      <c r="L174" s="694"/>
    </row>
    <row r="175" spans="1:12" hidden="1" x14ac:dyDescent="0.2">
      <c r="A175" s="645" t="s">
        <v>54</v>
      </c>
      <c r="J175" s="645">
        <f>SUM(W172:W174)</f>
        <v>0</v>
      </c>
      <c r="K175" s="645">
        <f>SUM(X172:X174)</f>
        <v>0</v>
      </c>
    </row>
    <row r="176" spans="1:12" hidden="1" x14ac:dyDescent="0.2">
      <c r="A176" s="645" t="s">
        <v>55</v>
      </c>
      <c r="J176" s="645">
        <f>SUM(Y172:Y175)</f>
        <v>0</v>
      </c>
      <c r="K176" s="645">
        <f>SUM(Z172:Z175)</f>
        <v>0</v>
      </c>
    </row>
    <row r="177" spans="1:12" hidden="1" x14ac:dyDescent="0.2"/>
    <row r="178" spans="1:12" ht="16.5" hidden="1" x14ac:dyDescent="0.25">
      <c r="A178" s="407" t="str">
        <f>CONCATENATE("Подраздел: ",IF([85]Source!G1258&lt;&gt;"Новый подраздел", [85]Source!G1258, ""))</f>
        <v>Подраздел: В2-17</v>
      </c>
      <c r="B178" s="407"/>
      <c r="C178" s="407"/>
      <c r="D178" s="407"/>
      <c r="E178" s="407"/>
      <c r="F178" s="407"/>
      <c r="G178" s="407"/>
      <c r="H178" s="407"/>
      <c r="I178" s="407"/>
      <c r="J178" s="407"/>
      <c r="K178" s="407"/>
      <c r="L178" s="407"/>
    </row>
    <row r="179" spans="1:12" hidden="1" x14ac:dyDescent="0.2"/>
    <row r="180" spans="1:12" ht="15" hidden="1" x14ac:dyDescent="0.25">
      <c r="A180" s="477" t="str">
        <f>CONCATENATE("Итого по подразделу: ",IF([85]Source!G1267&lt;&gt;"Новый подраздел", [85]Source!G1267, ""))</f>
        <v>Итого по подразделу: В2-17</v>
      </c>
      <c r="B180" s="477"/>
      <c r="C180" s="477"/>
      <c r="D180" s="477"/>
      <c r="E180" s="477"/>
      <c r="F180" s="477"/>
      <c r="G180" s="477"/>
      <c r="H180" s="477"/>
      <c r="I180" s="693">
        <f>SUM(O178:O179)</f>
        <v>0</v>
      </c>
      <c r="J180" s="694"/>
      <c r="K180" s="693">
        <f>SUM(P178:P179)</f>
        <v>0</v>
      </c>
      <c r="L180" s="694"/>
    </row>
    <row r="181" spans="1:12" hidden="1" x14ac:dyDescent="0.2">
      <c r="A181" s="645" t="s">
        <v>54</v>
      </c>
      <c r="J181" s="645">
        <f>SUM(W178:W180)</f>
        <v>0</v>
      </c>
      <c r="K181" s="645">
        <f>SUM(X178:X180)</f>
        <v>0</v>
      </c>
    </row>
    <row r="182" spans="1:12" hidden="1" x14ac:dyDescent="0.2">
      <c r="A182" s="645" t="s">
        <v>55</v>
      </c>
      <c r="J182" s="645">
        <f>SUM(Y178:Y181)</f>
        <v>0</v>
      </c>
      <c r="K182" s="645">
        <f>SUM(Z178:Z181)</f>
        <v>0</v>
      </c>
    </row>
    <row r="183" spans="1:12" hidden="1" x14ac:dyDescent="0.2"/>
    <row r="184" spans="1:12" ht="16.5" hidden="1" x14ac:dyDescent="0.25">
      <c r="A184" s="407" t="str">
        <f>CONCATENATE("Подраздел: ",IF([85]Source!G1297&lt;&gt;"Новый подраздел", [85]Source!G1297, ""))</f>
        <v>Подраздел: В2-18</v>
      </c>
      <c r="B184" s="407"/>
      <c r="C184" s="407"/>
      <c r="D184" s="407"/>
      <c r="E184" s="407"/>
      <c r="F184" s="407"/>
      <c r="G184" s="407"/>
      <c r="H184" s="407"/>
      <c r="I184" s="407"/>
      <c r="J184" s="407"/>
      <c r="K184" s="407"/>
      <c r="L184" s="407"/>
    </row>
    <row r="185" spans="1:12" hidden="1" x14ac:dyDescent="0.2"/>
    <row r="186" spans="1:12" ht="15" hidden="1" x14ac:dyDescent="0.25">
      <c r="A186" s="477" t="str">
        <f>CONCATENATE("Итого по подразделу: ",IF([85]Source!G1328&lt;&gt;"Новый подраздел", [85]Source!G1328, ""))</f>
        <v>Итого по подразделу: В2-18</v>
      </c>
      <c r="B186" s="477"/>
      <c r="C186" s="477"/>
      <c r="D186" s="477"/>
      <c r="E186" s="477"/>
      <c r="F186" s="477"/>
      <c r="G186" s="477"/>
      <c r="H186" s="477"/>
      <c r="I186" s="693">
        <f>SUM(O184:O185)</f>
        <v>0</v>
      </c>
      <c r="J186" s="694"/>
      <c r="K186" s="693">
        <f>SUM(P184:P185)</f>
        <v>0</v>
      </c>
      <c r="L186" s="694"/>
    </row>
    <row r="187" spans="1:12" hidden="1" x14ac:dyDescent="0.2">
      <c r="A187" s="645" t="s">
        <v>54</v>
      </c>
      <c r="J187" s="645">
        <f>SUM(W184:W186)</f>
        <v>0</v>
      </c>
      <c r="K187" s="645">
        <f>SUM(X184:X186)</f>
        <v>0</v>
      </c>
    </row>
    <row r="188" spans="1:12" hidden="1" x14ac:dyDescent="0.2">
      <c r="A188" s="645" t="s">
        <v>55</v>
      </c>
      <c r="J188" s="645">
        <f>SUM(Y184:Y187)</f>
        <v>0</v>
      </c>
      <c r="K188" s="645">
        <f>SUM(Z184:Z187)</f>
        <v>0</v>
      </c>
    </row>
    <row r="189" spans="1:12" hidden="1" x14ac:dyDescent="0.2"/>
    <row r="190" spans="1:12" ht="16.5" hidden="1" x14ac:dyDescent="0.25">
      <c r="A190" s="407" t="str">
        <f>CONCATENATE("Подраздел: ",IF([85]Source!G1358&lt;&gt;"Новый подраздел", [85]Source!G1358, ""))</f>
        <v>Подраздел: В2-19</v>
      </c>
      <c r="B190" s="407"/>
      <c r="C190" s="407"/>
      <c r="D190" s="407"/>
      <c r="E190" s="407"/>
      <c r="F190" s="407"/>
      <c r="G190" s="407"/>
      <c r="H190" s="407"/>
      <c r="I190" s="407"/>
      <c r="J190" s="407"/>
      <c r="K190" s="407"/>
      <c r="L190" s="407"/>
    </row>
    <row r="191" spans="1:12" hidden="1" x14ac:dyDescent="0.2"/>
    <row r="192" spans="1:12" ht="15" hidden="1" x14ac:dyDescent="0.25">
      <c r="A192" s="477" t="str">
        <f>CONCATENATE("Итого по подразделу: ",IF([85]Source!G1367&lt;&gt;"Новый подраздел", [85]Source!G1367, ""))</f>
        <v>Итого по подразделу: В2-19</v>
      </c>
      <c r="B192" s="477"/>
      <c r="C192" s="477"/>
      <c r="D192" s="477"/>
      <c r="E192" s="477"/>
      <c r="F192" s="477"/>
      <c r="G192" s="477"/>
      <c r="H192" s="477"/>
      <c r="I192" s="693">
        <f>SUM(O190:O191)</f>
        <v>0</v>
      </c>
      <c r="J192" s="694"/>
      <c r="K192" s="693">
        <f>SUM(P190:P191)</f>
        <v>0</v>
      </c>
      <c r="L192" s="694"/>
    </row>
    <row r="193" spans="1:12" hidden="1" x14ac:dyDescent="0.2">
      <c r="A193" s="645" t="s">
        <v>54</v>
      </c>
      <c r="J193" s="645">
        <f>SUM(W190:W192)</f>
        <v>0</v>
      </c>
      <c r="K193" s="645">
        <f>SUM(X190:X192)</f>
        <v>0</v>
      </c>
    </row>
    <row r="194" spans="1:12" hidden="1" x14ac:dyDescent="0.2">
      <c r="A194" s="645" t="s">
        <v>55</v>
      </c>
      <c r="J194" s="645">
        <f>SUM(Y190:Y193)</f>
        <v>0</v>
      </c>
      <c r="K194" s="645">
        <f>SUM(Z190:Z193)</f>
        <v>0</v>
      </c>
    </row>
    <row r="195" spans="1:12" hidden="1" x14ac:dyDescent="0.2"/>
    <row r="196" spans="1:12" ht="16.5" hidden="1" x14ac:dyDescent="0.25">
      <c r="A196" s="407" t="str">
        <f>CONCATENATE("Подраздел: ",IF([85]Source!G1397&lt;&gt;"Новый подраздел", [85]Source!G1397, ""))</f>
        <v>Подраздел: В2-20, В2-20р</v>
      </c>
      <c r="B196" s="407"/>
      <c r="C196" s="407"/>
      <c r="D196" s="407"/>
      <c r="E196" s="407"/>
      <c r="F196" s="407"/>
      <c r="G196" s="407"/>
      <c r="H196" s="407"/>
      <c r="I196" s="407"/>
      <c r="J196" s="407"/>
      <c r="K196" s="407"/>
      <c r="L196" s="407"/>
    </row>
    <row r="197" spans="1:12" hidden="1" x14ac:dyDescent="0.2"/>
    <row r="198" spans="1:12" ht="15" hidden="1" x14ac:dyDescent="0.25">
      <c r="A198" s="477" t="str">
        <f>CONCATENATE("Итого по подразделу: ",IF([85]Source!G1406&lt;&gt;"Новый подраздел", [85]Source!G1406, ""))</f>
        <v>Итого по подразделу: В2-20, В2-20р</v>
      </c>
      <c r="B198" s="477"/>
      <c r="C198" s="477"/>
      <c r="D198" s="477"/>
      <c r="E198" s="477"/>
      <c r="F198" s="477"/>
      <c r="G198" s="477"/>
      <c r="H198" s="477"/>
      <c r="I198" s="693">
        <f>SUM(O196:O197)</f>
        <v>0</v>
      </c>
      <c r="J198" s="694"/>
      <c r="K198" s="693">
        <f>SUM(P196:P197)</f>
        <v>0</v>
      </c>
      <c r="L198" s="694"/>
    </row>
    <row r="199" spans="1:12" hidden="1" x14ac:dyDescent="0.2">
      <c r="A199" s="645" t="s">
        <v>54</v>
      </c>
      <c r="J199" s="645">
        <f>SUM(W196:W198)</f>
        <v>0</v>
      </c>
      <c r="K199" s="645">
        <f>SUM(X196:X198)</f>
        <v>0</v>
      </c>
    </row>
    <row r="200" spans="1:12" hidden="1" x14ac:dyDescent="0.2">
      <c r="A200" s="645" t="s">
        <v>55</v>
      </c>
      <c r="J200" s="645">
        <f>SUM(Y196:Y199)</f>
        <v>0</v>
      </c>
      <c r="K200" s="645">
        <f>SUM(Z196:Z199)</f>
        <v>0</v>
      </c>
    </row>
    <row r="201" spans="1:12" hidden="1" x14ac:dyDescent="0.2"/>
    <row r="202" spans="1:12" ht="16.5" hidden="1" x14ac:dyDescent="0.25">
      <c r="A202" s="407" t="str">
        <f>CONCATENATE("Подраздел: ",IF([85]Source!G1436&lt;&gt;"Новый подраздел", [85]Source!G1436, ""))</f>
        <v>Подраздел: В2-22</v>
      </c>
      <c r="B202" s="407"/>
      <c r="C202" s="407"/>
      <c r="D202" s="407"/>
      <c r="E202" s="407"/>
      <c r="F202" s="407"/>
      <c r="G202" s="407"/>
      <c r="H202" s="407"/>
      <c r="I202" s="407"/>
      <c r="J202" s="407"/>
      <c r="K202" s="407"/>
      <c r="L202" s="407"/>
    </row>
    <row r="203" spans="1:12" hidden="1" x14ac:dyDescent="0.2"/>
    <row r="204" spans="1:12" ht="15" hidden="1" x14ac:dyDescent="0.25">
      <c r="A204" s="477" t="str">
        <f>CONCATENATE("Итого по подразделу: ",IF([85]Source!G1445&lt;&gt;"Новый подраздел", [85]Source!G1445, ""))</f>
        <v>Итого по подразделу: В2-22</v>
      </c>
      <c r="B204" s="477"/>
      <c r="C204" s="477"/>
      <c r="D204" s="477"/>
      <c r="E204" s="477"/>
      <c r="F204" s="477"/>
      <c r="G204" s="477"/>
      <c r="H204" s="477"/>
      <c r="I204" s="693">
        <f>SUM(O202:O203)</f>
        <v>0</v>
      </c>
      <c r="J204" s="694"/>
      <c r="K204" s="693">
        <f>SUM(P202:P203)</f>
        <v>0</v>
      </c>
      <c r="L204" s="694"/>
    </row>
    <row r="205" spans="1:12" hidden="1" x14ac:dyDescent="0.2">
      <c r="A205" s="645" t="s">
        <v>54</v>
      </c>
      <c r="J205" s="645">
        <f>SUM(W202:W204)</f>
        <v>0</v>
      </c>
      <c r="K205" s="645">
        <f>SUM(X202:X204)</f>
        <v>0</v>
      </c>
    </row>
    <row r="206" spans="1:12" hidden="1" x14ac:dyDescent="0.2">
      <c r="A206" s="645" t="s">
        <v>55</v>
      </c>
      <c r="J206" s="645">
        <f>SUM(Y202:Y205)</f>
        <v>0</v>
      </c>
      <c r="K206" s="645">
        <f>SUM(Z202:Z205)</f>
        <v>0</v>
      </c>
    </row>
    <row r="207" spans="1:12" hidden="1" x14ac:dyDescent="0.2"/>
    <row r="208" spans="1:12" ht="16.5" hidden="1" x14ac:dyDescent="0.25">
      <c r="A208" s="407" t="str">
        <f>CONCATENATE("Подраздел: ",IF([85]Source!G1475&lt;&gt;"Новый подраздел", [85]Source!G1475, ""))</f>
        <v>Подраздел: В2-23</v>
      </c>
      <c r="B208" s="407"/>
      <c r="C208" s="407"/>
      <c r="D208" s="407"/>
      <c r="E208" s="407"/>
      <c r="F208" s="407"/>
      <c r="G208" s="407"/>
      <c r="H208" s="407"/>
      <c r="I208" s="407"/>
      <c r="J208" s="407"/>
      <c r="K208" s="407"/>
      <c r="L208" s="407"/>
    </row>
    <row r="209" spans="1:12" hidden="1" x14ac:dyDescent="0.2"/>
    <row r="210" spans="1:12" ht="15" hidden="1" x14ac:dyDescent="0.25">
      <c r="A210" s="477" t="str">
        <f>CONCATENATE("Итого по подразделу: ",IF([85]Source!G1504&lt;&gt;"Новый подраздел", [85]Source!G1504, ""))</f>
        <v>Итого по подразделу: В2-23</v>
      </c>
      <c r="B210" s="477"/>
      <c r="C210" s="477"/>
      <c r="D210" s="477"/>
      <c r="E210" s="477"/>
      <c r="F210" s="477"/>
      <c r="G210" s="477"/>
      <c r="H210" s="477"/>
      <c r="I210" s="693">
        <f>SUM(O208:O209)</f>
        <v>0</v>
      </c>
      <c r="J210" s="694"/>
      <c r="K210" s="693">
        <f>SUM(P208:P209)</f>
        <v>0</v>
      </c>
      <c r="L210" s="694"/>
    </row>
    <row r="211" spans="1:12" hidden="1" x14ac:dyDescent="0.2">
      <c r="A211" s="645" t="s">
        <v>54</v>
      </c>
      <c r="J211" s="645">
        <f>SUM(W208:W210)</f>
        <v>0</v>
      </c>
      <c r="K211" s="645">
        <f>SUM(X208:X210)</f>
        <v>0</v>
      </c>
    </row>
    <row r="212" spans="1:12" hidden="1" x14ac:dyDescent="0.2">
      <c r="A212" s="645" t="s">
        <v>55</v>
      </c>
      <c r="J212" s="645">
        <f>SUM(Y208:Y211)</f>
        <v>0</v>
      </c>
      <c r="K212" s="645">
        <f>SUM(Z208:Z211)</f>
        <v>0</v>
      </c>
    </row>
    <row r="213" spans="1:12" hidden="1" x14ac:dyDescent="0.2"/>
    <row r="214" spans="1:12" ht="16.5" hidden="1" x14ac:dyDescent="0.25">
      <c r="A214" s="407" t="str">
        <f>CONCATENATE("Подраздел: ",IF([85]Source!G1534&lt;&gt;"Новый подраздел", [85]Source!G1534, ""))</f>
        <v>Подраздел: В2-24</v>
      </c>
      <c r="B214" s="407"/>
      <c r="C214" s="407"/>
      <c r="D214" s="407"/>
      <c r="E214" s="407"/>
      <c r="F214" s="407"/>
      <c r="G214" s="407"/>
      <c r="H214" s="407"/>
      <c r="I214" s="407"/>
      <c r="J214" s="407"/>
      <c r="K214" s="407"/>
      <c r="L214" s="407"/>
    </row>
    <row r="215" spans="1:12" hidden="1" x14ac:dyDescent="0.2"/>
    <row r="216" spans="1:12" ht="15" hidden="1" x14ac:dyDescent="0.25">
      <c r="A216" s="477" t="str">
        <f>CONCATENATE("Итого по подразделу: ",IF([85]Source!G1561&lt;&gt;"Новый подраздел", [85]Source!G1561, ""))</f>
        <v>Итого по подразделу: В2-24</v>
      </c>
      <c r="B216" s="477"/>
      <c r="C216" s="477"/>
      <c r="D216" s="477"/>
      <c r="E216" s="477"/>
      <c r="F216" s="477"/>
      <c r="G216" s="477"/>
      <c r="H216" s="477"/>
      <c r="I216" s="693">
        <f>SUM(O214:O215)</f>
        <v>0</v>
      </c>
      <c r="J216" s="694"/>
      <c r="K216" s="693">
        <f>SUM(P214:P215)</f>
        <v>0</v>
      </c>
      <c r="L216" s="694"/>
    </row>
    <row r="217" spans="1:12" hidden="1" x14ac:dyDescent="0.2">
      <c r="A217" s="645" t="s">
        <v>54</v>
      </c>
      <c r="J217" s="645">
        <f>SUM(W214:W216)</f>
        <v>0</v>
      </c>
      <c r="K217" s="645">
        <f>SUM(X214:X216)</f>
        <v>0</v>
      </c>
    </row>
    <row r="218" spans="1:12" hidden="1" x14ac:dyDescent="0.2">
      <c r="A218" s="645" t="s">
        <v>55</v>
      </c>
      <c r="J218" s="645">
        <f>SUM(Y214:Y217)</f>
        <v>0</v>
      </c>
      <c r="K218" s="645">
        <f>SUM(Z214:Z217)</f>
        <v>0</v>
      </c>
    </row>
    <row r="219" spans="1:12" hidden="1" x14ac:dyDescent="0.2"/>
    <row r="220" spans="1:12" ht="16.5" hidden="1" x14ac:dyDescent="0.25">
      <c r="A220" s="407" t="str">
        <f>CONCATENATE("Подраздел: ",IF([85]Source!G1591&lt;&gt;"Новый подраздел", [85]Source!G1591, ""))</f>
        <v>Подраздел: В2-25</v>
      </c>
      <c r="B220" s="407"/>
      <c r="C220" s="407"/>
      <c r="D220" s="407"/>
      <c r="E220" s="407"/>
      <c r="F220" s="407"/>
      <c r="G220" s="407"/>
      <c r="H220" s="407"/>
      <c r="I220" s="407"/>
      <c r="J220" s="407"/>
      <c r="K220" s="407"/>
      <c r="L220" s="407"/>
    </row>
    <row r="221" spans="1:12" hidden="1" x14ac:dyDescent="0.2"/>
    <row r="222" spans="1:12" ht="15" hidden="1" x14ac:dyDescent="0.25">
      <c r="A222" s="477" t="str">
        <f>CONCATENATE("Итого по подразделу: ",IF([85]Source!G1618&lt;&gt;"Новый подраздел", [85]Source!G1618, ""))</f>
        <v>Итого по подразделу: В2-25</v>
      </c>
      <c r="B222" s="477"/>
      <c r="C222" s="477"/>
      <c r="D222" s="477"/>
      <c r="E222" s="477"/>
      <c r="F222" s="477"/>
      <c r="G222" s="477"/>
      <c r="H222" s="477"/>
      <c r="I222" s="693">
        <f>SUM(O220:O221)</f>
        <v>0</v>
      </c>
      <c r="J222" s="694"/>
      <c r="K222" s="693">
        <f>SUM(P220:P221)</f>
        <v>0</v>
      </c>
      <c r="L222" s="694"/>
    </row>
    <row r="223" spans="1:12" hidden="1" x14ac:dyDescent="0.2">
      <c r="A223" s="645" t="s">
        <v>54</v>
      </c>
      <c r="J223" s="645">
        <f>SUM(W220:W222)</f>
        <v>0</v>
      </c>
      <c r="K223" s="645">
        <f>SUM(X220:X222)</f>
        <v>0</v>
      </c>
    </row>
    <row r="224" spans="1:12" hidden="1" x14ac:dyDescent="0.2">
      <c r="A224" s="645" t="s">
        <v>55</v>
      </c>
      <c r="J224" s="645">
        <f>SUM(Y220:Y223)</f>
        <v>0</v>
      </c>
      <c r="K224" s="645">
        <f>SUM(Z220:Z223)</f>
        <v>0</v>
      </c>
    </row>
    <row r="225" spans="1:12" hidden="1" x14ac:dyDescent="0.2"/>
    <row r="226" spans="1:12" ht="16.5" hidden="1" x14ac:dyDescent="0.25">
      <c r="A226" s="407" t="str">
        <f>CONCATENATE("Подраздел: ",IF([85]Source!G1648&lt;&gt;"Новый подраздел", [85]Source!G1648, ""))</f>
        <v>Подраздел: В2-27, В2-27р</v>
      </c>
      <c r="B226" s="407"/>
      <c r="C226" s="407"/>
      <c r="D226" s="407"/>
      <c r="E226" s="407"/>
      <c r="F226" s="407"/>
      <c r="G226" s="407"/>
      <c r="H226" s="407"/>
      <c r="I226" s="407"/>
      <c r="J226" s="407"/>
      <c r="K226" s="407"/>
      <c r="L226" s="407"/>
    </row>
    <row r="227" spans="1:12" hidden="1" x14ac:dyDescent="0.2"/>
    <row r="228" spans="1:12" ht="15" hidden="1" x14ac:dyDescent="0.25">
      <c r="A228" s="477" t="str">
        <f>CONCATENATE("Итого по подразделу: ",IF([85]Source!G1657&lt;&gt;"Новый подраздел", [85]Source!G1657, ""))</f>
        <v>Итого по подразделу: В2-27, В2-27р</v>
      </c>
      <c r="B228" s="477"/>
      <c r="C228" s="477"/>
      <c r="D228" s="477"/>
      <c r="E228" s="477"/>
      <c r="F228" s="477"/>
      <c r="G228" s="477"/>
      <c r="H228" s="477"/>
      <c r="I228" s="693">
        <f>SUM(O226:O227)</f>
        <v>0</v>
      </c>
      <c r="J228" s="694"/>
      <c r="K228" s="693">
        <f>SUM(P226:P227)</f>
        <v>0</v>
      </c>
      <c r="L228" s="694"/>
    </row>
    <row r="229" spans="1:12" hidden="1" x14ac:dyDescent="0.2">
      <c r="A229" s="645" t="s">
        <v>54</v>
      </c>
      <c r="J229" s="645">
        <f>SUM(W226:W228)</f>
        <v>0</v>
      </c>
      <c r="K229" s="645">
        <f>SUM(X226:X228)</f>
        <v>0</v>
      </c>
    </row>
    <row r="230" spans="1:12" hidden="1" x14ac:dyDescent="0.2">
      <c r="A230" s="645" t="s">
        <v>55</v>
      </c>
      <c r="J230" s="645">
        <f>SUM(Y226:Y229)</f>
        <v>0</v>
      </c>
      <c r="K230" s="645">
        <f>SUM(Z226:Z229)</f>
        <v>0</v>
      </c>
    </row>
    <row r="231" spans="1:12" hidden="1" x14ac:dyDescent="0.2"/>
    <row r="232" spans="1:12" ht="16.5" hidden="1" x14ac:dyDescent="0.25">
      <c r="A232" s="407" t="str">
        <f>CONCATENATE("Подраздел: ",IF([85]Source!G1687&lt;&gt;"Новый подраздел", [85]Source!G1687, ""))</f>
        <v>Подраздел: В2-28</v>
      </c>
      <c r="B232" s="407"/>
      <c r="C232" s="407"/>
      <c r="D232" s="407"/>
      <c r="E232" s="407"/>
      <c r="F232" s="407"/>
      <c r="G232" s="407"/>
      <c r="H232" s="407"/>
      <c r="I232" s="407"/>
      <c r="J232" s="407"/>
      <c r="K232" s="407"/>
      <c r="L232" s="407"/>
    </row>
    <row r="233" spans="1:12" hidden="1" x14ac:dyDescent="0.2"/>
    <row r="234" spans="1:12" ht="15" hidden="1" x14ac:dyDescent="0.25">
      <c r="A234" s="477" t="str">
        <f>CONCATENATE("Итого по подразделу: ",IF([85]Source!G1714&lt;&gt;"Новый подраздел", [85]Source!G1714, ""))</f>
        <v>Итого по подразделу: В2-28</v>
      </c>
      <c r="B234" s="477"/>
      <c r="C234" s="477"/>
      <c r="D234" s="477"/>
      <c r="E234" s="477"/>
      <c r="F234" s="477"/>
      <c r="G234" s="477"/>
      <c r="H234" s="477"/>
      <c r="I234" s="693">
        <f>SUM(O232:O233)</f>
        <v>0</v>
      </c>
      <c r="J234" s="694"/>
      <c r="K234" s="693">
        <f>SUM(P232:P233)</f>
        <v>0</v>
      </c>
      <c r="L234" s="694"/>
    </row>
    <row r="235" spans="1:12" hidden="1" x14ac:dyDescent="0.2">
      <c r="A235" s="645" t="s">
        <v>54</v>
      </c>
      <c r="J235" s="645">
        <f>SUM(W232:W234)</f>
        <v>0</v>
      </c>
      <c r="K235" s="645">
        <f>SUM(X232:X234)</f>
        <v>0</v>
      </c>
    </row>
    <row r="236" spans="1:12" hidden="1" x14ac:dyDescent="0.2">
      <c r="A236" s="645" t="s">
        <v>55</v>
      </c>
      <c r="J236" s="645">
        <f>SUM(Y232:Y235)</f>
        <v>0</v>
      </c>
      <c r="K236" s="645">
        <f>SUM(Z232:Z235)</f>
        <v>0</v>
      </c>
    </row>
    <row r="237" spans="1:12" hidden="1" x14ac:dyDescent="0.2"/>
    <row r="238" spans="1:12" ht="16.5" hidden="1" x14ac:dyDescent="0.25">
      <c r="A238" s="407" t="str">
        <f>CONCATENATE("Подраздел: ",IF([85]Source!G1744&lt;&gt;"Новый подраздел", [85]Source!G1744, ""))</f>
        <v>Подраздел: В2-29</v>
      </c>
      <c r="B238" s="407"/>
      <c r="C238" s="407"/>
      <c r="D238" s="407"/>
      <c r="E238" s="407"/>
      <c r="F238" s="407"/>
      <c r="G238" s="407"/>
      <c r="H238" s="407"/>
      <c r="I238" s="407"/>
      <c r="J238" s="407"/>
      <c r="K238" s="407"/>
      <c r="L238" s="407"/>
    </row>
    <row r="239" spans="1:12" hidden="1" x14ac:dyDescent="0.2"/>
    <row r="240" spans="1:12" ht="15" hidden="1" x14ac:dyDescent="0.25">
      <c r="A240" s="477" t="str">
        <f>CONCATENATE("Итого по подразделу: ",IF([85]Source!G1775&lt;&gt;"Новый подраздел", [85]Source!G1775, ""))</f>
        <v>Итого по подразделу: В2-29</v>
      </c>
      <c r="B240" s="477"/>
      <c r="C240" s="477"/>
      <c r="D240" s="477"/>
      <c r="E240" s="477"/>
      <c r="F240" s="477"/>
      <c r="G240" s="477"/>
      <c r="H240" s="477"/>
      <c r="I240" s="693">
        <f>SUM(O238:O239)</f>
        <v>0</v>
      </c>
      <c r="J240" s="694"/>
      <c r="K240" s="693">
        <f>SUM(P238:P239)</f>
        <v>0</v>
      </c>
      <c r="L240" s="694"/>
    </row>
    <row r="241" spans="1:12" hidden="1" x14ac:dyDescent="0.2">
      <c r="A241" s="645" t="s">
        <v>54</v>
      </c>
      <c r="J241" s="645">
        <f>SUM(W238:W240)</f>
        <v>0</v>
      </c>
      <c r="K241" s="645">
        <f>SUM(X238:X240)</f>
        <v>0</v>
      </c>
    </row>
    <row r="242" spans="1:12" hidden="1" x14ac:dyDescent="0.2">
      <c r="A242" s="645" t="s">
        <v>55</v>
      </c>
      <c r="J242" s="645">
        <f>SUM(Y238:Y241)</f>
        <v>0</v>
      </c>
      <c r="K242" s="645">
        <f>SUM(Z238:Z241)</f>
        <v>0</v>
      </c>
    </row>
    <row r="243" spans="1:12" hidden="1" x14ac:dyDescent="0.2"/>
    <row r="244" spans="1:12" ht="16.5" hidden="1" x14ac:dyDescent="0.25">
      <c r="A244" s="407" t="str">
        <f>CONCATENATE("Подраздел: ",IF([85]Source!G1805&lt;&gt;"Новый подраздел", [85]Source!G1805, ""))</f>
        <v>Подраздел: В2-30, В2-30р</v>
      </c>
      <c r="B244" s="407"/>
      <c r="C244" s="407"/>
      <c r="D244" s="407"/>
      <c r="E244" s="407"/>
      <c r="F244" s="407"/>
      <c r="G244" s="407"/>
      <c r="H244" s="407"/>
      <c r="I244" s="407"/>
      <c r="J244" s="407"/>
      <c r="K244" s="407"/>
      <c r="L244" s="407"/>
    </row>
    <row r="245" spans="1:12" hidden="1" x14ac:dyDescent="0.2"/>
    <row r="246" spans="1:12" ht="15" hidden="1" x14ac:dyDescent="0.25">
      <c r="A246" s="477" t="str">
        <f>CONCATENATE("Итого по подразделу: ",IF([85]Source!G1832&lt;&gt;"Новый подраздел", [85]Source!G1832, ""))</f>
        <v>Итого по подразделу: В2-30, В2-30р</v>
      </c>
      <c r="B246" s="477"/>
      <c r="C246" s="477"/>
      <c r="D246" s="477"/>
      <c r="E246" s="477"/>
      <c r="F246" s="477"/>
      <c r="G246" s="477"/>
      <c r="H246" s="477"/>
      <c r="I246" s="693">
        <f>SUM(O244:O245)</f>
        <v>0</v>
      </c>
      <c r="J246" s="694"/>
      <c r="K246" s="693">
        <f>SUM(P244:P245)</f>
        <v>0</v>
      </c>
      <c r="L246" s="694"/>
    </row>
    <row r="247" spans="1:12" hidden="1" x14ac:dyDescent="0.2">
      <c r="A247" s="645" t="s">
        <v>54</v>
      </c>
      <c r="J247" s="645">
        <f>SUM(W244:W246)</f>
        <v>0</v>
      </c>
      <c r="K247" s="645">
        <f>SUM(X244:X246)</f>
        <v>0</v>
      </c>
    </row>
    <row r="248" spans="1:12" hidden="1" x14ac:dyDescent="0.2">
      <c r="A248" s="645" t="s">
        <v>55</v>
      </c>
      <c r="J248" s="645">
        <f>SUM(Y244:Y247)</f>
        <v>0</v>
      </c>
      <c r="K248" s="645">
        <f>SUM(Z244:Z247)</f>
        <v>0</v>
      </c>
    </row>
    <row r="249" spans="1:12" hidden="1" x14ac:dyDescent="0.2"/>
    <row r="250" spans="1:12" ht="16.5" hidden="1" x14ac:dyDescent="0.25">
      <c r="A250" s="407" t="str">
        <f>CONCATENATE("Подраздел: ",IF([85]Source!G1862&lt;&gt;"Новый подраздел", [85]Source!G1862, ""))</f>
        <v>Подраздел: В20-31</v>
      </c>
      <c r="B250" s="407"/>
      <c r="C250" s="407"/>
      <c r="D250" s="407"/>
      <c r="E250" s="407"/>
      <c r="F250" s="407"/>
      <c r="G250" s="407"/>
      <c r="H250" s="407"/>
      <c r="I250" s="407"/>
      <c r="J250" s="407"/>
      <c r="K250" s="407"/>
      <c r="L250" s="407"/>
    </row>
    <row r="251" spans="1:12" hidden="1" x14ac:dyDescent="0.2"/>
    <row r="252" spans="1:12" ht="15" hidden="1" x14ac:dyDescent="0.25">
      <c r="A252" s="477" t="str">
        <f>CONCATENATE("Итого по подразделу: ",IF([85]Source!G1891&lt;&gt;"Новый подраздел", [85]Source!G1891, ""))</f>
        <v>Итого по подразделу: В20-31</v>
      </c>
      <c r="B252" s="477"/>
      <c r="C252" s="477"/>
      <c r="D252" s="477"/>
      <c r="E252" s="477"/>
      <c r="F252" s="477"/>
      <c r="G252" s="477"/>
      <c r="H252" s="477"/>
      <c r="I252" s="693">
        <f>SUM(O250:O251)</f>
        <v>0</v>
      </c>
      <c r="J252" s="694"/>
      <c r="K252" s="693">
        <f>SUM(P250:P251)</f>
        <v>0</v>
      </c>
      <c r="L252" s="694"/>
    </row>
    <row r="253" spans="1:12" hidden="1" x14ac:dyDescent="0.2">
      <c r="A253" s="645" t="s">
        <v>54</v>
      </c>
      <c r="J253" s="645">
        <f>SUM(W250:W252)</f>
        <v>0</v>
      </c>
      <c r="K253" s="645">
        <f>SUM(X250:X252)</f>
        <v>0</v>
      </c>
    </row>
    <row r="254" spans="1:12" hidden="1" x14ac:dyDescent="0.2">
      <c r="A254" s="645" t="s">
        <v>55</v>
      </c>
      <c r="J254" s="645">
        <f>SUM(Y250:Y253)</f>
        <v>0</v>
      </c>
      <c r="K254" s="645">
        <f>SUM(Z250:Z253)</f>
        <v>0</v>
      </c>
    </row>
    <row r="255" spans="1:12" hidden="1" x14ac:dyDescent="0.2"/>
    <row r="256" spans="1:12" ht="16.5" hidden="1" x14ac:dyDescent="0.25">
      <c r="A256" s="407" t="str">
        <f>CONCATENATE("Подраздел: ",IF([85]Source!G1921&lt;&gt;"Новый подраздел", [85]Source!G1921, ""))</f>
        <v>Подраздел: В2-34, В2-34р</v>
      </c>
      <c r="B256" s="407"/>
      <c r="C256" s="407"/>
      <c r="D256" s="407"/>
      <c r="E256" s="407"/>
      <c r="F256" s="407"/>
      <c r="G256" s="407"/>
      <c r="H256" s="407"/>
      <c r="I256" s="407"/>
      <c r="J256" s="407"/>
      <c r="K256" s="407"/>
      <c r="L256" s="407"/>
    </row>
    <row r="257" spans="1:12" hidden="1" x14ac:dyDescent="0.2"/>
    <row r="258" spans="1:12" ht="15" hidden="1" x14ac:dyDescent="0.25">
      <c r="A258" s="477" t="str">
        <f>CONCATENATE("Итого по подразделу: ",IF([85]Source!G1930&lt;&gt;"Новый подраздел", [85]Source!G1930, ""))</f>
        <v>Итого по подразделу: В2-34, В2-34р</v>
      </c>
      <c r="B258" s="477"/>
      <c r="C258" s="477"/>
      <c r="D258" s="477"/>
      <c r="E258" s="477"/>
      <c r="F258" s="477"/>
      <c r="G258" s="477"/>
      <c r="H258" s="477"/>
      <c r="I258" s="693">
        <f>SUM(O256:O257)</f>
        <v>0</v>
      </c>
      <c r="J258" s="694"/>
      <c r="K258" s="693">
        <f>SUM(P256:P257)</f>
        <v>0</v>
      </c>
      <c r="L258" s="694"/>
    </row>
    <row r="259" spans="1:12" hidden="1" x14ac:dyDescent="0.2">
      <c r="A259" s="645" t="s">
        <v>54</v>
      </c>
      <c r="J259" s="645">
        <f>SUM(W256:W258)</f>
        <v>0</v>
      </c>
      <c r="K259" s="645">
        <f>SUM(X256:X258)</f>
        <v>0</v>
      </c>
    </row>
    <row r="260" spans="1:12" hidden="1" x14ac:dyDescent="0.2">
      <c r="A260" s="645" t="s">
        <v>55</v>
      </c>
      <c r="J260" s="645">
        <f>SUM(Y256:Y259)</f>
        <v>0</v>
      </c>
      <c r="K260" s="645">
        <f>SUM(Z256:Z259)</f>
        <v>0</v>
      </c>
    </row>
    <row r="261" spans="1:12" hidden="1" x14ac:dyDescent="0.2"/>
    <row r="262" spans="1:12" ht="16.5" hidden="1" x14ac:dyDescent="0.25">
      <c r="A262" s="407" t="str">
        <f>CONCATENATE("Подраздел: ",IF([85]Source!G1960&lt;&gt;"Новый подраздел", [85]Source!G1960, ""))</f>
        <v>Подраздел: В2-36</v>
      </c>
      <c r="B262" s="407"/>
      <c r="C262" s="407"/>
      <c r="D262" s="407"/>
      <c r="E262" s="407"/>
      <c r="F262" s="407"/>
      <c r="G262" s="407"/>
      <c r="H262" s="407"/>
      <c r="I262" s="407"/>
      <c r="J262" s="407"/>
      <c r="K262" s="407"/>
      <c r="L262" s="407"/>
    </row>
    <row r="263" spans="1:12" hidden="1" x14ac:dyDescent="0.2"/>
    <row r="264" spans="1:12" ht="15" hidden="1" x14ac:dyDescent="0.25">
      <c r="A264" s="477" t="str">
        <f>CONCATENATE("Итого по подразделу: ",IF([85]Source!G1981&lt;&gt;"Новый подраздел", [85]Source!G1981, ""))</f>
        <v>Итого по подразделу: В2-36</v>
      </c>
      <c r="B264" s="477"/>
      <c r="C264" s="477"/>
      <c r="D264" s="477"/>
      <c r="E264" s="477"/>
      <c r="F264" s="477"/>
      <c r="G264" s="477"/>
      <c r="H264" s="477"/>
      <c r="I264" s="693">
        <f>SUM(O262:O263)</f>
        <v>0</v>
      </c>
      <c r="J264" s="694"/>
      <c r="K264" s="693">
        <f>SUM(P262:P263)</f>
        <v>0</v>
      </c>
      <c r="L264" s="694"/>
    </row>
    <row r="265" spans="1:12" hidden="1" x14ac:dyDescent="0.2">
      <c r="A265" s="645" t="s">
        <v>54</v>
      </c>
      <c r="J265" s="645">
        <f>SUM(W262:W264)</f>
        <v>0</v>
      </c>
      <c r="K265" s="645">
        <f>SUM(X262:X264)</f>
        <v>0</v>
      </c>
    </row>
    <row r="266" spans="1:12" hidden="1" x14ac:dyDescent="0.2">
      <c r="A266" s="645" t="s">
        <v>55</v>
      </c>
      <c r="J266" s="645">
        <f>SUM(Y262:Y265)</f>
        <v>0</v>
      </c>
      <c r="K266" s="645">
        <f>SUM(Z262:Z265)</f>
        <v>0</v>
      </c>
    </row>
    <row r="267" spans="1:12" hidden="1" x14ac:dyDescent="0.2"/>
    <row r="268" spans="1:12" ht="16.5" hidden="1" x14ac:dyDescent="0.25">
      <c r="A268" s="407" t="str">
        <f>CONCATENATE("Подраздел: ",IF([85]Source!G2011&lt;&gt;"Новый подраздел", [85]Source!G2011, ""))</f>
        <v>Подраздел: В2-37</v>
      </c>
      <c r="B268" s="407"/>
      <c r="C268" s="407"/>
      <c r="D268" s="407"/>
      <c r="E268" s="407"/>
      <c r="F268" s="407"/>
      <c r="G268" s="407"/>
      <c r="H268" s="407"/>
      <c r="I268" s="407"/>
      <c r="J268" s="407"/>
      <c r="K268" s="407"/>
      <c r="L268" s="407"/>
    </row>
    <row r="269" spans="1:12" hidden="1" x14ac:dyDescent="0.2"/>
    <row r="270" spans="1:12" ht="15" hidden="1" x14ac:dyDescent="0.25">
      <c r="A270" s="477" t="str">
        <f>CONCATENATE("Итого по подразделу: ",IF([85]Source!G2020&lt;&gt;"Новый подраздел", [85]Source!G2020, ""))</f>
        <v>Итого по подразделу: В2-37</v>
      </c>
      <c r="B270" s="477"/>
      <c r="C270" s="477"/>
      <c r="D270" s="477"/>
      <c r="E270" s="477"/>
      <c r="F270" s="477"/>
      <c r="G270" s="477"/>
      <c r="H270" s="477"/>
      <c r="I270" s="693">
        <f>SUM(O268:O269)</f>
        <v>0</v>
      </c>
      <c r="J270" s="694"/>
      <c r="K270" s="693">
        <f>SUM(P268:P269)</f>
        <v>0</v>
      </c>
      <c r="L270" s="694"/>
    </row>
    <row r="271" spans="1:12" hidden="1" x14ac:dyDescent="0.2">
      <c r="A271" s="645" t="s">
        <v>54</v>
      </c>
      <c r="J271" s="645">
        <f>SUM(W268:W270)</f>
        <v>0</v>
      </c>
      <c r="K271" s="645">
        <f>SUM(X268:X270)</f>
        <v>0</v>
      </c>
    </row>
    <row r="272" spans="1:12" hidden="1" x14ac:dyDescent="0.2">
      <c r="A272" s="645" t="s">
        <v>55</v>
      </c>
      <c r="J272" s="645">
        <f>SUM(Y268:Y271)</f>
        <v>0</v>
      </c>
      <c r="K272" s="645">
        <f>SUM(Z268:Z271)</f>
        <v>0</v>
      </c>
    </row>
    <row r="273" spans="1:12" hidden="1" x14ac:dyDescent="0.2"/>
    <row r="274" spans="1:12" ht="16.5" hidden="1" x14ac:dyDescent="0.25">
      <c r="A274" s="407" t="str">
        <f>CONCATENATE("Подраздел: ",IF([85]Source!G2050&lt;&gt;"Новый подраздел", [85]Source!G2050, ""))</f>
        <v>Подраздел: В2-38, В2-38р</v>
      </c>
      <c r="B274" s="407"/>
      <c r="C274" s="407"/>
      <c r="D274" s="407"/>
      <c r="E274" s="407"/>
      <c r="F274" s="407"/>
      <c r="G274" s="407"/>
      <c r="H274" s="407"/>
      <c r="I274" s="407"/>
      <c r="J274" s="407"/>
      <c r="K274" s="407"/>
      <c r="L274" s="407"/>
    </row>
    <row r="275" spans="1:12" hidden="1" x14ac:dyDescent="0.2"/>
    <row r="276" spans="1:12" ht="15" hidden="1" x14ac:dyDescent="0.25">
      <c r="A276" s="477" t="str">
        <f>CONCATENATE("Итого по подразделу: ",IF([85]Source!G2077&lt;&gt;"Новый подраздел", [85]Source!G2077, ""))</f>
        <v>Итого по подразделу: В2-38, В2-38р</v>
      </c>
      <c r="B276" s="477"/>
      <c r="C276" s="477"/>
      <c r="D276" s="477"/>
      <c r="E276" s="477"/>
      <c r="F276" s="477"/>
      <c r="G276" s="477"/>
      <c r="H276" s="477"/>
      <c r="I276" s="693">
        <f>SUM(O274:O275)</f>
        <v>0</v>
      </c>
      <c r="J276" s="694"/>
      <c r="K276" s="693">
        <f>SUM(P274:P275)</f>
        <v>0</v>
      </c>
      <c r="L276" s="694"/>
    </row>
    <row r="277" spans="1:12" hidden="1" x14ac:dyDescent="0.2">
      <c r="A277" s="645" t="s">
        <v>54</v>
      </c>
      <c r="J277" s="645">
        <f>SUM(W274:W276)</f>
        <v>0</v>
      </c>
      <c r="K277" s="645">
        <f>SUM(X274:X276)</f>
        <v>0</v>
      </c>
    </row>
    <row r="278" spans="1:12" hidden="1" x14ac:dyDescent="0.2">
      <c r="A278" s="645" t="s">
        <v>55</v>
      </c>
      <c r="J278" s="645">
        <f>SUM(Y274:Y277)</f>
        <v>0</v>
      </c>
      <c r="K278" s="645">
        <f>SUM(Z274:Z277)</f>
        <v>0</v>
      </c>
    </row>
    <row r="279" spans="1:12" hidden="1" x14ac:dyDescent="0.2"/>
    <row r="280" spans="1:12" ht="16.5" hidden="1" x14ac:dyDescent="0.25">
      <c r="A280" s="407" t="str">
        <f>CONCATENATE("Подраздел: ",IF([85]Source!G2107&lt;&gt;"Новый подраздел", [85]Source!G2107, ""))</f>
        <v>Подраздел: В2-40</v>
      </c>
      <c r="B280" s="407"/>
      <c r="C280" s="407"/>
      <c r="D280" s="407"/>
      <c r="E280" s="407"/>
      <c r="F280" s="407"/>
      <c r="G280" s="407"/>
      <c r="H280" s="407"/>
      <c r="I280" s="407"/>
      <c r="J280" s="407"/>
      <c r="K280" s="407"/>
      <c r="L280" s="407"/>
    </row>
    <row r="281" spans="1:12" hidden="1" x14ac:dyDescent="0.2"/>
    <row r="282" spans="1:12" ht="15" hidden="1" x14ac:dyDescent="0.25">
      <c r="A282" s="477" t="str">
        <f>CONCATENATE("Итого по подразделу: ",IF([85]Source!G2134&lt;&gt;"Новый подраздел", [85]Source!G2134, ""))</f>
        <v>Итого по подразделу: В2-40</v>
      </c>
      <c r="B282" s="477"/>
      <c r="C282" s="477"/>
      <c r="D282" s="477"/>
      <c r="E282" s="477"/>
      <c r="F282" s="477"/>
      <c r="G282" s="477"/>
      <c r="H282" s="477"/>
      <c r="I282" s="693">
        <f>SUM(O280:O281)</f>
        <v>0</v>
      </c>
      <c r="J282" s="694"/>
      <c r="K282" s="693">
        <f>SUM(P280:P281)</f>
        <v>0</v>
      </c>
      <c r="L282" s="694"/>
    </row>
    <row r="283" spans="1:12" hidden="1" x14ac:dyDescent="0.2">
      <c r="A283" s="645" t="s">
        <v>54</v>
      </c>
      <c r="J283" s="645">
        <f>SUM(W280:W282)</f>
        <v>0</v>
      </c>
      <c r="K283" s="645">
        <f>SUM(X280:X282)</f>
        <v>0</v>
      </c>
    </row>
    <row r="284" spans="1:12" hidden="1" x14ac:dyDescent="0.2">
      <c r="A284" s="645" t="s">
        <v>55</v>
      </c>
      <c r="J284" s="645">
        <f>SUM(Y280:Y283)</f>
        <v>0</v>
      </c>
      <c r="K284" s="645">
        <f>SUM(Z280:Z283)</f>
        <v>0</v>
      </c>
    </row>
    <row r="285" spans="1:12" hidden="1" x14ac:dyDescent="0.2"/>
    <row r="286" spans="1:12" ht="16.5" hidden="1" x14ac:dyDescent="0.25">
      <c r="A286" s="407" t="str">
        <f>CONCATENATE("Подраздел: ",IF([85]Source!G2164&lt;&gt;"Новый подраздел", [85]Source!G2164, ""))</f>
        <v>Подраздел: В2-41</v>
      </c>
      <c r="B286" s="407"/>
      <c r="C286" s="407"/>
      <c r="D286" s="407"/>
      <c r="E286" s="407"/>
      <c r="F286" s="407"/>
      <c r="G286" s="407"/>
      <c r="H286" s="407"/>
      <c r="I286" s="407"/>
      <c r="J286" s="407"/>
      <c r="K286" s="407"/>
      <c r="L286" s="407"/>
    </row>
    <row r="287" spans="1:12" hidden="1" x14ac:dyDescent="0.2"/>
    <row r="288" spans="1:12" ht="15" hidden="1" x14ac:dyDescent="0.25">
      <c r="A288" s="477" t="str">
        <f>CONCATENATE("Итого по подразделу: ",IF([85]Source!G2195&lt;&gt;"Новый подраздел", [85]Source!G2195, ""))</f>
        <v>Итого по подразделу: В2-41</v>
      </c>
      <c r="B288" s="477"/>
      <c r="C288" s="477"/>
      <c r="D288" s="477"/>
      <c r="E288" s="477"/>
      <c r="F288" s="477"/>
      <c r="G288" s="477"/>
      <c r="H288" s="477"/>
      <c r="I288" s="693">
        <f>SUM(O286:O287)</f>
        <v>0</v>
      </c>
      <c r="J288" s="694"/>
      <c r="K288" s="693">
        <f>SUM(P286:P287)</f>
        <v>0</v>
      </c>
      <c r="L288" s="694"/>
    </row>
    <row r="289" spans="1:12" hidden="1" x14ac:dyDescent="0.2">
      <c r="A289" s="645" t="s">
        <v>54</v>
      </c>
      <c r="J289" s="645">
        <f>SUM(W286:W288)</f>
        <v>0</v>
      </c>
      <c r="K289" s="645">
        <f>SUM(X286:X288)</f>
        <v>0</v>
      </c>
    </row>
    <row r="290" spans="1:12" hidden="1" x14ac:dyDescent="0.2">
      <c r="A290" s="645" t="s">
        <v>55</v>
      </c>
      <c r="J290" s="645">
        <f>SUM(Y286:Y289)</f>
        <v>0</v>
      </c>
      <c r="K290" s="645">
        <f>SUM(Z286:Z289)</f>
        <v>0</v>
      </c>
    </row>
    <row r="291" spans="1:12" hidden="1" x14ac:dyDescent="0.2"/>
    <row r="292" spans="1:12" ht="16.5" hidden="1" x14ac:dyDescent="0.25">
      <c r="A292" s="407" t="str">
        <f>CONCATENATE("Подраздел: ",IF([85]Source!G2225&lt;&gt;"Новый подраздел", [85]Source!G2225, ""))</f>
        <v>Подраздел: В2-42, В2-42р</v>
      </c>
      <c r="B292" s="407"/>
      <c r="C292" s="407"/>
      <c r="D292" s="407"/>
      <c r="E292" s="407"/>
      <c r="F292" s="407"/>
      <c r="G292" s="407"/>
      <c r="H292" s="407"/>
      <c r="I292" s="407"/>
      <c r="J292" s="407"/>
      <c r="K292" s="407"/>
      <c r="L292" s="407"/>
    </row>
    <row r="293" spans="1:12" hidden="1" x14ac:dyDescent="0.2"/>
    <row r="294" spans="1:12" ht="15" hidden="1" x14ac:dyDescent="0.25">
      <c r="A294" s="477" t="str">
        <f>CONCATENATE("Итого по подразделу: ",IF([85]Source!G2254&lt;&gt;"Новый подраздел", [85]Source!G2254, ""))</f>
        <v>Итого по подразделу: В2-42, В2-42р</v>
      </c>
      <c r="B294" s="477"/>
      <c r="C294" s="477"/>
      <c r="D294" s="477"/>
      <c r="E294" s="477"/>
      <c r="F294" s="477"/>
      <c r="G294" s="477"/>
      <c r="H294" s="477"/>
      <c r="I294" s="693">
        <f>SUM(O292:O293)</f>
        <v>0</v>
      </c>
      <c r="J294" s="694"/>
      <c r="K294" s="693">
        <f>SUM(P292:P293)</f>
        <v>0</v>
      </c>
      <c r="L294" s="694"/>
    </row>
    <row r="295" spans="1:12" hidden="1" x14ac:dyDescent="0.2">
      <c r="A295" s="645" t="s">
        <v>54</v>
      </c>
      <c r="J295" s="645">
        <f>SUM(W292:W294)</f>
        <v>0</v>
      </c>
      <c r="K295" s="645">
        <f>SUM(X292:X294)</f>
        <v>0</v>
      </c>
    </row>
    <row r="296" spans="1:12" hidden="1" x14ac:dyDescent="0.2">
      <c r="A296" s="645" t="s">
        <v>55</v>
      </c>
      <c r="J296" s="645">
        <f>SUM(Y292:Y295)</f>
        <v>0</v>
      </c>
      <c r="K296" s="645">
        <f>SUM(Z292:Z295)</f>
        <v>0</v>
      </c>
    </row>
    <row r="297" spans="1:12" hidden="1" x14ac:dyDescent="0.2"/>
    <row r="298" spans="1:12" ht="16.5" hidden="1" x14ac:dyDescent="0.25">
      <c r="A298" s="407" t="str">
        <f>CONCATENATE("Подраздел: ",IF([85]Source!G2284&lt;&gt;"Новый подраздел", [85]Source!G2284, ""))</f>
        <v>Подраздел: В2-43</v>
      </c>
      <c r="B298" s="407"/>
      <c r="C298" s="407"/>
      <c r="D298" s="407"/>
      <c r="E298" s="407"/>
      <c r="F298" s="407"/>
      <c r="G298" s="407"/>
      <c r="H298" s="407"/>
      <c r="I298" s="407"/>
      <c r="J298" s="407"/>
      <c r="K298" s="407"/>
      <c r="L298" s="407"/>
    </row>
    <row r="299" spans="1:12" hidden="1" x14ac:dyDescent="0.2"/>
    <row r="300" spans="1:12" ht="15" hidden="1" x14ac:dyDescent="0.25">
      <c r="A300" s="477" t="str">
        <f>CONCATENATE("Итого по подразделу: ",IF([85]Source!G2309&lt;&gt;"Новый подраздел", [85]Source!G2309, ""))</f>
        <v>Итого по подразделу: В2-43</v>
      </c>
      <c r="B300" s="477"/>
      <c r="C300" s="477"/>
      <c r="D300" s="477"/>
      <c r="E300" s="477"/>
      <c r="F300" s="477"/>
      <c r="G300" s="477"/>
      <c r="H300" s="477"/>
      <c r="I300" s="693">
        <f>SUM(O298:O299)</f>
        <v>0</v>
      </c>
      <c r="J300" s="694"/>
      <c r="K300" s="693">
        <f>SUM(P298:P299)</f>
        <v>0</v>
      </c>
      <c r="L300" s="694"/>
    </row>
    <row r="301" spans="1:12" hidden="1" x14ac:dyDescent="0.2">
      <c r="A301" s="645" t="s">
        <v>54</v>
      </c>
      <c r="J301" s="645">
        <f>SUM(W298:W300)</f>
        <v>0</v>
      </c>
      <c r="K301" s="645">
        <f>SUM(X298:X300)</f>
        <v>0</v>
      </c>
    </row>
    <row r="302" spans="1:12" hidden="1" x14ac:dyDescent="0.2">
      <c r="A302" s="645" t="s">
        <v>55</v>
      </c>
      <c r="J302" s="645">
        <f>SUM(Y298:Y301)</f>
        <v>0</v>
      </c>
      <c r="K302" s="645">
        <f>SUM(Z298:Z301)</f>
        <v>0</v>
      </c>
    </row>
    <row r="303" spans="1:12" hidden="1" x14ac:dyDescent="0.2"/>
    <row r="304" spans="1:12" ht="16.5" hidden="1" x14ac:dyDescent="0.25">
      <c r="A304" s="407" t="str">
        <f>CONCATENATE("Подраздел: ",IF([85]Source!G2339&lt;&gt;"Новый подраздел", [85]Source!G2339, ""))</f>
        <v>Подраздел: В2-44</v>
      </c>
      <c r="B304" s="407"/>
      <c r="C304" s="407"/>
      <c r="D304" s="407"/>
      <c r="E304" s="407"/>
      <c r="F304" s="407"/>
      <c r="G304" s="407"/>
      <c r="H304" s="407"/>
      <c r="I304" s="407"/>
      <c r="J304" s="407"/>
      <c r="K304" s="407"/>
      <c r="L304" s="407"/>
    </row>
    <row r="305" spans="1:12" hidden="1" x14ac:dyDescent="0.2"/>
    <row r="306" spans="1:12" ht="15" hidden="1" x14ac:dyDescent="0.25">
      <c r="A306" s="477" t="str">
        <f>CONCATENATE("Итого по подразделу: ",IF([85]Source!G2362&lt;&gt;"Новый подраздел", [85]Source!G2362, ""))</f>
        <v>Итого по подразделу: В2-44</v>
      </c>
      <c r="B306" s="477"/>
      <c r="C306" s="477"/>
      <c r="D306" s="477"/>
      <c r="E306" s="477"/>
      <c r="F306" s="477"/>
      <c r="G306" s="477"/>
      <c r="H306" s="477"/>
      <c r="I306" s="693">
        <f>SUM(O304:O305)</f>
        <v>0</v>
      </c>
      <c r="J306" s="694"/>
      <c r="K306" s="693">
        <f>SUM(P304:P305)</f>
        <v>0</v>
      </c>
      <c r="L306" s="694"/>
    </row>
    <row r="307" spans="1:12" hidden="1" x14ac:dyDescent="0.2">
      <c r="A307" s="645" t="s">
        <v>54</v>
      </c>
      <c r="J307" s="645">
        <f>SUM(W304:W306)</f>
        <v>0</v>
      </c>
      <c r="K307" s="645">
        <f>SUM(X304:X306)</f>
        <v>0</v>
      </c>
    </row>
    <row r="308" spans="1:12" hidden="1" x14ac:dyDescent="0.2">
      <c r="A308" s="645" t="s">
        <v>55</v>
      </c>
      <c r="J308" s="645">
        <f>SUM(Y304:Y307)</f>
        <v>0</v>
      </c>
      <c r="K308" s="645">
        <f>SUM(Z304:Z307)</f>
        <v>0</v>
      </c>
    </row>
    <row r="309" spans="1:12" hidden="1" x14ac:dyDescent="0.2"/>
    <row r="310" spans="1:12" ht="16.5" hidden="1" x14ac:dyDescent="0.25">
      <c r="A310" s="407" t="str">
        <f>CONCATENATE("Подраздел: ",IF([85]Source!G2392&lt;&gt;"Новый подраздел", [85]Source!G2392, ""))</f>
        <v>Подраздел: В2-48</v>
      </c>
      <c r="B310" s="407"/>
      <c r="C310" s="407"/>
      <c r="D310" s="407"/>
      <c r="E310" s="407"/>
      <c r="F310" s="407"/>
      <c r="G310" s="407"/>
      <c r="H310" s="407"/>
      <c r="I310" s="407"/>
      <c r="J310" s="407"/>
      <c r="K310" s="407"/>
      <c r="L310" s="407"/>
    </row>
    <row r="311" spans="1:12" hidden="1" x14ac:dyDescent="0.2"/>
    <row r="312" spans="1:12" ht="15" hidden="1" x14ac:dyDescent="0.25">
      <c r="A312" s="477" t="str">
        <f>CONCATENATE("Итого по подразделу: ",IF([85]Source!G2405&lt;&gt;"Новый подраздел", [85]Source!G2405, ""))</f>
        <v>Итого по подразделу: В2-48</v>
      </c>
      <c r="B312" s="477"/>
      <c r="C312" s="477"/>
      <c r="D312" s="477"/>
      <c r="E312" s="477"/>
      <c r="F312" s="477"/>
      <c r="G312" s="477"/>
      <c r="H312" s="477"/>
      <c r="I312" s="693">
        <f>SUM(O310:O311)</f>
        <v>0</v>
      </c>
      <c r="J312" s="694"/>
      <c r="K312" s="693">
        <f>SUM(P310:P311)</f>
        <v>0</v>
      </c>
      <c r="L312" s="694"/>
    </row>
    <row r="313" spans="1:12" hidden="1" x14ac:dyDescent="0.2">
      <c r="A313" s="645" t="s">
        <v>54</v>
      </c>
      <c r="J313" s="645">
        <f>SUM(W310:W312)</f>
        <v>0</v>
      </c>
      <c r="K313" s="645">
        <f>SUM(X310:X312)</f>
        <v>0</v>
      </c>
    </row>
    <row r="314" spans="1:12" hidden="1" x14ac:dyDescent="0.2">
      <c r="A314" s="645" t="s">
        <v>55</v>
      </c>
      <c r="J314" s="645">
        <f>SUM(Y310:Y313)</f>
        <v>0</v>
      </c>
      <c r="K314" s="645">
        <f>SUM(Z310:Z313)</f>
        <v>0</v>
      </c>
    </row>
    <row r="315" spans="1:12" hidden="1" x14ac:dyDescent="0.2"/>
    <row r="316" spans="1:12" ht="16.5" hidden="1" x14ac:dyDescent="0.25">
      <c r="A316" s="407" t="str">
        <f>CONCATENATE("Подраздел: ",IF([85]Source!G2435&lt;&gt;"Новый подраздел", [85]Source!G2435, ""))</f>
        <v>Подраздел: В2-50, В2-50р</v>
      </c>
      <c r="B316" s="407"/>
      <c r="C316" s="407"/>
      <c r="D316" s="407"/>
      <c r="E316" s="407"/>
      <c r="F316" s="407"/>
      <c r="G316" s="407"/>
      <c r="H316" s="407"/>
      <c r="I316" s="407"/>
      <c r="J316" s="407"/>
      <c r="K316" s="407"/>
      <c r="L316" s="407"/>
    </row>
    <row r="317" spans="1:12" hidden="1" x14ac:dyDescent="0.2"/>
    <row r="318" spans="1:12" ht="15" hidden="1" x14ac:dyDescent="0.25">
      <c r="A318" s="477" t="str">
        <f>CONCATENATE("Итого по подразделу: ",IF([85]Source!G2462&lt;&gt;"Новый подраздел", [85]Source!G2462, ""))</f>
        <v>Итого по подразделу: В2-50, В2-50р</v>
      </c>
      <c r="B318" s="477"/>
      <c r="C318" s="477"/>
      <c r="D318" s="477"/>
      <c r="E318" s="477"/>
      <c r="F318" s="477"/>
      <c r="G318" s="477"/>
      <c r="H318" s="477"/>
      <c r="I318" s="693">
        <f>SUM(O316:O317)</f>
        <v>0</v>
      </c>
      <c r="J318" s="694"/>
      <c r="K318" s="693">
        <f>SUM(P316:P317)</f>
        <v>0</v>
      </c>
      <c r="L318" s="694"/>
    </row>
    <row r="319" spans="1:12" hidden="1" x14ac:dyDescent="0.2">
      <c r="A319" s="645" t="s">
        <v>54</v>
      </c>
      <c r="J319" s="645">
        <f>SUM(W316:W318)</f>
        <v>0</v>
      </c>
      <c r="K319" s="645">
        <f>SUM(X316:X318)</f>
        <v>0</v>
      </c>
    </row>
    <row r="320" spans="1:12" hidden="1" x14ac:dyDescent="0.2">
      <c r="A320" s="645" t="s">
        <v>55</v>
      </c>
      <c r="J320" s="645">
        <f>SUM(Y316:Y319)</f>
        <v>0</v>
      </c>
      <c r="K320" s="645">
        <f>SUM(Z316:Z319)</f>
        <v>0</v>
      </c>
    </row>
    <row r="321" spans="1:12" hidden="1" x14ac:dyDescent="0.2"/>
    <row r="322" spans="1:12" ht="16.5" hidden="1" x14ac:dyDescent="0.25">
      <c r="A322" s="407" t="str">
        <f>CONCATENATE("Подраздел: ",IF([85]Source!G2492&lt;&gt;"Новый подраздел", [85]Source!G2492, ""))</f>
        <v>Подраздел: В2-52</v>
      </c>
      <c r="B322" s="407"/>
      <c r="C322" s="407"/>
      <c r="D322" s="407"/>
      <c r="E322" s="407"/>
      <c r="F322" s="407"/>
      <c r="G322" s="407"/>
      <c r="H322" s="407"/>
      <c r="I322" s="407"/>
      <c r="J322" s="407"/>
      <c r="K322" s="407"/>
      <c r="L322" s="407"/>
    </row>
    <row r="323" spans="1:12" hidden="1" x14ac:dyDescent="0.2"/>
    <row r="324" spans="1:12" ht="15" hidden="1" x14ac:dyDescent="0.25">
      <c r="A324" s="477" t="str">
        <f>CONCATENATE("Итого по подразделу: ",IF([85]Source!G2501&lt;&gt;"Новый подраздел", [85]Source!G2501, ""))</f>
        <v>Итого по подразделу: В2-52</v>
      </c>
      <c r="B324" s="477"/>
      <c r="C324" s="477"/>
      <c r="D324" s="477"/>
      <c r="E324" s="477"/>
      <c r="F324" s="477"/>
      <c r="G324" s="477"/>
      <c r="H324" s="477"/>
      <c r="I324" s="693">
        <f>SUM(O322:O323)</f>
        <v>0</v>
      </c>
      <c r="J324" s="694"/>
      <c r="K324" s="693">
        <f>SUM(P322:P323)</f>
        <v>0</v>
      </c>
      <c r="L324" s="694"/>
    </row>
    <row r="325" spans="1:12" hidden="1" x14ac:dyDescent="0.2">
      <c r="A325" s="645" t="s">
        <v>54</v>
      </c>
      <c r="J325" s="645">
        <f>SUM(W322:W324)</f>
        <v>0</v>
      </c>
      <c r="K325" s="645">
        <f>SUM(X322:X324)</f>
        <v>0</v>
      </c>
    </row>
    <row r="326" spans="1:12" hidden="1" x14ac:dyDescent="0.2">
      <c r="A326" s="645" t="s">
        <v>55</v>
      </c>
      <c r="J326" s="645">
        <f>SUM(Y322:Y325)</f>
        <v>0</v>
      </c>
      <c r="K326" s="645">
        <f>SUM(Z322:Z325)</f>
        <v>0</v>
      </c>
    </row>
    <row r="327" spans="1:12" hidden="1" x14ac:dyDescent="0.2"/>
    <row r="328" spans="1:12" ht="16.5" hidden="1" x14ac:dyDescent="0.25">
      <c r="A328" s="407" t="str">
        <f>CONCATENATE("Подраздел: ",IF([85]Source!G2531&lt;&gt;"Новый подраздел", [85]Source!G2531, ""))</f>
        <v>Подраздел: В2-58</v>
      </c>
      <c r="B328" s="407"/>
      <c r="C328" s="407"/>
      <c r="D328" s="407"/>
      <c r="E328" s="407"/>
      <c r="F328" s="407"/>
      <c r="G328" s="407"/>
      <c r="H328" s="407"/>
      <c r="I328" s="407"/>
      <c r="J328" s="407"/>
      <c r="K328" s="407"/>
      <c r="L328" s="407"/>
    </row>
    <row r="329" spans="1:12" hidden="1" x14ac:dyDescent="0.2"/>
    <row r="330" spans="1:12" ht="15" hidden="1" x14ac:dyDescent="0.25">
      <c r="A330" s="477" t="str">
        <f>CONCATENATE("Итого по подразделу: ",IF([85]Source!G2554&lt;&gt;"Новый подраздел", [85]Source!G2554, ""))</f>
        <v>Итого по подразделу: В2-58</v>
      </c>
      <c r="B330" s="477"/>
      <c r="C330" s="477"/>
      <c r="D330" s="477"/>
      <c r="E330" s="477"/>
      <c r="F330" s="477"/>
      <c r="G330" s="477"/>
      <c r="H330" s="477"/>
      <c r="I330" s="693">
        <f>SUM(O328:O329)</f>
        <v>0</v>
      </c>
      <c r="J330" s="694"/>
      <c r="K330" s="693">
        <f>SUM(P328:P329)</f>
        <v>0</v>
      </c>
      <c r="L330" s="694"/>
    </row>
    <row r="331" spans="1:12" hidden="1" x14ac:dyDescent="0.2">
      <c r="A331" s="645" t="s">
        <v>54</v>
      </c>
      <c r="J331" s="645">
        <f>SUM(W328:W330)</f>
        <v>0</v>
      </c>
      <c r="K331" s="645">
        <f>SUM(X328:X330)</f>
        <v>0</v>
      </c>
    </row>
    <row r="332" spans="1:12" hidden="1" x14ac:dyDescent="0.2">
      <c r="A332" s="645" t="s">
        <v>55</v>
      </c>
      <c r="J332" s="645">
        <f>SUM(Y328:Y331)</f>
        <v>0</v>
      </c>
      <c r="K332" s="645">
        <f>SUM(Z328:Z331)</f>
        <v>0</v>
      </c>
    </row>
    <row r="333" spans="1:12" hidden="1" x14ac:dyDescent="0.2"/>
    <row r="334" spans="1:12" ht="16.5" hidden="1" x14ac:dyDescent="0.25">
      <c r="A334" s="407" t="str">
        <f>CONCATENATE("Подраздел: ",IF([85]Source!G2584&lt;&gt;"Новый подраздел", [85]Source!G2584, ""))</f>
        <v>Подраздел: Дополнительные материалы и оборудование</v>
      </c>
      <c r="B334" s="407"/>
      <c r="C334" s="407"/>
      <c r="D334" s="407"/>
      <c r="E334" s="407"/>
      <c r="F334" s="407"/>
      <c r="G334" s="407"/>
      <c r="H334" s="407"/>
      <c r="I334" s="407"/>
      <c r="J334" s="407"/>
      <c r="K334" s="407"/>
      <c r="L334" s="407"/>
    </row>
    <row r="335" spans="1:12" hidden="1" x14ac:dyDescent="0.2"/>
    <row r="336" spans="1:12" ht="15" hidden="1" x14ac:dyDescent="0.25">
      <c r="A336" s="477" t="str">
        <f>CONCATENATE("Итого по подразделу: ",IF([85]Source!G3091&lt;&gt;"Новый подраздел", [85]Source!G3091, ""))</f>
        <v>Итого по подразделу: Дополнительные материалы и оборудование</v>
      </c>
      <c r="B336" s="477"/>
      <c r="C336" s="477"/>
      <c r="D336" s="477"/>
      <c r="E336" s="477"/>
      <c r="F336" s="477"/>
      <c r="G336" s="477"/>
      <c r="H336" s="477"/>
      <c r="I336" s="693">
        <f>SUM(O334:O335)</f>
        <v>0</v>
      </c>
      <c r="J336" s="694"/>
      <c r="K336" s="693">
        <f>SUM(P334:P335)</f>
        <v>0</v>
      </c>
      <c r="L336" s="694"/>
    </row>
    <row r="337" spans="1:39" hidden="1" x14ac:dyDescent="0.2">
      <c r="A337" s="645" t="s">
        <v>54</v>
      </c>
      <c r="J337" s="645">
        <f>SUM(W334:W336)</f>
        <v>0</v>
      </c>
      <c r="K337" s="645">
        <f>SUM(X334:X336)</f>
        <v>0</v>
      </c>
    </row>
    <row r="338" spans="1:39" hidden="1" x14ac:dyDescent="0.2">
      <c r="A338" s="645" t="s">
        <v>55</v>
      </c>
      <c r="J338" s="645">
        <f>SUM(Y334:Y337)</f>
        <v>0</v>
      </c>
      <c r="K338" s="645">
        <f>SUM(Z334:Z337)</f>
        <v>0</v>
      </c>
    </row>
    <row r="339" spans="1:39" hidden="1" x14ac:dyDescent="0.2"/>
    <row r="340" spans="1:39" ht="16.5" hidden="1" x14ac:dyDescent="0.25">
      <c r="A340" s="407" t="str">
        <f>CONCATENATE("Раздел: ",IF([85]Source!G3151&lt;&gt;"Новый раздел", [85]Source!G3151, ""))</f>
        <v>Раздел: Исключить из сметы:</v>
      </c>
      <c r="B340" s="407"/>
      <c r="C340" s="407"/>
      <c r="D340" s="407"/>
      <c r="E340" s="407"/>
      <c r="F340" s="407"/>
      <c r="G340" s="407"/>
      <c r="H340" s="407"/>
      <c r="I340" s="407"/>
      <c r="J340" s="407"/>
      <c r="K340" s="407"/>
      <c r="L340" s="407"/>
    </row>
    <row r="341" spans="1:39" hidden="1" x14ac:dyDescent="0.2"/>
    <row r="342" spans="1:39" ht="15" hidden="1" x14ac:dyDescent="0.25">
      <c r="A342" s="477" t="str">
        <f>CONCATENATE("Итого по разделу: ",IF([85]Source!G3196&lt;&gt;"Новый раздел", [85]Source!G3196, ""))</f>
        <v>Итого по разделу: Исключить из сметы:</v>
      </c>
      <c r="B342" s="477"/>
      <c r="C342" s="477"/>
      <c r="D342" s="477"/>
      <c r="E342" s="477"/>
      <c r="F342" s="477"/>
      <c r="G342" s="477"/>
      <c r="H342" s="477"/>
      <c r="I342" s="693">
        <f>SUM(O340:O341)</f>
        <v>0</v>
      </c>
      <c r="J342" s="694"/>
      <c r="K342" s="693">
        <f>SUM(P340:P341)</f>
        <v>0</v>
      </c>
      <c r="L342" s="694"/>
    </row>
    <row r="343" spans="1:39" hidden="1" x14ac:dyDescent="0.2">
      <c r="A343" s="645" t="s">
        <v>54</v>
      </c>
      <c r="J343" s="645">
        <f>SUM(W340:W342)</f>
        <v>0</v>
      </c>
      <c r="K343" s="645">
        <f>SUM(X340:X342)</f>
        <v>0</v>
      </c>
    </row>
    <row r="344" spans="1:39" hidden="1" x14ac:dyDescent="0.2">
      <c r="A344" s="645" t="s">
        <v>55</v>
      </c>
      <c r="J344" s="645">
        <f>SUM(Y340:Y343)</f>
        <v>0</v>
      </c>
      <c r="K344" s="645">
        <f>SUM(Z340:Z343)</f>
        <v>0</v>
      </c>
    </row>
    <row r="345" spans="1:39" ht="15" x14ac:dyDescent="0.25">
      <c r="A345" s="477" t="s">
        <v>173</v>
      </c>
      <c r="B345" s="477"/>
      <c r="C345" s="477"/>
      <c r="D345" s="477"/>
      <c r="E345" s="477"/>
      <c r="F345" s="477"/>
      <c r="G345" s="477"/>
      <c r="H345" s="477"/>
      <c r="I345" s="477"/>
      <c r="J345" s="477"/>
      <c r="K345" s="477"/>
      <c r="L345" s="477"/>
    </row>
    <row r="347" spans="1:39" ht="16.5" x14ac:dyDescent="0.25">
      <c r="A347" s="407" t="str">
        <f>CONCATENATE("Раздел: ",IF([85]Source!G3226&lt;&gt;"Новый раздел", [85]Source!G3226, ""))</f>
        <v>Раздел: Добавить в смету:</v>
      </c>
      <c r="B347" s="407"/>
      <c r="C347" s="407"/>
      <c r="D347" s="407"/>
      <c r="E347" s="407"/>
      <c r="F347" s="407"/>
      <c r="G347" s="407"/>
      <c r="H347" s="407"/>
      <c r="I347" s="407"/>
      <c r="J347" s="407"/>
      <c r="K347" s="407"/>
      <c r="L347" s="407"/>
    </row>
    <row r="348" spans="1:39" ht="253.5" x14ac:dyDescent="0.2">
      <c r="A348" s="702">
        <v>1</v>
      </c>
      <c r="B348" s="702" t="str">
        <f>[85]Source!E3238</f>
        <v>42</v>
      </c>
      <c r="C348" s="703" t="s">
        <v>401</v>
      </c>
      <c r="D348" s="703" t="s">
        <v>177</v>
      </c>
      <c r="E348" s="704"/>
      <c r="F348" s="705"/>
      <c r="G348" s="706"/>
      <c r="H348" s="707"/>
      <c r="I348" s="705"/>
      <c r="J348" s="706"/>
      <c r="K348" s="705"/>
      <c r="L348" s="706"/>
      <c r="M348" s="708">
        <v>416176.48</v>
      </c>
      <c r="N348" s="709" t="s">
        <v>389</v>
      </c>
      <c r="Q348" s="645">
        <f>[85]Source!X3238</f>
        <v>0</v>
      </c>
      <c r="R348" s="645">
        <f>[85]Source!X3239</f>
        <v>0</v>
      </c>
      <c r="S348" s="645">
        <f>[85]Source!Y3238</f>
        <v>0</v>
      </c>
      <c r="T348" s="645">
        <f>[85]Source!Y3239</f>
        <v>0</v>
      </c>
      <c r="U348" s="645">
        <f>ROUND((175/100)*ROUND([85]Source!R3238, 2), 2)</f>
        <v>0</v>
      </c>
      <c r="V348" s="645">
        <f>ROUND((157/100)*ROUND([85]Source!R3239, 2), 2)</f>
        <v>0</v>
      </c>
      <c r="AM348" s="645">
        <v>1</v>
      </c>
    </row>
    <row r="349" spans="1:39" ht="42.75" x14ac:dyDescent="0.2">
      <c r="A349" s="710"/>
      <c r="B349" s="710"/>
      <c r="C349" s="703" t="s">
        <v>390</v>
      </c>
      <c r="D349" s="711" t="s">
        <v>396</v>
      </c>
      <c r="E349" s="712" t="s">
        <v>400</v>
      </c>
      <c r="F349" s="713">
        <v>1</v>
      </c>
      <c r="G349" s="714">
        <f>J349</f>
        <v>91266.77</v>
      </c>
      <c r="H349" s="715"/>
      <c r="I349" s="716">
        <v>1</v>
      </c>
      <c r="J349" s="714">
        <f>L349/K349</f>
        <v>91266.77</v>
      </c>
      <c r="K349" s="716">
        <v>4.5599999999999996</v>
      </c>
      <c r="L349" s="714">
        <v>416176.48</v>
      </c>
      <c r="M349" s="708"/>
      <c r="N349" s="709"/>
    </row>
    <row r="350" spans="1:39" ht="15" x14ac:dyDescent="0.25">
      <c r="A350" s="717"/>
      <c r="B350" s="717"/>
      <c r="C350" s="717"/>
      <c r="D350" s="718" t="s">
        <v>81</v>
      </c>
      <c r="E350" s="717"/>
      <c r="F350" s="717"/>
      <c r="G350" s="717"/>
      <c r="H350" s="717"/>
      <c r="I350" s="719">
        <f>J349</f>
        <v>91266.77</v>
      </c>
      <c r="J350" s="719"/>
      <c r="K350" s="719">
        <f>L349</f>
        <v>416176.48</v>
      </c>
      <c r="L350" s="719"/>
      <c r="O350" s="676">
        <f>J349</f>
        <v>91266.77</v>
      </c>
      <c r="P350" s="676">
        <f>L349</f>
        <v>416176.48</v>
      </c>
    </row>
    <row r="352" spans="1:39" ht="253.5" x14ac:dyDescent="0.2">
      <c r="A352" s="702">
        <v>2</v>
      </c>
      <c r="B352" s="702" t="str">
        <f>[85]Source!E3248</f>
        <v>81</v>
      </c>
      <c r="C352" s="703" t="s">
        <v>401</v>
      </c>
      <c r="D352" s="703" t="s">
        <v>178</v>
      </c>
      <c r="E352" s="704"/>
      <c r="F352" s="705"/>
      <c r="G352" s="720"/>
      <c r="H352" s="707"/>
      <c r="I352" s="705"/>
      <c r="J352" s="706"/>
      <c r="K352" s="705"/>
      <c r="L352" s="706"/>
      <c r="M352" s="721">
        <v>436915.48</v>
      </c>
      <c r="N352" s="709" t="s">
        <v>389</v>
      </c>
      <c r="Q352" s="645">
        <f>[85]Source!X3248</f>
        <v>0</v>
      </c>
      <c r="R352" s="645">
        <f>[85]Source!X3249</f>
        <v>0</v>
      </c>
      <c r="S352" s="645">
        <f>[85]Source!Y3248</f>
        <v>0</v>
      </c>
      <c r="T352" s="645">
        <f>[85]Source!Y3249</f>
        <v>0</v>
      </c>
      <c r="U352" s="645">
        <f>ROUND((175/100)*ROUND([85]Source!R3248, 2), 2)</f>
        <v>0</v>
      </c>
      <c r="V352" s="645">
        <f>ROUND((157/100)*ROUND([85]Source!R3249, 2), 2)</f>
        <v>0</v>
      </c>
      <c r="AM352" s="645">
        <v>3</v>
      </c>
    </row>
    <row r="353" spans="1:39" ht="42.75" x14ac:dyDescent="0.2">
      <c r="A353" s="710"/>
      <c r="B353" s="710"/>
      <c r="C353" s="703" t="s">
        <v>391</v>
      </c>
      <c r="D353" s="711" t="s">
        <v>397</v>
      </c>
      <c r="E353" s="712" t="s">
        <v>400</v>
      </c>
      <c r="F353" s="713">
        <v>1</v>
      </c>
      <c r="G353" s="722">
        <f>J353</f>
        <v>95814.8</v>
      </c>
      <c r="H353" s="715"/>
      <c r="I353" s="716">
        <v>1</v>
      </c>
      <c r="J353" s="714">
        <f>L353/4.56</f>
        <v>95814.8</v>
      </c>
      <c r="K353" s="716">
        <v>4.5599999999999996</v>
      </c>
      <c r="L353" s="714">
        <v>436915.48</v>
      </c>
      <c r="M353" s="721"/>
      <c r="N353" s="709"/>
    </row>
    <row r="354" spans="1:39" ht="15" x14ac:dyDescent="0.25">
      <c r="A354" s="717"/>
      <c r="B354" s="717"/>
      <c r="C354" s="717"/>
      <c r="D354" s="718" t="s">
        <v>81</v>
      </c>
      <c r="E354" s="717"/>
      <c r="F354" s="717"/>
      <c r="G354" s="717"/>
      <c r="H354" s="717"/>
      <c r="I354" s="719">
        <f>J353</f>
        <v>95814.8</v>
      </c>
      <c r="J354" s="719"/>
      <c r="K354" s="719">
        <f>L353</f>
        <v>436915.48</v>
      </c>
      <c r="L354" s="719"/>
      <c r="O354" s="676">
        <f>J353</f>
        <v>95814.8</v>
      </c>
      <c r="P354" s="676">
        <f>L353</f>
        <v>436915.48</v>
      </c>
    </row>
    <row r="356" spans="1:39" ht="409.5" x14ac:dyDescent="0.2">
      <c r="A356" s="702">
        <v>3</v>
      </c>
      <c r="B356" s="702" t="str">
        <f>[85]Source!E3258</f>
        <v>163</v>
      </c>
      <c r="C356" s="703" t="s">
        <v>401</v>
      </c>
      <c r="D356" s="703" t="s">
        <v>179</v>
      </c>
      <c r="E356" s="704"/>
      <c r="F356" s="705"/>
      <c r="G356" s="720"/>
      <c r="H356" s="707"/>
      <c r="I356" s="705"/>
      <c r="J356" s="706"/>
      <c r="K356" s="705"/>
      <c r="L356" s="706"/>
      <c r="M356" s="721">
        <v>286410.48</v>
      </c>
      <c r="N356" s="709" t="s">
        <v>392</v>
      </c>
      <c r="Q356" s="645">
        <f>[85]Source!X3258</f>
        <v>0</v>
      </c>
      <c r="R356" s="645">
        <f>[85]Source!X3259</f>
        <v>0</v>
      </c>
      <c r="S356" s="645">
        <f>[85]Source!Y3258</f>
        <v>0</v>
      </c>
      <c r="T356" s="645">
        <f>[85]Source!Y3259</f>
        <v>0</v>
      </c>
      <c r="U356" s="645">
        <f>ROUND((175/100)*ROUND([85]Source!R3258, 2), 2)</f>
        <v>0</v>
      </c>
      <c r="V356" s="645">
        <f>ROUND((157/100)*ROUND([85]Source!R3259, 2), 2)</f>
        <v>0</v>
      </c>
      <c r="AM356" s="645">
        <v>2</v>
      </c>
    </row>
    <row r="357" spans="1:39" ht="42.75" x14ac:dyDescent="0.2">
      <c r="A357" s="710"/>
      <c r="B357" s="710"/>
      <c r="C357" s="703" t="s">
        <v>393</v>
      </c>
      <c r="D357" s="711" t="s">
        <v>398</v>
      </c>
      <c r="E357" s="712" t="s">
        <v>400</v>
      </c>
      <c r="F357" s="713">
        <v>1</v>
      </c>
      <c r="G357" s="722">
        <f>J357</f>
        <v>62809.32</v>
      </c>
      <c r="H357" s="715"/>
      <c r="I357" s="716">
        <v>1</v>
      </c>
      <c r="J357" s="714">
        <f>L357/K357</f>
        <v>62809.32</v>
      </c>
      <c r="K357" s="716">
        <v>4.5599999999999996</v>
      </c>
      <c r="L357" s="714">
        <v>286410.48</v>
      </c>
      <c r="M357" s="721"/>
      <c r="N357" s="709"/>
    </row>
    <row r="358" spans="1:39" ht="15" x14ac:dyDescent="0.25">
      <c r="A358" s="717"/>
      <c r="B358" s="717"/>
      <c r="C358" s="717"/>
      <c r="D358" s="718" t="s">
        <v>81</v>
      </c>
      <c r="E358" s="717"/>
      <c r="F358" s="717"/>
      <c r="G358" s="717"/>
      <c r="H358" s="717"/>
      <c r="I358" s="719">
        <f>J357</f>
        <v>62809.32</v>
      </c>
      <c r="J358" s="719"/>
      <c r="K358" s="719">
        <f>L357</f>
        <v>286410.48</v>
      </c>
      <c r="L358" s="719"/>
      <c r="O358" s="676">
        <f>J357</f>
        <v>62809.32</v>
      </c>
      <c r="P358" s="676">
        <f>L357</f>
        <v>286410.48</v>
      </c>
    </row>
    <row r="360" spans="1:39" ht="111" x14ac:dyDescent="0.2">
      <c r="A360" s="723">
        <v>4</v>
      </c>
      <c r="B360" s="723" t="str">
        <f>[85]Source!E3270</f>
        <v>308</v>
      </c>
      <c r="C360" s="724" t="s">
        <v>401</v>
      </c>
      <c r="D360" s="724" t="s">
        <v>180</v>
      </c>
      <c r="E360" s="712"/>
      <c r="F360" s="713"/>
      <c r="G360" s="725"/>
      <c r="H360" s="726"/>
      <c r="I360" s="713"/>
      <c r="J360" s="727"/>
      <c r="K360" s="713"/>
      <c r="L360" s="727"/>
      <c r="M360" s="721">
        <v>214109.87</v>
      </c>
      <c r="N360" s="709" t="s">
        <v>394</v>
      </c>
      <c r="Q360" s="645">
        <f>[85]Source!X3270</f>
        <v>0</v>
      </c>
      <c r="R360" s="645">
        <f>[85]Source!X3271</f>
        <v>0</v>
      </c>
      <c r="S360" s="645">
        <f>[85]Source!Y3270</f>
        <v>0</v>
      </c>
      <c r="T360" s="645">
        <f>[85]Source!Y3271</f>
        <v>0</v>
      </c>
      <c r="U360" s="645">
        <f>ROUND((175/100)*ROUND([85]Source!R3270, 2), 2)</f>
        <v>0</v>
      </c>
      <c r="V360" s="645">
        <f>ROUND((157/100)*ROUND([85]Source!R3271, 2), 2)</f>
        <v>0</v>
      </c>
      <c r="AM360" s="645">
        <v>1</v>
      </c>
    </row>
    <row r="361" spans="1:39" ht="42.75" x14ac:dyDescent="0.2">
      <c r="A361" s="728"/>
      <c r="B361" s="728"/>
      <c r="C361" s="724" t="s">
        <v>395</v>
      </c>
      <c r="D361" s="729" t="s">
        <v>399</v>
      </c>
      <c r="E361" s="712" t="s">
        <v>400</v>
      </c>
      <c r="F361" s="713">
        <v>1</v>
      </c>
      <c r="G361" s="722">
        <f>J361</f>
        <v>46953.919999999998</v>
      </c>
      <c r="H361" s="730"/>
      <c r="I361" s="731">
        <v>1</v>
      </c>
      <c r="J361" s="732">
        <f>L361/K361</f>
        <v>46953.919999999998</v>
      </c>
      <c r="K361" s="731">
        <v>4.5599999999999996</v>
      </c>
      <c r="L361" s="732">
        <v>214109.87</v>
      </c>
      <c r="M361" s="721"/>
      <c r="N361" s="709"/>
    </row>
    <row r="362" spans="1:39" ht="15" x14ac:dyDescent="0.25">
      <c r="A362" s="733"/>
      <c r="B362" s="733"/>
      <c r="C362" s="733"/>
      <c r="D362" s="734" t="s">
        <v>81</v>
      </c>
      <c r="E362" s="733"/>
      <c r="F362" s="733"/>
      <c r="G362" s="733"/>
      <c r="H362" s="733"/>
      <c r="I362" s="735">
        <f>J361</f>
        <v>46953.919999999998</v>
      </c>
      <c r="J362" s="735"/>
      <c r="K362" s="735">
        <f>L361</f>
        <v>214109.87</v>
      </c>
      <c r="L362" s="735"/>
      <c r="O362" s="676">
        <f>J361</f>
        <v>46953.919999999998</v>
      </c>
      <c r="P362" s="676">
        <f>L361</f>
        <v>214109.87</v>
      </c>
    </row>
    <row r="365" spans="1:39" ht="15" x14ac:dyDescent="0.25">
      <c r="A365" s="477" t="str">
        <f>CONCATENATE("Итого по разделу: ",IF([85]Source!G3273&lt;&gt;"Новый раздел", [85]Source!G3273, ""))</f>
        <v>Итого по разделу: Добавить в смету:</v>
      </c>
      <c r="B365" s="477"/>
      <c r="C365" s="477"/>
      <c r="D365" s="477"/>
      <c r="E365" s="477"/>
      <c r="F365" s="477"/>
      <c r="G365" s="477"/>
      <c r="H365" s="477"/>
      <c r="I365" s="693">
        <f>SUM(O347:O364)</f>
        <v>296844.81</v>
      </c>
      <c r="J365" s="694"/>
      <c r="K365" s="693">
        <f>SUM(P347:P364)</f>
        <v>1353612.31</v>
      </c>
      <c r="L365" s="694"/>
    </row>
    <row r="366" spans="1:39" hidden="1" x14ac:dyDescent="0.2">
      <c r="A366" s="645" t="s">
        <v>54</v>
      </c>
      <c r="J366" s="645">
        <f>SUM(W347:W365)</f>
        <v>0</v>
      </c>
      <c r="K366" s="645">
        <f>SUM(X347:X365)</f>
        <v>0</v>
      </c>
    </row>
    <row r="367" spans="1:39" hidden="1" x14ac:dyDescent="0.2">
      <c r="A367" s="645" t="s">
        <v>55</v>
      </c>
      <c r="J367" s="645">
        <f>SUM(Y347:Y366)</f>
        <v>0</v>
      </c>
      <c r="K367" s="645">
        <f>SUM(Z347:Z366)</f>
        <v>0</v>
      </c>
    </row>
    <row r="369" spans="1:32" ht="30" hidden="1" x14ac:dyDescent="0.25">
      <c r="A369" s="477" t="str">
        <f>CONCATENATE("Итого по локальной смете: ",IF([85]Source!G3303&lt;&gt;"Новая локальная смета", [85]Source!G3303, ""))</f>
        <v>Итого по локальной смете: Станционный комплекс "Аминьевское шоссе". Вестибюль №2, камера съездов, ТПП. Внутренние инженерные системы. Отопление, вентиляция, кондиционирование, дымоудаление. Вентиляция.</v>
      </c>
      <c r="B369" s="477"/>
      <c r="C369" s="477"/>
      <c r="D369" s="477"/>
      <c r="E369" s="477"/>
      <c r="F369" s="477"/>
      <c r="G369" s="477"/>
      <c r="H369" s="477"/>
      <c r="I369" s="693">
        <f>SUM(O44:O368)</f>
        <v>296844.81</v>
      </c>
      <c r="J369" s="694"/>
      <c r="K369" s="693">
        <f>SUM(P44:P368)</f>
        <v>1353612.31</v>
      </c>
      <c r="L369" s="694"/>
      <c r="AF369" s="389" t="str">
        <f>CONCATENATE("Итого по локальной смете: ",IF([85]Source!G3303&lt;&gt;"Новая локальная смета", [85]Source!G3303, ""))</f>
        <v>Итого по локальной смете: Станционный комплекс "Аминьевское шоссе". Вестибюль №2, камера съездов, ТПП. Внутренние инженерные системы. Отопление, вентиляция, кондиционирование, дымоудаление. Вентиляция.</v>
      </c>
    </row>
    <row r="370" spans="1:32" hidden="1" x14ac:dyDescent="0.2">
      <c r="A370" s="645" t="s">
        <v>54</v>
      </c>
      <c r="J370" s="645">
        <f>SUM(W44:W369)</f>
        <v>0</v>
      </c>
      <c r="K370" s="645">
        <f>SUM(X44:X369)</f>
        <v>0</v>
      </c>
    </row>
    <row r="371" spans="1:32" hidden="1" x14ac:dyDescent="0.2">
      <c r="A371" s="645" t="s">
        <v>55</v>
      </c>
      <c r="J371" s="645">
        <f>SUM(Y44:Y370)</f>
        <v>0</v>
      </c>
      <c r="K371" s="645">
        <f>SUM(Z44:Z370)</f>
        <v>0</v>
      </c>
    </row>
    <row r="372" spans="1:32" hidden="1" x14ac:dyDescent="0.2"/>
    <row r="373" spans="1:32" ht="22.5" customHeight="1" x14ac:dyDescent="0.25">
      <c r="A373" s="477" t="s">
        <v>169</v>
      </c>
      <c r="B373" s="477"/>
      <c r="C373" s="477"/>
      <c r="D373" s="477"/>
      <c r="E373" s="477"/>
      <c r="F373" s="477"/>
      <c r="G373" s="477"/>
      <c r="H373" s="477"/>
      <c r="I373" s="693">
        <f>SUM(O1:O372)</f>
        <v>296844.81</v>
      </c>
      <c r="J373" s="694"/>
      <c r="K373" s="693">
        <f>SUM(P1:P372)</f>
        <v>1353612.31</v>
      </c>
      <c r="L373" s="694"/>
      <c r="AF373" s="389" t="str">
        <f>CONCATENATE("Итого по акту: ",IF([85]Source!G3333&lt;&gt;"Новый объект", [85]Source!G3333, ""))</f>
        <v>Итого по акту: 48837-ТПК_5-0699-Р-ССР2 изм. 1.1. доп 2 МИП 12-4017-Л-Р-11.4.3.1-ОВ1.1-СМ1к доп2 МИП  Станционный комплекс "Аминьевское шоссе". Вестибюль №2, камера сьездов, ТПП. Внутренние инженерные системы. Отопление, вентиляция, кондиционирование, дымоудаление. Вентиляция</v>
      </c>
    </row>
    <row r="374" spans="1:32" hidden="1" x14ac:dyDescent="0.2">
      <c r="A374" s="645" t="s">
        <v>54</v>
      </c>
      <c r="J374" s="645">
        <f>SUM(W1:W373)</f>
        <v>0</v>
      </c>
      <c r="K374" s="645">
        <f>SUM(X1:X373)</f>
        <v>0</v>
      </c>
    </row>
    <row r="375" spans="1:32" hidden="1" x14ac:dyDescent="0.2">
      <c r="A375" s="645" t="s">
        <v>55</v>
      </c>
      <c r="J375" s="645">
        <f>SUM(Y1:Y374)</f>
        <v>0</v>
      </c>
      <c r="K375" s="645">
        <f>SUM(Z1:Z374)</f>
        <v>0</v>
      </c>
    </row>
    <row r="376" spans="1:32" ht="14.25" x14ac:dyDescent="0.2">
      <c r="D376" s="479" t="str">
        <f>[85]Source!H3362</f>
        <v>Стоимость материалов (всего)</v>
      </c>
      <c r="E376" s="479"/>
      <c r="F376" s="479"/>
      <c r="G376" s="479"/>
      <c r="H376" s="479"/>
      <c r="I376" s="695">
        <f>J361</f>
        <v>46953.919999999998</v>
      </c>
      <c r="J376" s="695"/>
      <c r="K376" s="695">
        <f>L361</f>
        <v>214109.87</v>
      </c>
      <c r="L376" s="695"/>
    </row>
    <row r="377" spans="1:32" ht="14.25" x14ac:dyDescent="0.2">
      <c r="D377" s="479" t="str">
        <f>[85]Source!H3363</f>
        <v>ЗП машинистов</v>
      </c>
      <c r="E377" s="479"/>
      <c r="F377" s="479"/>
      <c r="G377" s="479"/>
      <c r="H377" s="479"/>
      <c r="I377" s="695">
        <f>[85]Source!F3363</f>
        <v>0</v>
      </c>
      <c r="J377" s="695"/>
      <c r="K377" s="695">
        <f>[85]Source!P3363</f>
        <v>0</v>
      </c>
      <c r="L377" s="695"/>
    </row>
    <row r="378" spans="1:32" ht="14.25" x14ac:dyDescent="0.2">
      <c r="D378" s="479" t="str">
        <f>[85]Source!H3364</f>
        <v>Основная ЗП рабочих</v>
      </c>
      <c r="E378" s="479"/>
      <c r="F378" s="479"/>
      <c r="G378" s="479"/>
      <c r="H378" s="479"/>
      <c r="I378" s="695">
        <f>[85]Source!F3364</f>
        <v>0</v>
      </c>
      <c r="J378" s="695"/>
      <c r="K378" s="695">
        <f>[85]Source!P3364</f>
        <v>0</v>
      </c>
      <c r="L378" s="695"/>
    </row>
    <row r="379" spans="1:32" ht="14.25" x14ac:dyDescent="0.2">
      <c r="D379" s="479" t="str">
        <f>[85]Source!H3365</f>
        <v>Оборудование</v>
      </c>
      <c r="E379" s="479"/>
      <c r="F379" s="479"/>
      <c r="G379" s="479"/>
      <c r="H379" s="479"/>
      <c r="I379" s="695">
        <f>J357+J353+J349</f>
        <v>249890.89</v>
      </c>
      <c r="J379" s="695"/>
      <c r="K379" s="695">
        <f>L357+L353+L349</f>
        <v>1139502.44</v>
      </c>
      <c r="L379" s="695"/>
    </row>
    <row r="380" spans="1:32" ht="14.25" x14ac:dyDescent="0.2">
      <c r="D380" s="384"/>
      <c r="E380" s="384"/>
      <c r="F380" s="384"/>
      <c r="G380" s="384"/>
      <c r="H380" s="384"/>
      <c r="I380" s="698"/>
      <c r="J380" s="698"/>
      <c r="K380" s="698"/>
      <c r="L380" s="698"/>
      <c r="M380" s="736">
        <f>M348+M352+M356+M360</f>
        <v>1353612.31</v>
      </c>
    </row>
    <row r="381" spans="1:32" s="141" customFormat="1" ht="15" x14ac:dyDescent="0.25">
      <c r="D381" s="352" t="s">
        <v>369</v>
      </c>
      <c r="E381" s="352"/>
      <c r="F381" s="352"/>
      <c r="G381" s="352"/>
      <c r="H381" s="352"/>
      <c r="I381" s="353"/>
      <c r="J381" s="354">
        <f>I379</f>
        <v>249890.89</v>
      </c>
      <c r="K381" s="353"/>
      <c r="L381" s="354">
        <f>K379</f>
        <v>1139502.44</v>
      </c>
      <c r="M381" s="700"/>
    </row>
    <row r="382" spans="1:32" s="141" customFormat="1" ht="15" x14ac:dyDescent="0.25">
      <c r="D382" s="352" t="s">
        <v>370</v>
      </c>
      <c r="E382" s="352"/>
      <c r="F382" s="352"/>
      <c r="G382" s="352"/>
      <c r="H382" s="352"/>
      <c r="I382" s="353"/>
      <c r="J382" s="354">
        <f>I376</f>
        <v>46953.919999999998</v>
      </c>
      <c r="K382" s="353"/>
      <c r="L382" s="354">
        <f>K376</f>
        <v>214109.87</v>
      </c>
      <c r="M382" s="700"/>
    </row>
    <row r="383" spans="1:32" s="141" customFormat="1" ht="14.25" x14ac:dyDescent="0.2">
      <c r="D383" s="384"/>
      <c r="E383" s="384"/>
      <c r="F383" s="384"/>
      <c r="G383" s="384"/>
      <c r="H383" s="384"/>
      <c r="I383" s="355"/>
      <c r="J383" s="355"/>
      <c r="K383" s="355"/>
      <c r="L383" s="355"/>
      <c r="M383" s="700"/>
    </row>
    <row r="384" spans="1:32" s="141" customFormat="1" ht="14.25" x14ac:dyDescent="0.2">
      <c r="D384" s="384" t="s">
        <v>57</v>
      </c>
      <c r="J384" s="356">
        <f>I373-J382-J381</f>
        <v>0</v>
      </c>
      <c r="K384" s="356"/>
      <c r="L384" s="356">
        <f>K373-L382-L381</f>
        <v>0</v>
      </c>
      <c r="M384" s="700"/>
    </row>
    <row r="385" spans="1:13" s="141" customFormat="1" ht="14.25" x14ac:dyDescent="0.2">
      <c r="D385" s="384" t="s">
        <v>3</v>
      </c>
      <c r="J385" s="356">
        <f>J384</f>
        <v>0</v>
      </c>
      <c r="K385" s="356"/>
      <c r="L385" s="356">
        <f>L384</f>
        <v>0</v>
      </c>
      <c r="M385" s="700"/>
    </row>
    <row r="386" spans="1:13" s="141" customFormat="1" ht="14.25" x14ac:dyDescent="0.2">
      <c r="D386" s="384" t="s">
        <v>58</v>
      </c>
      <c r="J386" s="356">
        <f>I378+I377</f>
        <v>0</v>
      </c>
      <c r="K386" s="356"/>
      <c r="L386" s="356">
        <f>K378+K377</f>
        <v>0</v>
      </c>
      <c r="M386" s="700"/>
    </row>
    <row r="387" spans="1:13" s="141" customFormat="1" ht="14.25" x14ac:dyDescent="0.2">
      <c r="D387" s="384" t="s">
        <v>59</v>
      </c>
      <c r="J387" s="356">
        <f>I377</f>
        <v>0</v>
      </c>
      <c r="K387" s="356"/>
      <c r="L387" s="356">
        <f>K377</f>
        <v>0</v>
      </c>
      <c r="M387" s="700"/>
    </row>
    <row r="388" spans="1:13" s="141" customFormat="1" ht="14.25" customHeight="1" x14ac:dyDescent="0.2">
      <c r="D388" s="384" t="s">
        <v>60</v>
      </c>
      <c r="J388" s="357">
        <v>0</v>
      </c>
      <c r="K388" s="357"/>
      <c r="L388" s="357">
        <v>0</v>
      </c>
      <c r="M388" s="700"/>
    </row>
    <row r="389" spans="1:13" s="141" customFormat="1" ht="14.25" customHeight="1" x14ac:dyDescent="0.2">
      <c r="A389" s="358"/>
      <c r="B389" s="358"/>
      <c r="C389" s="358"/>
      <c r="D389" s="479" t="s">
        <v>371</v>
      </c>
      <c r="E389" s="479"/>
      <c r="F389" s="479"/>
      <c r="G389" s="479"/>
      <c r="H389" s="479"/>
      <c r="I389" s="479"/>
      <c r="J389" s="359">
        <f>J386*0.15</f>
        <v>0</v>
      </c>
      <c r="L389" s="359">
        <f>L386*0.15</f>
        <v>0</v>
      </c>
      <c r="M389" s="700"/>
    </row>
    <row r="390" spans="1:13" s="141" customFormat="1" ht="15" x14ac:dyDescent="0.25">
      <c r="A390" s="360"/>
      <c r="B390" s="360"/>
      <c r="C390" s="360"/>
      <c r="D390" s="477" t="s">
        <v>372</v>
      </c>
      <c r="E390" s="477"/>
      <c r="F390" s="477"/>
      <c r="G390" s="477"/>
      <c r="H390" s="477"/>
      <c r="J390" s="361">
        <f>J384+J389</f>
        <v>0</v>
      </c>
      <c r="L390" s="361">
        <f>L384+L389</f>
        <v>0</v>
      </c>
      <c r="M390" s="700"/>
    </row>
    <row r="391" spans="1:13" s="141" customFormat="1" ht="14.25" x14ac:dyDescent="0.2">
      <c r="A391" s="358"/>
      <c r="B391" s="358"/>
      <c r="C391" s="358"/>
      <c r="D391" s="479"/>
      <c r="E391" s="479"/>
      <c r="F391" s="479"/>
      <c r="G391" s="479"/>
      <c r="H391" s="479"/>
      <c r="I391" s="515"/>
      <c r="J391" s="515"/>
      <c r="K391" s="515"/>
      <c r="L391" s="515"/>
      <c r="M391" s="700"/>
    </row>
    <row r="392" spans="1:13" s="141" customFormat="1" ht="15" customHeight="1" x14ac:dyDescent="0.25">
      <c r="A392" s="360"/>
      <c r="B392" s="360"/>
      <c r="C392" s="360"/>
      <c r="D392" s="477" t="s">
        <v>373</v>
      </c>
      <c r="E392" s="477"/>
      <c r="F392" s="477"/>
      <c r="G392" s="477"/>
      <c r="H392" s="477"/>
      <c r="I392" s="360"/>
      <c r="J392" s="360"/>
      <c r="K392" s="360"/>
      <c r="L392" s="362">
        <f>L384*0.925</f>
        <v>0</v>
      </c>
      <c r="M392" s="700"/>
    </row>
    <row r="393" spans="1:13" s="141" customFormat="1" ht="14.25" x14ac:dyDescent="0.2">
      <c r="D393" s="384" t="s">
        <v>3</v>
      </c>
      <c r="J393" s="356"/>
      <c r="K393" s="356"/>
      <c r="L393" s="356">
        <f>L385*0.925</f>
        <v>0</v>
      </c>
      <c r="M393" s="700"/>
    </row>
    <row r="394" spans="1:13" s="141" customFormat="1" ht="14.25" x14ac:dyDescent="0.2">
      <c r="D394" s="384" t="s">
        <v>58</v>
      </c>
      <c r="J394" s="356"/>
      <c r="K394" s="356"/>
      <c r="L394" s="356">
        <f>L386*0.925</f>
        <v>0</v>
      </c>
      <c r="M394" s="700"/>
    </row>
    <row r="395" spans="1:13" s="141" customFormat="1" ht="14.25" x14ac:dyDescent="0.2">
      <c r="D395" s="384" t="s">
        <v>59</v>
      </c>
      <c r="J395" s="356"/>
      <c r="K395" s="356"/>
      <c r="L395" s="356">
        <f>L387*0.925</f>
        <v>0</v>
      </c>
      <c r="M395" s="700"/>
    </row>
    <row r="396" spans="1:13" s="141" customFormat="1" ht="14.25" x14ac:dyDescent="0.2">
      <c r="D396" s="384" t="s">
        <v>60</v>
      </c>
      <c r="J396" s="357"/>
      <c r="K396" s="357"/>
      <c r="L396" s="357">
        <f>L388*0.925</f>
        <v>0</v>
      </c>
      <c r="M396" s="700"/>
    </row>
    <row r="397" spans="1:13" s="141" customFormat="1" ht="14.25" customHeight="1" x14ac:dyDescent="0.2">
      <c r="A397" s="358"/>
      <c r="B397" s="358"/>
      <c r="C397" s="358"/>
      <c r="D397" s="479" t="s">
        <v>371</v>
      </c>
      <c r="E397" s="479"/>
      <c r="F397" s="479"/>
      <c r="G397" s="479"/>
      <c r="H397" s="479"/>
      <c r="I397" s="479"/>
      <c r="J397" s="359"/>
      <c r="L397" s="359">
        <f t="shared" ref="L397" si="0">L389*0.925</f>
        <v>0</v>
      </c>
      <c r="M397" s="700"/>
    </row>
    <row r="398" spans="1:13" s="141" customFormat="1" ht="14.25" customHeight="1" x14ac:dyDescent="0.25">
      <c r="A398" s="360"/>
      <c r="B398" s="360"/>
      <c r="C398" s="360"/>
      <c r="D398" s="477" t="s">
        <v>372</v>
      </c>
      <c r="E398" s="477"/>
      <c r="F398" s="477"/>
      <c r="G398" s="477"/>
      <c r="H398" s="477"/>
      <c r="J398" s="363"/>
      <c r="L398" s="361">
        <f>L393+L397</f>
        <v>0</v>
      </c>
      <c r="M398" s="700"/>
    </row>
    <row r="399" spans="1:13" s="336" customFormat="1" ht="14.25" customHeight="1" x14ac:dyDescent="0.2">
      <c r="A399" s="333"/>
      <c r="B399" s="333"/>
      <c r="C399" s="333"/>
      <c r="D399" s="334" t="s">
        <v>363</v>
      </c>
      <c r="E399" s="337"/>
      <c r="F399" s="337"/>
      <c r="G399" s="337"/>
      <c r="H399" s="337"/>
      <c r="I399" s="337"/>
      <c r="J399" s="335"/>
      <c r="K399" s="337"/>
      <c r="L399" s="335">
        <f>L397+L393</f>
        <v>0</v>
      </c>
      <c r="M399" s="379"/>
    </row>
    <row r="400" spans="1:13" s="336" customFormat="1" ht="12.75" x14ac:dyDescent="0.2">
      <c r="A400" s="338"/>
      <c r="B400" s="338"/>
      <c r="C400" s="338"/>
      <c r="D400" s="338"/>
      <c r="E400" s="338"/>
      <c r="F400" s="338"/>
      <c r="G400" s="338"/>
      <c r="H400" s="338"/>
      <c r="I400" s="338"/>
      <c r="J400" s="338"/>
      <c r="K400" s="338"/>
      <c r="L400" s="338"/>
      <c r="M400" s="379"/>
    </row>
    <row r="401" spans="1:41" s="336" customFormat="1" ht="14.25" customHeight="1" x14ac:dyDescent="0.2">
      <c r="A401" s="338"/>
      <c r="B401" s="338"/>
      <c r="C401" s="338"/>
      <c r="D401" s="338"/>
      <c r="E401" s="338"/>
      <c r="F401" s="338"/>
      <c r="G401" s="338"/>
      <c r="H401" s="338"/>
      <c r="I401" s="338"/>
      <c r="J401" s="338"/>
      <c r="K401" s="338"/>
      <c r="L401" s="338"/>
      <c r="M401" s="379"/>
    </row>
    <row r="402" spans="1:41" s="328" customFormat="1" ht="14.25" x14ac:dyDescent="0.2">
      <c r="A402" s="338"/>
      <c r="B402" s="338"/>
      <c r="C402" s="338"/>
      <c r="D402" s="339" t="s">
        <v>364</v>
      </c>
      <c r="E402" s="340"/>
      <c r="F402" s="340"/>
      <c r="G402" s="340"/>
      <c r="H402" s="340"/>
      <c r="I402" s="341"/>
      <c r="J402" s="342"/>
      <c r="K402" s="343"/>
      <c r="L402" s="342">
        <f>L399</f>
        <v>0</v>
      </c>
      <c r="M402" s="380"/>
    </row>
    <row r="403" spans="1:41" s="328" customFormat="1" ht="15" x14ac:dyDescent="0.25">
      <c r="A403" s="338"/>
      <c r="B403" s="338"/>
      <c r="C403" s="338"/>
      <c r="D403" s="345" t="s">
        <v>365</v>
      </c>
      <c r="E403" s="346"/>
      <c r="F403" s="346"/>
      <c r="G403" s="346"/>
      <c r="H403" s="346"/>
      <c r="I403" s="347"/>
      <c r="J403" s="348"/>
      <c r="K403" s="349"/>
      <c r="L403" s="348">
        <f>L394</f>
        <v>0</v>
      </c>
      <c r="M403" s="380"/>
    </row>
    <row r="404" spans="1:41" s="328" customFormat="1" ht="15" x14ac:dyDescent="0.25">
      <c r="A404" s="338"/>
      <c r="B404" s="338"/>
      <c r="C404" s="338"/>
      <c r="D404" s="345" t="s">
        <v>366</v>
      </c>
      <c r="E404" s="346"/>
      <c r="F404" s="346"/>
      <c r="G404" s="346"/>
      <c r="H404" s="346"/>
      <c r="I404" s="347"/>
      <c r="J404" s="348"/>
      <c r="K404" s="350"/>
      <c r="L404" s="348">
        <f>L398</f>
        <v>0</v>
      </c>
      <c r="M404" s="380"/>
    </row>
    <row r="405" spans="1:41" s="328" customFormat="1" ht="15" x14ac:dyDescent="0.25">
      <c r="A405" s="338"/>
      <c r="B405" s="338"/>
      <c r="C405" s="338"/>
      <c r="D405" s="345" t="s">
        <v>367</v>
      </c>
      <c r="E405" s="346"/>
      <c r="F405" s="346"/>
      <c r="G405" s="346"/>
      <c r="H405" s="346"/>
      <c r="I405" s="347"/>
      <c r="J405" s="348"/>
      <c r="K405" s="348"/>
      <c r="L405" s="348">
        <v>0</v>
      </c>
      <c r="M405" s="380"/>
    </row>
    <row r="406" spans="1:41" s="328" customFormat="1" ht="15" x14ac:dyDescent="0.25">
      <c r="A406" s="338"/>
      <c r="B406" s="338"/>
      <c r="C406" s="338"/>
      <c r="D406" s="345" t="s">
        <v>368</v>
      </c>
      <c r="E406" s="346"/>
      <c r="F406" s="346"/>
      <c r="G406" s="346"/>
      <c r="H406" s="346"/>
      <c r="I406" s="347"/>
      <c r="J406" s="351"/>
      <c r="K406" s="351"/>
      <c r="L406" s="348">
        <v>0</v>
      </c>
      <c r="M406" s="380"/>
    </row>
    <row r="408" spans="1:41" s="141" customFormat="1" ht="17.25" customHeight="1" x14ac:dyDescent="0.25">
      <c r="A408" s="336"/>
      <c r="B408" s="336"/>
      <c r="C408" s="336"/>
      <c r="D408" s="527" t="s">
        <v>374</v>
      </c>
      <c r="E408" s="528"/>
      <c r="F408" s="528"/>
      <c r="G408" s="364"/>
      <c r="H408" s="365"/>
      <c r="I408" s="529">
        <f>Реестр!L16</f>
        <v>11687</v>
      </c>
      <c r="J408" s="530"/>
      <c r="K408" s="531">
        <f>Реестр!N16</f>
        <v>225985.44</v>
      </c>
      <c r="L408" s="532"/>
      <c r="M408" s="700"/>
      <c r="AN408" s="141">
        <v>4797545.07</v>
      </c>
      <c r="AO408" s="141">
        <v>27833575.399999999</v>
      </c>
    </row>
    <row r="409" spans="1:41" s="141" customFormat="1" ht="17.25" customHeight="1" x14ac:dyDescent="0.25">
      <c r="A409" s="336"/>
      <c r="B409" s="336"/>
      <c r="C409" s="336"/>
      <c r="D409" s="366" t="s">
        <v>375</v>
      </c>
      <c r="E409" s="367"/>
      <c r="F409" s="367"/>
      <c r="G409" s="367"/>
      <c r="H409" s="367"/>
      <c r="I409" s="533">
        <f>I408-I410</f>
        <v>11028</v>
      </c>
      <c r="J409" s="534"/>
      <c r="K409" s="535">
        <f>K408-K410</f>
        <v>211022.4</v>
      </c>
      <c r="L409" s="536"/>
      <c r="M409" s="700"/>
      <c r="AN409" s="141">
        <v>15784.7</v>
      </c>
      <c r="AO409" s="141">
        <v>374584.25</v>
      </c>
    </row>
    <row r="410" spans="1:41" s="141" customFormat="1" ht="17.25" customHeight="1" x14ac:dyDescent="0.25">
      <c r="A410" s="336"/>
      <c r="B410" s="336"/>
      <c r="C410" s="336"/>
      <c r="D410" s="368" t="s">
        <v>376</v>
      </c>
      <c r="E410" s="367"/>
      <c r="F410" s="367"/>
      <c r="G410" s="367"/>
      <c r="H410" s="367"/>
      <c r="I410" s="517">
        <f>Реестр!I16</f>
        <v>659</v>
      </c>
      <c r="J410" s="518"/>
      <c r="K410" s="519">
        <f>Реестр!K16</f>
        <v>14963.04</v>
      </c>
      <c r="L410" s="520"/>
      <c r="M410" s="700"/>
    </row>
    <row r="411" spans="1:41" s="141" customFormat="1" ht="17.25" customHeight="1" x14ac:dyDescent="0.25">
      <c r="A411" s="336"/>
      <c r="B411" s="336"/>
      <c r="C411" s="336"/>
      <c r="D411" s="368" t="s">
        <v>377</v>
      </c>
      <c r="E411" s="367"/>
      <c r="F411" s="367"/>
      <c r="G411" s="367"/>
      <c r="H411" s="367"/>
      <c r="I411" s="521"/>
      <c r="J411" s="522"/>
      <c r="K411" s="521"/>
      <c r="L411" s="522"/>
      <c r="M411" s="700"/>
    </row>
    <row r="412" spans="1:41" s="141" customFormat="1" ht="15.75" x14ac:dyDescent="0.25">
      <c r="A412" s="336"/>
      <c r="B412" s="336"/>
      <c r="C412" s="336"/>
      <c r="D412" s="368" t="s">
        <v>378</v>
      </c>
      <c r="E412" s="369"/>
      <c r="F412" s="367"/>
      <c r="G412" s="367"/>
      <c r="H412" s="370"/>
      <c r="I412" s="523"/>
      <c r="J412" s="524"/>
      <c r="K412" s="525"/>
      <c r="L412" s="526"/>
      <c r="M412" s="700"/>
    </row>
    <row r="413" spans="1:41" s="141" customFormat="1" x14ac:dyDescent="0.2">
      <c r="A413" s="336"/>
      <c r="B413" s="336"/>
      <c r="C413" s="336"/>
      <c r="D413" s="336"/>
      <c r="E413" s="336"/>
      <c r="F413" s="336"/>
      <c r="G413" s="336"/>
      <c r="H413" s="336"/>
      <c r="I413" s="336"/>
      <c r="J413" s="336"/>
      <c r="K413" s="336"/>
      <c r="L413" s="336"/>
      <c r="M413" s="700"/>
    </row>
    <row r="414" spans="1:41" s="141" customFormat="1" ht="54" customHeight="1" x14ac:dyDescent="0.2">
      <c r="A414" s="336"/>
      <c r="B414" s="336"/>
      <c r="C414" s="336"/>
      <c r="D414" s="336"/>
      <c r="E414" s="336"/>
      <c r="F414" s="336"/>
      <c r="G414" s="336"/>
      <c r="H414" s="336"/>
      <c r="I414" s="336"/>
      <c r="J414" s="336"/>
      <c r="K414" s="336"/>
      <c r="L414" s="371"/>
      <c r="M414" s="700"/>
    </row>
    <row r="415" spans="1:41" s="141" customFormat="1" ht="15.75" customHeight="1" x14ac:dyDescent="0.2">
      <c r="A415" s="336"/>
      <c r="B415" s="336"/>
      <c r="C415" s="336"/>
      <c r="D415" s="336"/>
      <c r="E415" s="336"/>
      <c r="F415" s="336"/>
      <c r="G415" s="336"/>
      <c r="H415" s="336"/>
      <c r="I415" s="336"/>
      <c r="J415" s="336"/>
      <c r="K415" s="336"/>
      <c r="L415" s="336"/>
      <c r="M415" s="700"/>
    </row>
    <row r="416" spans="1:41" s="141" customFormat="1" ht="35.25" customHeight="1" x14ac:dyDescent="0.2">
      <c r="A416" s="336"/>
      <c r="B416" s="336"/>
      <c r="C416" s="336"/>
      <c r="D416" s="336"/>
      <c r="E416" s="336"/>
      <c r="F416" s="336"/>
      <c r="G416" s="336"/>
      <c r="H416" s="336"/>
      <c r="I416" s="336"/>
      <c r="J416" s="336"/>
      <c r="K416" s="336"/>
      <c r="L416" s="336"/>
      <c r="M416" s="700"/>
    </row>
    <row r="417" spans="1:13" s="141" customFormat="1" ht="15.75" customHeight="1" x14ac:dyDescent="0.2">
      <c r="A417" s="537" t="s">
        <v>379</v>
      </c>
      <c r="B417" s="537"/>
      <c r="C417" s="537"/>
      <c r="D417" s="537"/>
      <c r="E417" s="537"/>
      <c r="F417" s="537"/>
      <c r="G417" s="537"/>
      <c r="H417" s="537"/>
      <c r="I417" s="537"/>
      <c r="J417" s="372"/>
      <c r="K417" s="516" t="s">
        <v>354</v>
      </c>
      <c r="L417" s="516"/>
      <c r="M417" s="700"/>
    </row>
    <row r="418" spans="1:13" s="141" customFormat="1" ht="12.75" x14ac:dyDescent="0.2">
      <c r="A418" s="373"/>
      <c r="B418" s="373"/>
      <c r="C418" s="373"/>
      <c r="D418" s="538"/>
      <c r="E418" s="538"/>
      <c r="F418" s="373"/>
      <c r="G418" s="373"/>
      <c r="H418" s="539"/>
      <c r="I418" s="539"/>
      <c r="J418" s="539"/>
      <c r="K418" s="539"/>
      <c r="L418" s="539"/>
      <c r="M418" s="700"/>
    </row>
    <row r="419" spans="1:13" s="141" customFormat="1" x14ac:dyDescent="0.2">
      <c r="A419" s="374"/>
      <c r="B419" s="374"/>
      <c r="C419" s="374"/>
      <c r="D419" s="374"/>
      <c r="E419" s="374"/>
      <c r="F419" s="374"/>
      <c r="G419" s="374"/>
      <c r="H419" s="374"/>
      <c r="I419" s="374"/>
      <c r="J419" s="374"/>
      <c r="K419" s="374"/>
      <c r="L419" s="374"/>
      <c r="M419" s="700"/>
    </row>
    <row r="420" spans="1:13" s="141" customFormat="1" ht="15.75" customHeight="1" x14ac:dyDescent="0.2">
      <c r="A420" s="374"/>
      <c r="B420" s="374"/>
      <c r="C420" s="374"/>
      <c r="D420" s="374"/>
      <c r="E420" s="374"/>
      <c r="F420" s="374"/>
      <c r="G420" s="374"/>
      <c r="H420" s="374"/>
      <c r="I420" s="374"/>
      <c r="J420" s="374"/>
      <c r="K420" s="374"/>
      <c r="L420" s="374"/>
      <c r="M420" s="700"/>
    </row>
    <row r="421" spans="1:13" s="141" customFormat="1" ht="39.75" customHeight="1" x14ac:dyDescent="0.2">
      <c r="A421" s="375" t="s">
        <v>380</v>
      </c>
      <c r="B421" s="375"/>
      <c r="C421" s="375"/>
      <c r="D421" s="375"/>
      <c r="E421" s="375"/>
      <c r="F421" s="375"/>
      <c r="G421" s="375"/>
      <c r="H421" s="375"/>
      <c r="I421" s="375"/>
      <c r="J421" s="516" t="s">
        <v>381</v>
      </c>
      <c r="K421" s="516"/>
      <c r="L421" s="516"/>
      <c r="M421" s="700"/>
    </row>
    <row r="422" spans="1:13" s="738" customFormat="1" ht="12.75" x14ac:dyDescent="0.2">
      <c r="A422" s="141"/>
      <c r="B422" s="141"/>
      <c r="C422" s="141"/>
      <c r="D422" s="141"/>
      <c r="E422" s="141"/>
      <c r="F422" s="141"/>
      <c r="G422" s="141"/>
      <c r="H422" s="141"/>
      <c r="I422" s="141"/>
      <c r="J422" s="141"/>
      <c r="K422" s="141"/>
      <c r="L422" s="141"/>
      <c r="M422" s="737"/>
    </row>
    <row r="423" spans="1:13" s="738" customFormat="1" ht="12.75" x14ac:dyDescent="0.2">
      <c r="A423" s="141"/>
      <c r="B423" s="141"/>
      <c r="C423" s="141"/>
      <c r="D423" s="141"/>
      <c r="E423" s="141"/>
      <c r="F423" s="141"/>
      <c r="G423" s="141"/>
      <c r="H423" s="141"/>
      <c r="I423" s="141"/>
      <c r="J423" s="141"/>
      <c r="K423" s="141"/>
      <c r="L423" s="141"/>
      <c r="M423" s="737"/>
    </row>
  </sheetData>
  <mergeCells count="274">
    <mergeCell ref="I391:J391"/>
    <mergeCell ref="K391:L391"/>
    <mergeCell ref="D389:I389"/>
    <mergeCell ref="D390:H390"/>
    <mergeCell ref="D391:H391"/>
    <mergeCell ref="D392:H392"/>
    <mergeCell ref="D397:I397"/>
    <mergeCell ref="D398:H398"/>
    <mergeCell ref="D379:H379"/>
    <mergeCell ref="I379:J379"/>
    <mergeCell ref="K379:L379"/>
    <mergeCell ref="D377:H377"/>
    <mergeCell ref="I377:J377"/>
    <mergeCell ref="K377:L377"/>
    <mergeCell ref="D378:H378"/>
    <mergeCell ref="I378:J378"/>
    <mergeCell ref="K378:L378"/>
    <mergeCell ref="A373:H373"/>
    <mergeCell ref="I373:J373"/>
    <mergeCell ref="K373:L373"/>
    <mergeCell ref="D376:H376"/>
    <mergeCell ref="I376:J376"/>
    <mergeCell ref="K376:L376"/>
    <mergeCell ref="I362:J362"/>
    <mergeCell ref="K362:L362"/>
    <mergeCell ref="A365:H365"/>
    <mergeCell ref="I365:J365"/>
    <mergeCell ref="K365:L365"/>
    <mergeCell ref="A369:H369"/>
    <mergeCell ref="I369:J369"/>
    <mergeCell ref="K369:L369"/>
    <mergeCell ref="I350:J350"/>
    <mergeCell ref="K350:L350"/>
    <mergeCell ref="I354:J354"/>
    <mergeCell ref="K354:L354"/>
    <mergeCell ref="I358:J358"/>
    <mergeCell ref="K358:L358"/>
    <mergeCell ref="A340:L340"/>
    <mergeCell ref="A342:H342"/>
    <mergeCell ref="I342:J342"/>
    <mergeCell ref="K342:L342"/>
    <mergeCell ref="A345:L345"/>
    <mergeCell ref="A347:L347"/>
    <mergeCell ref="A328:L328"/>
    <mergeCell ref="A330:H330"/>
    <mergeCell ref="I330:J330"/>
    <mergeCell ref="K330:L330"/>
    <mergeCell ref="A334:L334"/>
    <mergeCell ref="A336:H336"/>
    <mergeCell ref="I336:J336"/>
    <mergeCell ref="K336:L336"/>
    <mergeCell ref="A316:L316"/>
    <mergeCell ref="A318:H318"/>
    <mergeCell ref="I318:J318"/>
    <mergeCell ref="K318:L318"/>
    <mergeCell ref="A322:L322"/>
    <mergeCell ref="A324:H324"/>
    <mergeCell ref="I324:J324"/>
    <mergeCell ref="K324:L324"/>
    <mergeCell ref="A304:L304"/>
    <mergeCell ref="A306:H306"/>
    <mergeCell ref="I306:J306"/>
    <mergeCell ref="K306:L306"/>
    <mergeCell ref="A310:L310"/>
    <mergeCell ref="A312:H312"/>
    <mergeCell ref="I312:J312"/>
    <mergeCell ref="K312:L312"/>
    <mergeCell ref="A292:L292"/>
    <mergeCell ref="A294:H294"/>
    <mergeCell ref="I294:J294"/>
    <mergeCell ref="K294:L294"/>
    <mergeCell ref="A298:L298"/>
    <mergeCell ref="A300:H300"/>
    <mergeCell ref="I300:J300"/>
    <mergeCell ref="K300:L300"/>
    <mergeCell ref="A280:L280"/>
    <mergeCell ref="A282:H282"/>
    <mergeCell ref="I282:J282"/>
    <mergeCell ref="K282:L282"/>
    <mergeCell ref="A286:L286"/>
    <mergeCell ref="A288:H288"/>
    <mergeCell ref="I288:J288"/>
    <mergeCell ref="K288:L288"/>
    <mergeCell ref="A268:L268"/>
    <mergeCell ref="A270:H270"/>
    <mergeCell ref="I270:J270"/>
    <mergeCell ref="K270:L270"/>
    <mergeCell ref="A274:L274"/>
    <mergeCell ref="A276:H276"/>
    <mergeCell ref="I276:J276"/>
    <mergeCell ref="K276:L276"/>
    <mergeCell ref="A256:L256"/>
    <mergeCell ref="A258:H258"/>
    <mergeCell ref="I258:J258"/>
    <mergeCell ref="K258:L258"/>
    <mergeCell ref="A262:L262"/>
    <mergeCell ref="A264:H264"/>
    <mergeCell ref="I264:J264"/>
    <mergeCell ref="K264:L264"/>
    <mergeCell ref="A244:L244"/>
    <mergeCell ref="A246:H246"/>
    <mergeCell ref="I246:J246"/>
    <mergeCell ref="K246:L246"/>
    <mergeCell ref="A250:L250"/>
    <mergeCell ref="A252:H252"/>
    <mergeCell ref="I252:J252"/>
    <mergeCell ref="K252:L252"/>
    <mergeCell ref="A232:L232"/>
    <mergeCell ref="A234:H234"/>
    <mergeCell ref="I234:J234"/>
    <mergeCell ref="K234:L234"/>
    <mergeCell ref="A238:L238"/>
    <mergeCell ref="A240:H240"/>
    <mergeCell ref="I240:J240"/>
    <mergeCell ref="K240:L240"/>
    <mergeCell ref="A220:L220"/>
    <mergeCell ref="A222:H222"/>
    <mergeCell ref="I222:J222"/>
    <mergeCell ref="K222:L222"/>
    <mergeCell ref="A226:L226"/>
    <mergeCell ref="A228:H228"/>
    <mergeCell ref="I228:J228"/>
    <mergeCell ref="K228:L228"/>
    <mergeCell ref="A208:L208"/>
    <mergeCell ref="A210:H210"/>
    <mergeCell ref="I210:J210"/>
    <mergeCell ref="K210:L210"/>
    <mergeCell ref="A214:L214"/>
    <mergeCell ref="A216:H216"/>
    <mergeCell ref="I216:J216"/>
    <mergeCell ref="K216:L216"/>
    <mergeCell ref="A196:L196"/>
    <mergeCell ref="A198:H198"/>
    <mergeCell ref="I198:J198"/>
    <mergeCell ref="K198:L198"/>
    <mergeCell ref="A202:L202"/>
    <mergeCell ref="A204:H204"/>
    <mergeCell ref="I204:J204"/>
    <mergeCell ref="K204:L204"/>
    <mergeCell ref="A184:L184"/>
    <mergeCell ref="A186:H186"/>
    <mergeCell ref="I186:J186"/>
    <mergeCell ref="K186:L186"/>
    <mergeCell ref="A190:L190"/>
    <mergeCell ref="A192:H192"/>
    <mergeCell ref="I192:J192"/>
    <mergeCell ref="K192:L192"/>
    <mergeCell ref="A172:L172"/>
    <mergeCell ref="A174:H174"/>
    <mergeCell ref="I174:J174"/>
    <mergeCell ref="K174:L174"/>
    <mergeCell ref="A178:L178"/>
    <mergeCell ref="A180:H180"/>
    <mergeCell ref="I180:J180"/>
    <mergeCell ref="K180:L180"/>
    <mergeCell ref="A160:L160"/>
    <mergeCell ref="A162:H162"/>
    <mergeCell ref="I162:J162"/>
    <mergeCell ref="K162:L162"/>
    <mergeCell ref="A166:L166"/>
    <mergeCell ref="A168:H168"/>
    <mergeCell ref="I168:J168"/>
    <mergeCell ref="K168:L168"/>
    <mergeCell ref="A148:L148"/>
    <mergeCell ref="A150:H150"/>
    <mergeCell ref="I150:J150"/>
    <mergeCell ref="K150:L150"/>
    <mergeCell ref="A154:L154"/>
    <mergeCell ref="A156:H156"/>
    <mergeCell ref="I156:J156"/>
    <mergeCell ref="K156:L156"/>
    <mergeCell ref="A136:L136"/>
    <mergeCell ref="A138:H138"/>
    <mergeCell ref="I138:J138"/>
    <mergeCell ref="K138:L138"/>
    <mergeCell ref="A142:L142"/>
    <mergeCell ref="A144:H144"/>
    <mergeCell ref="I144:J144"/>
    <mergeCell ref="K144:L144"/>
    <mergeCell ref="A124:L124"/>
    <mergeCell ref="A126:H126"/>
    <mergeCell ref="I126:J126"/>
    <mergeCell ref="K126:L126"/>
    <mergeCell ref="A130:L130"/>
    <mergeCell ref="A132:H132"/>
    <mergeCell ref="I132:J132"/>
    <mergeCell ref="K132:L132"/>
    <mergeCell ref="A112:L112"/>
    <mergeCell ref="A114:H114"/>
    <mergeCell ref="I114:J114"/>
    <mergeCell ref="K114:L114"/>
    <mergeCell ref="A118:L118"/>
    <mergeCell ref="A120:H120"/>
    <mergeCell ref="I120:J120"/>
    <mergeCell ref="K120:L120"/>
    <mergeCell ref="A102:H102"/>
    <mergeCell ref="I102:J102"/>
    <mergeCell ref="K102:L102"/>
    <mergeCell ref="A106:L106"/>
    <mergeCell ref="A108:H108"/>
    <mergeCell ref="I108:J108"/>
    <mergeCell ref="K108:L108"/>
    <mergeCell ref="A88:L88"/>
    <mergeCell ref="A90:H90"/>
    <mergeCell ref="I90:J90"/>
    <mergeCell ref="K90:L90"/>
    <mergeCell ref="A94:L94"/>
    <mergeCell ref="A96:H96"/>
    <mergeCell ref="I96:J96"/>
    <mergeCell ref="K96:L96"/>
    <mergeCell ref="A82:L82"/>
    <mergeCell ref="A84:H84"/>
    <mergeCell ref="I84:J84"/>
    <mergeCell ref="K84:L84"/>
    <mergeCell ref="A70:L70"/>
    <mergeCell ref="A72:H72"/>
    <mergeCell ref="I72:J72"/>
    <mergeCell ref="K72:L72"/>
    <mergeCell ref="A100:L100"/>
    <mergeCell ref="A52:L52"/>
    <mergeCell ref="A54:H54"/>
    <mergeCell ref="I54:J54"/>
    <mergeCell ref="K54:L54"/>
    <mergeCell ref="A58:L58"/>
    <mergeCell ref="A60:H60"/>
    <mergeCell ref="I60:J60"/>
    <mergeCell ref="K60:L60"/>
    <mergeCell ref="I31:I38"/>
    <mergeCell ref="J31:J38"/>
    <mergeCell ref="K31:K38"/>
    <mergeCell ref="L31:L38"/>
    <mergeCell ref="A33:A38"/>
    <mergeCell ref="B33:B38"/>
    <mergeCell ref="A41:L41"/>
    <mergeCell ref="A42:L42"/>
    <mergeCell ref="A44:L44"/>
    <mergeCell ref="A46:L46"/>
    <mergeCell ref="A48:H48"/>
    <mergeCell ref="I48:J48"/>
    <mergeCell ref="K48:L48"/>
    <mergeCell ref="A64:L64"/>
    <mergeCell ref="A66:H66"/>
    <mergeCell ref="I66:J66"/>
    <mergeCell ref="K66:L66"/>
    <mergeCell ref="J421:L421"/>
    <mergeCell ref="I410:J410"/>
    <mergeCell ref="K410:L410"/>
    <mergeCell ref="I411:J411"/>
    <mergeCell ref="K411:L411"/>
    <mergeCell ref="I412:J412"/>
    <mergeCell ref="K412:L412"/>
    <mergeCell ref="D408:F408"/>
    <mergeCell ref="I408:J408"/>
    <mergeCell ref="K408:L408"/>
    <mergeCell ref="I409:J409"/>
    <mergeCell ref="K409:L409"/>
    <mergeCell ref="A417:I417"/>
    <mergeCell ref="K417:L417"/>
    <mergeCell ref="D418:E418"/>
    <mergeCell ref="H418:L418"/>
    <mergeCell ref="A76:L76"/>
    <mergeCell ref="A78:H78"/>
    <mergeCell ref="I78:J78"/>
    <mergeCell ref="K78:L78"/>
    <mergeCell ref="A26:L26"/>
    <mergeCell ref="H28:I28"/>
    <mergeCell ref="A30:L30"/>
    <mergeCell ref="A31:B32"/>
    <mergeCell ref="C31:C38"/>
    <mergeCell ref="D31:D38"/>
    <mergeCell ref="E31:E38"/>
    <mergeCell ref="F31:F38"/>
    <mergeCell ref="G31:G38"/>
    <mergeCell ref="H31:H38"/>
  </mergeCells>
  <pageMargins left="0.39370078740157483" right="0.19685039370078741" top="0.19685039370078741" bottom="0.39370078740157483" header="0.31496062992125984" footer="0.31496062992125984"/>
  <pageSetup paperSize="9" scale="49" fitToHeight="0" orientation="portrait" blackAndWhite="1" r:id="rId1"/>
  <headerFoot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5</vt:i4>
      </vt:variant>
    </vt:vector>
  </HeadingPairs>
  <TitlesOfParts>
    <vt:vector size="13" baseType="lpstr">
      <vt:lpstr>10.4(0,2)</vt:lpstr>
      <vt:lpstr>10.8(0,2)</vt:lpstr>
      <vt:lpstr>17.96</vt:lpstr>
      <vt:lpstr>10.14(0,2)</vt:lpstr>
      <vt:lpstr>КС-3</vt:lpstr>
      <vt:lpstr>Реестр</vt:lpstr>
      <vt:lpstr>17.55</vt:lpstr>
      <vt:lpstr>17.55доп2</vt:lpstr>
      <vt:lpstr>'10.4(0,2)'!Область_печати</vt:lpstr>
      <vt:lpstr>'17.55'!Область_печати</vt:lpstr>
      <vt:lpstr>'17.55доп2'!Область_печати</vt:lpstr>
      <vt:lpstr>'КС-3'!Область_печати</vt:lpstr>
      <vt:lpstr>Реестр!Область_печати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Татьяна</dc:creator>
  <cp:lastModifiedBy>Хаярова Екатерина Рауфовна</cp:lastModifiedBy>
  <cp:lastPrinted>2021-03-30T08:30:32Z</cp:lastPrinted>
  <dcterms:created xsi:type="dcterms:W3CDTF">2014-11-20T12:04:08Z</dcterms:created>
  <dcterms:modified xsi:type="dcterms:W3CDTF">2021-03-30T08:30:34Z</dcterms:modified>
</cp:coreProperties>
</file>